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vgeniya_Fedotova\Desktop\Закупки\1. Аукцион\Мск 15 ОПС\размещение апрель 2021\ОПС 115582\ММГ 115582\"/>
    </mc:Choice>
  </mc:AlternateContent>
  <bookViews>
    <workbookView xWindow="0" yWindow="0" windowWidth="28800" windowHeight="12300"/>
  </bookViews>
  <sheets>
    <sheet name="Смета 12 гр. по ФЕР" sheetId="5" r:id="rId1"/>
    <sheet name="Дефектная ведомость" sheetId="6" state="hidden" r:id="rId2"/>
    <sheet name="Source" sheetId="1" state="hidden" r:id="rId3"/>
    <sheet name="SourceObSm" sheetId="2" state="hidden" r:id="rId4"/>
    <sheet name="SmtRes" sheetId="3" state="hidden" r:id="rId5"/>
    <sheet name="EtalonRes" sheetId="4" state="hidden" r:id="rId6"/>
  </sheets>
  <definedNames>
    <definedName name="_xlnm.Print_Titles" localSheetId="1">'Дефектная ведомость'!$18:$18</definedName>
    <definedName name="_xlnm.Print_Titles" localSheetId="0">'Смета 12 гр. по ФЕР'!$37:$37</definedName>
    <definedName name="_xlnm.Print_Area" localSheetId="1">'Дефектная ведомость'!$A$1:$E$110</definedName>
    <definedName name="_xlnm.Print_Area" localSheetId="0">'Смета 12 гр. по ФЕР'!$A$1:$K$886</definedName>
  </definedNames>
  <calcPr calcId="162913"/>
</workbook>
</file>

<file path=xl/calcChain.xml><?xml version="1.0" encoding="utf-8"?>
<calcChain xmlns="http://schemas.openxmlformats.org/spreadsheetml/2006/main">
  <c r="D105" i="6" l="1"/>
  <c r="C105" i="6"/>
  <c r="B105" i="6"/>
  <c r="D104" i="6"/>
  <c r="C104" i="6"/>
  <c r="B104" i="6"/>
  <c r="A103" i="6"/>
  <c r="D102" i="6"/>
  <c r="C102" i="6"/>
  <c r="B102" i="6"/>
  <c r="D101" i="6"/>
  <c r="C101" i="6"/>
  <c r="B101" i="6"/>
  <c r="D100" i="6"/>
  <c r="C100" i="6"/>
  <c r="B100" i="6"/>
  <c r="D99" i="6"/>
  <c r="C99" i="6"/>
  <c r="B99" i="6"/>
  <c r="D98" i="6"/>
  <c r="C98" i="6"/>
  <c r="B98" i="6"/>
  <c r="D97" i="6"/>
  <c r="C97" i="6"/>
  <c r="B97" i="6"/>
  <c r="D96" i="6"/>
  <c r="C96" i="6"/>
  <c r="B96" i="6"/>
  <c r="D95" i="6"/>
  <c r="C95" i="6"/>
  <c r="B95" i="6"/>
  <c r="A94" i="6"/>
  <c r="D93" i="6"/>
  <c r="C93" i="6"/>
  <c r="B93" i="6"/>
  <c r="D92" i="6"/>
  <c r="C92" i="6"/>
  <c r="B92" i="6"/>
  <c r="D91" i="6"/>
  <c r="C91" i="6"/>
  <c r="B91" i="6"/>
  <c r="D90" i="6"/>
  <c r="C90" i="6"/>
  <c r="B90" i="6"/>
  <c r="D89" i="6"/>
  <c r="C89" i="6"/>
  <c r="B89" i="6"/>
  <c r="D88" i="6"/>
  <c r="C88" i="6"/>
  <c r="B88" i="6"/>
  <c r="D87" i="6"/>
  <c r="C87" i="6"/>
  <c r="B87" i="6"/>
  <c r="D86" i="6"/>
  <c r="C86" i="6"/>
  <c r="B86" i="6"/>
  <c r="D85" i="6"/>
  <c r="C85" i="6"/>
  <c r="B85" i="6"/>
  <c r="D84" i="6"/>
  <c r="C84" i="6"/>
  <c r="B84" i="6"/>
  <c r="D83" i="6"/>
  <c r="C83" i="6"/>
  <c r="B83" i="6"/>
  <c r="D82" i="6"/>
  <c r="C82" i="6"/>
  <c r="B82" i="6"/>
  <c r="D81" i="6"/>
  <c r="C81" i="6"/>
  <c r="B81" i="6"/>
  <c r="D80" i="6"/>
  <c r="C80" i="6"/>
  <c r="B80" i="6"/>
  <c r="D79" i="6"/>
  <c r="C79" i="6"/>
  <c r="B79" i="6"/>
  <c r="D78" i="6"/>
  <c r="C78" i="6"/>
  <c r="B78" i="6"/>
  <c r="D77" i="6"/>
  <c r="C77" i="6"/>
  <c r="B77" i="6"/>
  <c r="D76" i="6"/>
  <c r="C76" i="6"/>
  <c r="B76" i="6"/>
  <c r="D75" i="6"/>
  <c r="C75" i="6"/>
  <c r="B75" i="6"/>
  <c r="D74" i="6"/>
  <c r="C74" i="6"/>
  <c r="B74" i="6"/>
  <c r="D73" i="6"/>
  <c r="C73" i="6"/>
  <c r="B73" i="6"/>
  <c r="D72" i="6"/>
  <c r="C72" i="6"/>
  <c r="B72" i="6"/>
  <c r="D71" i="6"/>
  <c r="C71" i="6"/>
  <c r="B71" i="6"/>
  <c r="D70" i="6"/>
  <c r="C70" i="6"/>
  <c r="B70" i="6"/>
  <c r="D69" i="6"/>
  <c r="C69" i="6"/>
  <c r="B69" i="6"/>
  <c r="D68" i="6"/>
  <c r="C68" i="6"/>
  <c r="B68" i="6"/>
  <c r="D67" i="6"/>
  <c r="C67" i="6"/>
  <c r="B67" i="6"/>
  <c r="D66" i="6"/>
  <c r="C66" i="6"/>
  <c r="B66" i="6"/>
  <c r="D65" i="6"/>
  <c r="C65" i="6"/>
  <c r="B65" i="6"/>
  <c r="D64" i="6"/>
  <c r="C64" i="6"/>
  <c r="B64" i="6"/>
  <c r="D63" i="6"/>
  <c r="C63" i="6"/>
  <c r="B63" i="6"/>
  <c r="D62" i="6"/>
  <c r="C62" i="6"/>
  <c r="B62" i="6"/>
  <c r="D61" i="6"/>
  <c r="C61" i="6"/>
  <c r="B61" i="6"/>
  <c r="D60" i="6"/>
  <c r="C60" i="6"/>
  <c r="B60" i="6"/>
  <c r="D59" i="6"/>
  <c r="C59" i="6"/>
  <c r="B59" i="6"/>
  <c r="D58" i="6"/>
  <c r="C58" i="6"/>
  <c r="B58" i="6"/>
  <c r="D57" i="6"/>
  <c r="C57" i="6"/>
  <c r="B57" i="6"/>
  <c r="D56" i="6"/>
  <c r="C56" i="6"/>
  <c r="B56" i="6"/>
  <c r="D55" i="6"/>
  <c r="C55" i="6"/>
  <c r="B55" i="6"/>
  <c r="D54" i="6"/>
  <c r="C54" i="6"/>
  <c r="B54" i="6"/>
  <c r="D53" i="6"/>
  <c r="C53" i="6"/>
  <c r="B53" i="6"/>
  <c r="D52" i="6"/>
  <c r="C52" i="6"/>
  <c r="B52" i="6"/>
  <c r="D51" i="6"/>
  <c r="C51" i="6"/>
  <c r="B51" i="6"/>
  <c r="D50" i="6"/>
  <c r="C50" i="6"/>
  <c r="B50" i="6"/>
  <c r="D49" i="6"/>
  <c r="C49" i="6"/>
  <c r="B49" i="6"/>
  <c r="D48" i="6"/>
  <c r="C48" i="6"/>
  <c r="B48" i="6"/>
  <c r="D47" i="6"/>
  <c r="C47" i="6"/>
  <c r="B47" i="6"/>
  <c r="D46" i="6"/>
  <c r="C46" i="6"/>
  <c r="B46" i="6"/>
  <c r="D45" i="6"/>
  <c r="C45" i="6"/>
  <c r="B45" i="6"/>
  <c r="D44" i="6"/>
  <c r="C44" i="6"/>
  <c r="B44" i="6"/>
  <c r="D43" i="6"/>
  <c r="C43" i="6"/>
  <c r="B43" i="6"/>
  <c r="D42" i="6"/>
  <c r="C42" i="6"/>
  <c r="B42" i="6"/>
  <c r="D41" i="6"/>
  <c r="C41" i="6"/>
  <c r="B41" i="6"/>
  <c r="D40" i="6"/>
  <c r="C40" i="6"/>
  <c r="B40" i="6"/>
  <c r="D39" i="6"/>
  <c r="C39" i="6"/>
  <c r="B39" i="6"/>
  <c r="D38" i="6"/>
  <c r="C38" i="6"/>
  <c r="B38" i="6"/>
  <c r="D37" i="6"/>
  <c r="C37" i="6"/>
  <c r="B37" i="6"/>
  <c r="D36" i="6"/>
  <c r="C36" i="6"/>
  <c r="B36" i="6"/>
  <c r="D35" i="6"/>
  <c r="C35" i="6"/>
  <c r="B35" i="6"/>
  <c r="D34" i="6"/>
  <c r="C34" i="6"/>
  <c r="B34" i="6"/>
  <c r="D33" i="6"/>
  <c r="C33" i="6"/>
  <c r="B33" i="6"/>
  <c r="D32" i="6"/>
  <c r="C32" i="6"/>
  <c r="B32" i="6"/>
  <c r="D31" i="6"/>
  <c r="C31" i="6"/>
  <c r="B31" i="6"/>
  <c r="D30" i="6"/>
  <c r="C30" i="6"/>
  <c r="B30" i="6"/>
  <c r="D29" i="6"/>
  <c r="C29" i="6"/>
  <c r="B29" i="6"/>
  <c r="D28" i="6"/>
  <c r="C28" i="6"/>
  <c r="B28" i="6"/>
  <c r="D27" i="6"/>
  <c r="C27" i="6"/>
  <c r="B27" i="6"/>
  <c r="D26" i="6"/>
  <c r="C26" i="6"/>
  <c r="B26" i="6"/>
  <c r="D25" i="6"/>
  <c r="C25" i="6"/>
  <c r="B25" i="6"/>
  <c r="D24" i="6"/>
  <c r="C24" i="6"/>
  <c r="B24" i="6"/>
  <c r="D23" i="6"/>
  <c r="C23" i="6"/>
  <c r="B23" i="6"/>
  <c r="D22" i="6"/>
  <c r="C22" i="6"/>
  <c r="B22" i="6"/>
  <c r="D21" i="6"/>
  <c r="C21" i="6"/>
  <c r="B21" i="6"/>
  <c r="A20" i="6"/>
  <c r="A19" i="6"/>
  <c r="AD12" i="6"/>
  <c r="A12" i="6"/>
  <c r="A11" i="6"/>
  <c r="A1" i="6"/>
  <c r="I878" i="5"/>
  <c r="D878" i="5"/>
  <c r="J875" i="5"/>
  <c r="C875" i="5"/>
  <c r="J874" i="5"/>
  <c r="C874" i="5"/>
  <c r="J873" i="5"/>
  <c r="C873" i="5"/>
  <c r="J872" i="5"/>
  <c r="C872" i="5"/>
  <c r="J871" i="5"/>
  <c r="C871" i="5"/>
  <c r="I29" i="5"/>
  <c r="I28" i="5"/>
  <c r="G28" i="5" s="1"/>
  <c r="I27" i="5"/>
  <c r="I26" i="5"/>
  <c r="A869" i="5"/>
  <c r="A867" i="5"/>
  <c r="P865" i="5"/>
  <c r="Y865" i="5"/>
  <c r="X865" i="5"/>
  <c r="W865" i="5"/>
  <c r="K864" i="5"/>
  <c r="J865" i="5" s="1"/>
  <c r="O865" i="5" s="1"/>
  <c r="H864" i="5"/>
  <c r="G865" i="5" s="1"/>
  <c r="N865" i="5" s="1"/>
  <c r="J864" i="5"/>
  <c r="G864" i="5"/>
  <c r="F864" i="5"/>
  <c r="U864" i="5"/>
  <c r="S864" i="5"/>
  <c r="T864" i="5"/>
  <c r="R864" i="5"/>
  <c r="E864" i="5"/>
  <c r="D864" i="5"/>
  <c r="I864" i="5"/>
  <c r="C864" i="5"/>
  <c r="B864" i="5"/>
  <c r="A864" i="5"/>
  <c r="P863" i="5"/>
  <c r="Y863" i="5"/>
  <c r="X863" i="5"/>
  <c r="W863" i="5"/>
  <c r="K862" i="5"/>
  <c r="J863" i="5" s="1"/>
  <c r="O863" i="5" s="1"/>
  <c r="H862" i="5"/>
  <c r="G863" i="5" s="1"/>
  <c r="N863" i="5" s="1"/>
  <c r="J862" i="5"/>
  <c r="G862" i="5"/>
  <c r="F862" i="5"/>
  <c r="U862" i="5"/>
  <c r="S862" i="5"/>
  <c r="T862" i="5"/>
  <c r="R862" i="5"/>
  <c r="E862" i="5"/>
  <c r="D862" i="5"/>
  <c r="I862" i="5"/>
  <c r="C862" i="5"/>
  <c r="B862" i="5"/>
  <c r="A862" i="5"/>
  <c r="A861" i="5"/>
  <c r="A857" i="5"/>
  <c r="P855" i="5"/>
  <c r="Y855" i="5"/>
  <c r="X855" i="5"/>
  <c r="W855" i="5"/>
  <c r="G854" i="5"/>
  <c r="E854" i="5"/>
  <c r="J853" i="5"/>
  <c r="F853" i="5"/>
  <c r="E853" i="5"/>
  <c r="J852" i="5"/>
  <c r="F852" i="5"/>
  <c r="E852" i="5"/>
  <c r="K851" i="5"/>
  <c r="J851" i="5"/>
  <c r="H851" i="5"/>
  <c r="G851" i="5"/>
  <c r="F851" i="5"/>
  <c r="K850" i="5"/>
  <c r="J850" i="5"/>
  <c r="H850" i="5"/>
  <c r="Q850" i="5" s="1"/>
  <c r="G850" i="5"/>
  <c r="F850" i="5"/>
  <c r="C849" i="5"/>
  <c r="U848" i="5"/>
  <c r="K853" i="5" s="1"/>
  <c r="S848" i="5"/>
  <c r="K852" i="5" s="1"/>
  <c r="T848" i="5"/>
  <c r="H853" i="5" s="1"/>
  <c r="R848" i="5"/>
  <c r="H852" i="5" s="1"/>
  <c r="F848" i="5"/>
  <c r="E848" i="5"/>
  <c r="D848" i="5"/>
  <c r="I848" i="5"/>
  <c r="C848" i="5"/>
  <c r="A848" i="5"/>
  <c r="P847" i="5"/>
  <c r="Y847" i="5"/>
  <c r="X847" i="5"/>
  <c r="V847" i="5"/>
  <c r="K846" i="5"/>
  <c r="J846" i="5"/>
  <c r="Y846" i="5"/>
  <c r="X846" i="5"/>
  <c r="V846" i="5"/>
  <c r="H846" i="5"/>
  <c r="W846" i="5" s="1"/>
  <c r="F846" i="5"/>
  <c r="U846" i="5"/>
  <c r="S846" i="5"/>
  <c r="T846" i="5"/>
  <c r="R846" i="5"/>
  <c r="E846" i="5"/>
  <c r="D846" i="5"/>
  <c r="C846" i="5"/>
  <c r="B846" i="5"/>
  <c r="G845" i="5"/>
  <c r="E845" i="5"/>
  <c r="J844" i="5"/>
  <c r="E844" i="5"/>
  <c r="J843" i="5"/>
  <c r="E843" i="5"/>
  <c r="K842" i="5"/>
  <c r="J842" i="5"/>
  <c r="H842" i="5"/>
  <c r="G842" i="5"/>
  <c r="F842" i="5"/>
  <c r="K841" i="5"/>
  <c r="J841" i="5"/>
  <c r="H841" i="5"/>
  <c r="Q841" i="5" s="1"/>
  <c r="G841" i="5"/>
  <c r="F841" i="5"/>
  <c r="K840" i="5"/>
  <c r="J840" i="5"/>
  <c r="H840" i="5"/>
  <c r="G840" i="5"/>
  <c r="F840" i="5"/>
  <c r="K839" i="5"/>
  <c r="J839" i="5"/>
  <c r="H839" i="5"/>
  <c r="G839" i="5"/>
  <c r="F839" i="5"/>
  <c r="C838" i="5"/>
  <c r="U837" i="5"/>
  <c r="S837" i="5"/>
  <c r="T837" i="5"/>
  <c r="R837" i="5"/>
  <c r="F837" i="5"/>
  <c r="E837" i="5"/>
  <c r="D837" i="5"/>
  <c r="I837" i="5"/>
  <c r="C837" i="5"/>
  <c r="A837" i="5"/>
  <c r="P836" i="5"/>
  <c r="Y836" i="5"/>
  <c r="X836" i="5"/>
  <c r="V836" i="5"/>
  <c r="K835" i="5"/>
  <c r="J835" i="5"/>
  <c r="Y835" i="5"/>
  <c r="X835" i="5"/>
  <c r="V835" i="5"/>
  <c r="H835" i="5"/>
  <c r="W835" i="5" s="1"/>
  <c r="F835" i="5"/>
  <c r="U835" i="5"/>
  <c r="S835" i="5"/>
  <c r="T835" i="5"/>
  <c r="R835" i="5"/>
  <c r="E835" i="5"/>
  <c r="D835" i="5"/>
  <c r="C835" i="5"/>
  <c r="B835" i="5"/>
  <c r="G834" i="5"/>
  <c r="E834" i="5"/>
  <c r="J833" i="5"/>
  <c r="E833" i="5"/>
  <c r="J832" i="5"/>
  <c r="E832" i="5"/>
  <c r="K831" i="5"/>
  <c r="J831" i="5"/>
  <c r="H831" i="5"/>
  <c r="G831" i="5"/>
  <c r="F831" i="5"/>
  <c r="K830" i="5"/>
  <c r="J830" i="5"/>
  <c r="H830" i="5"/>
  <c r="Q830" i="5" s="1"/>
  <c r="G830" i="5"/>
  <c r="F830" i="5"/>
  <c r="K829" i="5"/>
  <c r="J829" i="5"/>
  <c r="H829" i="5"/>
  <c r="G829" i="5"/>
  <c r="F829" i="5"/>
  <c r="K828" i="5"/>
  <c r="J828" i="5"/>
  <c r="H828" i="5"/>
  <c r="G828" i="5"/>
  <c r="F828" i="5"/>
  <c r="C827" i="5"/>
  <c r="U826" i="5"/>
  <c r="S826" i="5"/>
  <c r="T826" i="5"/>
  <c r="R826" i="5"/>
  <c r="F826" i="5"/>
  <c r="E826" i="5"/>
  <c r="D826" i="5"/>
  <c r="I826" i="5"/>
  <c r="C826" i="5"/>
  <c r="A826" i="5"/>
  <c r="P825" i="5"/>
  <c r="Y825" i="5"/>
  <c r="X825" i="5"/>
  <c r="V825" i="5"/>
  <c r="K824" i="5"/>
  <c r="J824" i="5"/>
  <c r="Y824" i="5"/>
  <c r="X824" i="5"/>
  <c r="V824" i="5"/>
  <c r="H824" i="5"/>
  <c r="W824" i="5" s="1"/>
  <c r="F824" i="5"/>
  <c r="U824" i="5"/>
  <c r="S824" i="5"/>
  <c r="T824" i="5"/>
  <c r="R824" i="5"/>
  <c r="E824" i="5"/>
  <c r="D824" i="5"/>
  <c r="C824" i="5"/>
  <c r="B824" i="5"/>
  <c r="K823" i="5"/>
  <c r="J823" i="5"/>
  <c r="Y823" i="5"/>
  <c r="X823" i="5"/>
  <c r="V823" i="5"/>
  <c r="H823" i="5"/>
  <c r="W823" i="5" s="1"/>
  <c r="F823" i="5"/>
  <c r="U823" i="5"/>
  <c r="S823" i="5"/>
  <c r="T823" i="5"/>
  <c r="R823" i="5"/>
  <c r="E823" i="5"/>
  <c r="D823" i="5"/>
  <c r="C823" i="5"/>
  <c r="B823" i="5"/>
  <c r="G822" i="5"/>
  <c r="E822" i="5"/>
  <c r="J821" i="5"/>
  <c r="E821" i="5"/>
  <c r="J820" i="5"/>
  <c r="E820" i="5"/>
  <c r="K819" i="5"/>
  <c r="J819" i="5"/>
  <c r="H819" i="5"/>
  <c r="G819" i="5"/>
  <c r="F819" i="5"/>
  <c r="K818" i="5"/>
  <c r="J818" i="5"/>
  <c r="H818" i="5"/>
  <c r="Q818" i="5" s="1"/>
  <c r="G818" i="5"/>
  <c r="F818" i="5"/>
  <c r="K817" i="5"/>
  <c r="J817" i="5"/>
  <c r="H817" i="5"/>
  <c r="G817" i="5"/>
  <c r="F817" i="5"/>
  <c r="K816" i="5"/>
  <c r="J816" i="5"/>
  <c r="H816" i="5"/>
  <c r="G816" i="5"/>
  <c r="F816" i="5"/>
  <c r="C815" i="5"/>
  <c r="U814" i="5"/>
  <c r="S814" i="5"/>
  <c r="T814" i="5"/>
  <c r="R814" i="5"/>
  <c r="F814" i="5"/>
  <c r="E814" i="5"/>
  <c r="D814" i="5"/>
  <c r="I814" i="5"/>
  <c r="C814" i="5"/>
  <c r="A814" i="5"/>
  <c r="P813" i="5"/>
  <c r="Y813" i="5"/>
  <c r="X813" i="5"/>
  <c r="V813" i="5"/>
  <c r="K812" i="5"/>
  <c r="J812" i="5"/>
  <c r="Y812" i="5"/>
  <c r="X812" i="5"/>
  <c r="V812" i="5"/>
  <c r="H812" i="5"/>
  <c r="W812" i="5" s="1"/>
  <c r="F812" i="5"/>
  <c r="U812" i="5"/>
  <c r="S812" i="5"/>
  <c r="T812" i="5"/>
  <c r="R812" i="5"/>
  <c r="E812" i="5"/>
  <c r="D812" i="5"/>
  <c r="C812" i="5"/>
  <c r="B812" i="5"/>
  <c r="G811" i="5"/>
  <c r="E811" i="5"/>
  <c r="J810" i="5"/>
  <c r="E810" i="5"/>
  <c r="J809" i="5"/>
  <c r="E809" i="5"/>
  <c r="K808" i="5"/>
  <c r="J808" i="5"/>
  <c r="H808" i="5"/>
  <c r="G808" i="5"/>
  <c r="F808" i="5"/>
  <c r="K807" i="5"/>
  <c r="J807" i="5"/>
  <c r="H807" i="5"/>
  <c r="Q807" i="5" s="1"/>
  <c r="G807" i="5"/>
  <c r="F807" i="5"/>
  <c r="K806" i="5"/>
  <c r="J806" i="5"/>
  <c r="H806" i="5"/>
  <c r="G806" i="5"/>
  <c r="F806" i="5"/>
  <c r="K805" i="5"/>
  <c r="J805" i="5"/>
  <c r="H805" i="5"/>
  <c r="G805" i="5"/>
  <c r="F805" i="5"/>
  <c r="C804" i="5"/>
  <c r="U803" i="5"/>
  <c r="S803" i="5"/>
  <c r="T803" i="5"/>
  <c r="R803" i="5"/>
  <c r="F803" i="5"/>
  <c r="E803" i="5"/>
  <c r="D803" i="5"/>
  <c r="I803" i="5"/>
  <c r="C803" i="5"/>
  <c r="A803" i="5"/>
  <c r="P802" i="5"/>
  <c r="Y802" i="5"/>
  <c r="X802" i="5"/>
  <c r="V802" i="5"/>
  <c r="K801" i="5"/>
  <c r="J801" i="5"/>
  <c r="Y801" i="5"/>
  <c r="X801" i="5"/>
  <c r="V801" i="5"/>
  <c r="H801" i="5"/>
  <c r="W801" i="5" s="1"/>
  <c r="F801" i="5"/>
  <c r="U801" i="5"/>
  <c r="S801" i="5"/>
  <c r="T801" i="5"/>
  <c r="R801" i="5"/>
  <c r="E801" i="5"/>
  <c r="D801" i="5"/>
  <c r="C801" i="5"/>
  <c r="B801" i="5"/>
  <c r="K800" i="5"/>
  <c r="J800" i="5"/>
  <c r="Y800" i="5"/>
  <c r="X800" i="5"/>
  <c r="V800" i="5"/>
  <c r="H800" i="5"/>
  <c r="W800" i="5" s="1"/>
  <c r="F800" i="5"/>
  <c r="U800" i="5"/>
  <c r="S800" i="5"/>
  <c r="T800" i="5"/>
  <c r="R800" i="5"/>
  <c r="E800" i="5"/>
  <c r="D800" i="5"/>
  <c r="C800" i="5"/>
  <c r="B800" i="5"/>
  <c r="G799" i="5"/>
  <c r="E799" i="5"/>
  <c r="J798" i="5"/>
  <c r="E798" i="5"/>
  <c r="J797" i="5"/>
  <c r="E797" i="5"/>
  <c r="K796" i="5"/>
  <c r="J796" i="5"/>
  <c r="H796" i="5"/>
  <c r="G796" i="5"/>
  <c r="F796" i="5"/>
  <c r="K795" i="5"/>
  <c r="J795" i="5"/>
  <c r="H795" i="5"/>
  <c r="Q795" i="5" s="1"/>
  <c r="G795" i="5"/>
  <c r="F795" i="5"/>
  <c r="C794" i="5"/>
  <c r="U793" i="5"/>
  <c r="S793" i="5"/>
  <c r="T793" i="5"/>
  <c r="R793" i="5"/>
  <c r="F793" i="5"/>
  <c r="E793" i="5"/>
  <c r="D793" i="5"/>
  <c r="I793" i="5"/>
  <c r="C793" i="5"/>
  <c r="A793" i="5"/>
  <c r="P792" i="5"/>
  <c r="Y792" i="5"/>
  <c r="X792" i="5"/>
  <c r="V792" i="5"/>
  <c r="K791" i="5"/>
  <c r="J791" i="5"/>
  <c r="Y791" i="5"/>
  <c r="X791" i="5"/>
  <c r="V791" i="5"/>
  <c r="H791" i="5"/>
  <c r="W791" i="5" s="1"/>
  <c r="F791" i="5"/>
  <c r="U791" i="5"/>
  <c r="S791" i="5"/>
  <c r="T791" i="5"/>
  <c r="R791" i="5"/>
  <c r="E791" i="5"/>
  <c r="D791" i="5"/>
  <c r="C791" i="5"/>
  <c r="B791" i="5"/>
  <c r="G790" i="5"/>
  <c r="E790" i="5"/>
  <c r="J789" i="5"/>
  <c r="E789" i="5"/>
  <c r="J788" i="5"/>
  <c r="E788" i="5"/>
  <c r="K787" i="5"/>
  <c r="J787" i="5"/>
  <c r="H787" i="5"/>
  <c r="G787" i="5"/>
  <c r="F787" i="5"/>
  <c r="K786" i="5"/>
  <c r="J786" i="5"/>
  <c r="H786" i="5"/>
  <c r="G786" i="5"/>
  <c r="F786" i="5"/>
  <c r="U785" i="5"/>
  <c r="K789" i="5" s="1"/>
  <c r="S785" i="5"/>
  <c r="T785" i="5"/>
  <c r="H789" i="5" s="1"/>
  <c r="R785" i="5"/>
  <c r="H788" i="5" s="1"/>
  <c r="F785" i="5"/>
  <c r="E785" i="5"/>
  <c r="D785" i="5"/>
  <c r="I785" i="5"/>
  <c r="C785" i="5"/>
  <c r="A785" i="5"/>
  <c r="P784" i="5"/>
  <c r="Y784" i="5"/>
  <c r="X784" i="5"/>
  <c r="V784" i="5"/>
  <c r="K783" i="5"/>
  <c r="J783" i="5"/>
  <c r="Y783" i="5"/>
  <c r="X783" i="5"/>
  <c r="V783" i="5"/>
  <c r="H783" i="5"/>
  <c r="W783" i="5" s="1"/>
  <c r="F783" i="5"/>
  <c r="U783" i="5"/>
  <c r="S783" i="5"/>
  <c r="T783" i="5"/>
  <c r="R783" i="5"/>
  <c r="E783" i="5"/>
  <c r="D783" i="5"/>
  <c r="C783" i="5"/>
  <c r="B783" i="5"/>
  <c r="G782" i="5"/>
  <c r="E782" i="5"/>
  <c r="J781" i="5"/>
  <c r="E781" i="5"/>
  <c r="J780" i="5"/>
  <c r="E780" i="5"/>
  <c r="K779" i="5"/>
  <c r="J779" i="5"/>
  <c r="H779" i="5"/>
  <c r="G779" i="5"/>
  <c r="F779" i="5"/>
  <c r="K778" i="5"/>
  <c r="J778" i="5"/>
  <c r="H778" i="5"/>
  <c r="G778" i="5"/>
  <c r="F778" i="5"/>
  <c r="U777" i="5"/>
  <c r="K781" i="5" s="1"/>
  <c r="S777" i="5"/>
  <c r="T777" i="5"/>
  <c r="H781" i="5" s="1"/>
  <c r="R777" i="5"/>
  <c r="F777" i="5"/>
  <c r="E777" i="5"/>
  <c r="D777" i="5"/>
  <c r="I777" i="5"/>
  <c r="C777" i="5"/>
  <c r="A777" i="5"/>
  <c r="A776" i="5"/>
  <c r="A772" i="5"/>
  <c r="P770" i="5"/>
  <c r="Y770" i="5"/>
  <c r="X770" i="5"/>
  <c r="W770" i="5"/>
  <c r="G769" i="5"/>
  <c r="E769" i="5"/>
  <c r="J768" i="5"/>
  <c r="F768" i="5"/>
  <c r="E768" i="5"/>
  <c r="J767" i="5"/>
  <c r="F767" i="5"/>
  <c r="E767" i="5"/>
  <c r="K766" i="5"/>
  <c r="J766" i="5"/>
  <c r="H766" i="5"/>
  <c r="G766" i="5"/>
  <c r="F766" i="5"/>
  <c r="U765" i="5"/>
  <c r="K768" i="5" s="1"/>
  <c r="S765" i="5"/>
  <c r="K767" i="5" s="1"/>
  <c r="T765" i="5"/>
  <c r="H768" i="5" s="1"/>
  <c r="R765" i="5"/>
  <c r="H767" i="5" s="1"/>
  <c r="F765" i="5"/>
  <c r="E765" i="5"/>
  <c r="D765" i="5"/>
  <c r="I765" i="5"/>
  <c r="C765" i="5"/>
  <c r="A765" i="5"/>
  <c r="P764" i="5"/>
  <c r="Y764" i="5"/>
  <c r="X764" i="5"/>
  <c r="W764" i="5"/>
  <c r="K763" i="5"/>
  <c r="J763" i="5"/>
  <c r="Y763" i="5"/>
  <c r="X763" i="5"/>
  <c r="W763" i="5"/>
  <c r="H763" i="5"/>
  <c r="V763" i="5" s="1"/>
  <c r="F763" i="5"/>
  <c r="U763" i="5"/>
  <c r="S763" i="5"/>
  <c r="T763" i="5"/>
  <c r="R763" i="5"/>
  <c r="E763" i="5"/>
  <c r="D763" i="5"/>
  <c r="C763" i="5"/>
  <c r="B763" i="5"/>
  <c r="K762" i="5"/>
  <c r="J762" i="5"/>
  <c r="Y762" i="5"/>
  <c r="X762" i="5"/>
  <c r="W762" i="5"/>
  <c r="H762" i="5"/>
  <c r="V762" i="5" s="1"/>
  <c r="F762" i="5"/>
  <c r="U762" i="5"/>
  <c r="S762" i="5"/>
  <c r="T762" i="5"/>
  <c r="R762" i="5"/>
  <c r="E762" i="5"/>
  <c r="D762" i="5"/>
  <c r="C762" i="5"/>
  <c r="B762" i="5"/>
  <c r="G761" i="5"/>
  <c r="E761" i="5"/>
  <c r="J760" i="5"/>
  <c r="F760" i="5"/>
  <c r="E760" i="5"/>
  <c r="J759" i="5"/>
  <c r="F759" i="5"/>
  <c r="E759" i="5"/>
  <c r="K758" i="5"/>
  <c r="J758" i="5"/>
  <c r="H758" i="5"/>
  <c r="G758" i="5"/>
  <c r="F758" i="5"/>
  <c r="K757" i="5"/>
  <c r="J757" i="5"/>
  <c r="H757" i="5"/>
  <c r="Q757" i="5" s="1"/>
  <c r="G757" i="5"/>
  <c r="F757" i="5"/>
  <c r="K756" i="5"/>
  <c r="J756" i="5"/>
  <c r="H756" i="5"/>
  <c r="G756" i="5"/>
  <c r="F756" i="5"/>
  <c r="K755" i="5"/>
  <c r="J755" i="5"/>
  <c r="H755" i="5"/>
  <c r="Q755" i="5" s="1"/>
  <c r="G755" i="5"/>
  <c r="F755" i="5"/>
  <c r="C754" i="5"/>
  <c r="U753" i="5"/>
  <c r="S753" i="5"/>
  <c r="T753" i="5"/>
  <c r="R753" i="5"/>
  <c r="F753" i="5"/>
  <c r="E753" i="5"/>
  <c r="D753" i="5"/>
  <c r="I753" i="5"/>
  <c r="C753" i="5"/>
  <c r="A753" i="5"/>
  <c r="P752" i="5"/>
  <c r="Y752" i="5"/>
  <c r="X752" i="5"/>
  <c r="W752" i="5"/>
  <c r="G751" i="5"/>
  <c r="E751" i="5"/>
  <c r="J750" i="5"/>
  <c r="F750" i="5"/>
  <c r="E750" i="5"/>
  <c r="J749" i="5"/>
  <c r="F749" i="5"/>
  <c r="E749" i="5"/>
  <c r="K748" i="5"/>
  <c r="J748" i="5"/>
  <c r="H748" i="5"/>
  <c r="G748" i="5"/>
  <c r="F748" i="5"/>
  <c r="K747" i="5"/>
  <c r="J747" i="5"/>
  <c r="H747" i="5"/>
  <c r="Q747" i="5" s="1"/>
  <c r="G747" i="5"/>
  <c r="F747" i="5"/>
  <c r="K746" i="5"/>
  <c r="J746" i="5"/>
  <c r="H746" i="5"/>
  <c r="G746" i="5"/>
  <c r="F746" i="5"/>
  <c r="K745" i="5"/>
  <c r="J745" i="5"/>
  <c r="H745" i="5"/>
  <c r="Q745" i="5" s="1"/>
  <c r="G745" i="5"/>
  <c r="F745" i="5"/>
  <c r="C744" i="5"/>
  <c r="U743" i="5"/>
  <c r="K750" i="5" s="1"/>
  <c r="S743" i="5"/>
  <c r="K749" i="5" s="1"/>
  <c r="T743" i="5"/>
  <c r="H750" i="5" s="1"/>
  <c r="R743" i="5"/>
  <c r="H749" i="5" s="1"/>
  <c r="F743" i="5"/>
  <c r="E743" i="5"/>
  <c r="D743" i="5"/>
  <c r="I743" i="5"/>
  <c r="C743" i="5"/>
  <c r="A743" i="5"/>
  <c r="P742" i="5"/>
  <c r="Y742" i="5"/>
  <c r="X742" i="5"/>
  <c r="W742" i="5"/>
  <c r="K741" i="5"/>
  <c r="J741" i="5"/>
  <c r="Y741" i="5"/>
  <c r="X741" i="5"/>
  <c r="W741" i="5"/>
  <c r="H741" i="5"/>
  <c r="V741" i="5" s="1"/>
  <c r="F741" i="5"/>
  <c r="U741" i="5"/>
  <c r="S741" i="5"/>
  <c r="T741" i="5"/>
  <c r="R741" i="5"/>
  <c r="E741" i="5"/>
  <c r="D741" i="5"/>
  <c r="C741" i="5"/>
  <c r="B741" i="5"/>
  <c r="G740" i="5"/>
  <c r="E740" i="5"/>
  <c r="J739" i="5"/>
  <c r="E739" i="5"/>
  <c r="J738" i="5"/>
  <c r="E738" i="5"/>
  <c r="K737" i="5"/>
  <c r="J737" i="5"/>
  <c r="H737" i="5"/>
  <c r="G737" i="5"/>
  <c r="F737" i="5"/>
  <c r="K736" i="5"/>
  <c r="J736" i="5"/>
  <c r="H736" i="5"/>
  <c r="G736" i="5"/>
  <c r="F736" i="5"/>
  <c r="K735" i="5"/>
  <c r="J735" i="5"/>
  <c r="H735" i="5"/>
  <c r="G735" i="5"/>
  <c r="F735" i="5"/>
  <c r="C734" i="5"/>
  <c r="U733" i="5"/>
  <c r="K739" i="5" s="1"/>
  <c r="S733" i="5"/>
  <c r="K738" i="5" s="1"/>
  <c r="T733" i="5"/>
  <c r="H739" i="5" s="1"/>
  <c r="R733" i="5"/>
  <c r="H738" i="5" s="1"/>
  <c r="F733" i="5"/>
  <c r="E733" i="5"/>
  <c r="D733" i="5"/>
  <c r="I733" i="5"/>
  <c r="C733" i="5"/>
  <c r="A733" i="5"/>
  <c r="P732" i="5"/>
  <c r="Y732" i="5"/>
  <c r="X732" i="5"/>
  <c r="W732" i="5"/>
  <c r="G731" i="5"/>
  <c r="E731" i="5"/>
  <c r="J730" i="5"/>
  <c r="F730" i="5"/>
  <c r="E730" i="5"/>
  <c r="J729" i="5"/>
  <c r="F729" i="5"/>
  <c r="E729" i="5"/>
  <c r="K728" i="5"/>
  <c r="J728" i="5"/>
  <c r="H728" i="5"/>
  <c r="G728" i="5"/>
  <c r="F728" i="5"/>
  <c r="K727" i="5"/>
  <c r="J727" i="5"/>
  <c r="H727" i="5"/>
  <c r="Q727" i="5" s="1"/>
  <c r="G727" i="5"/>
  <c r="F727" i="5"/>
  <c r="C726" i="5"/>
  <c r="U725" i="5"/>
  <c r="K730" i="5" s="1"/>
  <c r="S725" i="5"/>
  <c r="K729" i="5" s="1"/>
  <c r="T725" i="5"/>
  <c r="H730" i="5" s="1"/>
  <c r="R725" i="5"/>
  <c r="H729" i="5" s="1"/>
  <c r="F725" i="5"/>
  <c r="E725" i="5"/>
  <c r="D725" i="5"/>
  <c r="I725" i="5"/>
  <c r="C725" i="5"/>
  <c r="A725" i="5"/>
  <c r="P724" i="5"/>
  <c r="Y724" i="5"/>
  <c r="X724" i="5"/>
  <c r="V724" i="5"/>
  <c r="K723" i="5"/>
  <c r="J723" i="5"/>
  <c r="Y723" i="5"/>
  <c r="X723" i="5"/>
  <c r="V723" i="5"/>
  <c r="H723" i="5"/>
  <c r="W723" i="5" s="1"/>
  <c r="F723" i="5"/>
  <c r="U723" i="5"/>
  <c r="S723" i="5"/>
  <c r="T723" i="5"/>
  <c r="R723" i="5"/>
  <c r="E723" i="5"/>
  <c r="D723" i="5"/>
  <c r="C723" i="5"/>
  <c r="B723" i="5"/>
  <c r="K722" i="5"/>
  <c r="J722" i="5"/>
  <c r="Y722" i="5"/>
  <c r="X722" i="5"/>
  <c r="V722" i="5"/>
  <c r="H722" i="5"/>
  <c r="W722" i="5" s="1"/>
  <c r="F722" i="5"/>
  <c r="U722" i="5"/>
  <c r="S722" i="5"/>
  <c r="T722" i="5"/>
  <c r="R722" i="5"/>
  <c r="E722" i="5"/>
  <c r="D722" i="5"/>
  <c r="C722" i="5"/>
  <c r="B722" i="5"/>
  <c r="G721" i="5"/>
  <c r="E721" i="5"/>
  <c r="J720" i="5"/>
  <c r="E720" i="5"/>
  <c r="J719" i="5"/>
  <c r="E719" i="5"/>
  <c r="K718" i="5"/>
  <c r="J718" i="5"/>
  <c r="H718" i="5"/>
  <c r="G718" i="5"/>
  <c r="F718" i="5"/>
  <c r="K717" i="5"/>
  <c r="J717" i="5"/>
  <c r="H717" i="5"/>
  <c r="Q717" i="5" s="1"/>
  <c r="G717" i="5"/>
  <c r="F717" i="5"/>
  <c r="K716" i="5"/>
  <c r="J716" i="5"/>
  <c r="H716" i="5"/>
  <c r="G716" i="5"/>
  <c r="F716" i="5"/>
  <c r="K715" i="5"/>
  <c r="J715" i="5"/>
  <c r="H715" i="5"/>
  <c r="Q715" i="5" s="1"/>
  <c r="G715" i="5"/>
  <c r="F715" i="5"/>
  <c r="C714" i="5"/>
  <c r="U713" i="5"/>
  <c r="S713" i="5"/>
  <c r="T713" i="5"/>
  <c r="R713" i="5"/>
  <c r="F713" i="5"/>
  <c r="E713" i="5"/>
  <c r="D713" i="5"/>
  <c r="I713" i="5"/>
  <c r="C713" i="5"/>
  <c r="A713" i="5"/>
  <c r="P712" i="5"/>
  <c r="Y712" i="5"/>
  <c r="X712" i="5"/>
  <c r="V712" i="5"/>
  <c r="K711" i="5"/>
  <c r="J711" i="5"/>
  <c r="Y711" i="5"/>
  <c r="X711" i="5"/>
  <c r="V711" i="5"/>
  <c r="H711" i="5"/>
  <c r="W711" i="5" s="1"/>
  <c r="F711" i="5"/>
  <c r="U711" i="5"/>
  <c r="S711" i="5"/>
  <c r="T711" i="5"/>
  <c r="R711" i="5"/>
  <c r="E711" i="5"/>
  <c r="D711" i="5"/>
  <c r="C711" i="5"/>
  <c r="B711" i="5"/>
  <c r="G710" i="5"/>
  <c r="E710" i="5"/>
  <c r="J709" i="5"/>
  <c r="E709" i="5"/>
  <c r="J708" i="5"/>
  <c r="E708" i="5"/>
  <c r="K707" i="5"/>
  <c r="J707" i="5"/>
  <c r="H707" i="5"/>
  <c r="G707" i="5"/>
  <c r="F707" i="5"/>
  <c r="K706" i="5"/>
  <c r="J706" i="5"/>
  <c r="H706" i="5"/>
  <c r="Q706" i="5" s="1"/>
  <c r="G706" i="5"/>
  <c r="F706" i="5"/>
  <c r="K705" i="5"/>
  <c r="J705" i="5"/>
  <c r="H705" i="5"/>
  <c r="G705" i="5"/>
  <c r="F705" i="5"/>
  <c r="K704" i="5"/>
  <c r="J704" i="5"/>
  <c r="H704" i="5"/>
  <c r="Q704" i="5" s="1"/>
  <c r="G704" i="5"/>
  <c r="F704" i="5"/>
  <c r="C703" i="5"/>
  <c r="U702" i="5"/>
  <c r="S702" i="5"/>
  <c r="T702" i="5"/>
  <c r="R702" i="5"/>
  <c r="F702" i="5"/>
  <c r="E702" i="5"/>
  <c r="D702" i="5"/>
  <c r="I702" i="5"/>
  <c r="C702" i="5"/>
  <c r="A702" i="5"/>
  <c r="P701" i="5"/>
  <c r="Y701" i="5"/>
  <c r="X701" i="5"/>
  <c r="V701" i="5"/>
  <c r="K700" i="5"/>
  <c r="J700" i="5"/>
  <c r="Y700" i="5"/>
  <c r="X700" i="5"/>
  <c r="V700" i="5"/>
  <c r="H700" i="5"/>
  <c r="W700" i="5" s="1"/>
  <c r="F700" i="5"/>
  <c r="U700" i="5"/>
  <c r="S700" i="5"/>
  <c r="T700" i="5"/>
  <c r="R700" i="5"/>
  <c r="E700" i="5"/>
  <c r="D700" i="5"/>
  <c r="C700" i="5"/>
  <c r="B700" i="5"/>
  <c r="G699" i="5"/>
  <c r="E699" i="5"/>
  <c r="J698" i="5"/>
  <c r="E698" i="5"/>
  <c r="J697" i="5"/>
  <c r="E697" i="5"/>
  <c r="K696" i="5"/>
  <c r="J696" i="5"/>
  <c r="H696" i="5"/>
  <c r="G696" i="5"/>
  <c r="F696" i="5"/>
  <c r="K695" i="5"/>
  <c r="J695" i="5"/>
  <c r="H695" i="5"/>
  <c r="Q695" i="5" s="1"/>
  <c r="G695" i="5"/>
  <c r="F695" i="5"/>
  <c r="K694" i="5"/>
  <c r="J694" i="5"/>
  <c r="H694" i="5"/>
  <c r="G694" i="5"/>
  <c r="F694" i="5"/>
  <c r="K693" i="5"/>
  <c r="J693" i="5"/>
  <c r="H693" i="5"/>
  <c r="Q693" i="5" s="1"/>
  <c r="G693" i="5"/>
  <c r="F693" i="5"/>
  <c r="C692" i="5"/>
  <c r="U691" i="5"/>
  <c r="S691" i="5"/>
  <c r="T691" i="5"/>
  <c r="R691" i="5"/>
  <c r="F691" i="5"/>
  <c r="E691" i="5"/>
  <c r="D691" i="5"/>
  <c r="I691" i="5"/>
  <c r="C691" i="5"/>
  <c r="A691" i="5"/>
  <c r="P690" i="5"/>
  <c r="Y690" i="5"/>
  <c r="X690" i="5"/>
  <c r="V690" i="5"/>
  <c r="K689" i="5"/>
  <c r="J689" i="5"/>
  <c r="Y689" i="5"/>
  <c r="X689" i="5"/>
  <c r="V689" i="5"/>
  <c r="H689" i="5"/>
  <c r="W689" i="5" s="1"/>
  <c r="F689" i="5"/>
  <c r="U689" i="5"/>
  <c r="S689" i="5"/>
  <c r="T689" i="5"/>
  <c r="R689" i="5"/>
  <c r="E689" i="5"/>
  <c r="D689" i="5"/>
  <c r="C689" i="5"/>
  <c r="B689" i="5"/>
  <c r="K688" i="5"/>
  <c r="J688" i="5"/>
  <c r="Y688" i="5"/>
  <c r="X688" i="5"/>
  <c r="V688" i="5"/>
  <c r="H688" i="5"/>
  <c r="W688" i="5" s="1"/>
  <c r="F688" i="5"/>
  <c r="U688" i="5"/>
  <c r="S688" i="5"/>
  <c r="T688" i="5"/>
  <c r="R688" i="5"/>
  <c r="E688" i="5"/>
  <c r="D688" i="5"/>
  <c r="C688" i="5"/>
  <c r="B688" i="5"/>
  <c r="G687" i="5"/>
  <c r="E687" i="5"/>
  <c r="J686" i="5"/>
  <c r="E686" i="5"/>
  <c r="J685" i="5"/>
  <c r="E685" i="5"/>
  <c r="K684" i="5"/>
  <c r="J684" i="5"/>
  <c r="H684" i="5"/>
  <c r="G684" i="5"/>
  <c r="F684" i="5"/>
  <c r="K683" i="5"/>
  <c r="J683" i="5"/>
  <c r="H683" i="5"/>
  <c r="G683" i="5"/>
  <c r="F683" i="5"/>
  <c r="C682" i="5"/>
  <c r="U681" i="5"/>
  <c r="S681" i="5"/>
  <c r="T681" i="5"/>
  <c r="R681" i="5"/>
  <c r="F681" i="5"/>
  <c r="E681" i="5"/>
  <c r="D681" i="5"/>
  <c r="I681" i="5"/>
  <c r="C681" i="5"/>
  <c r="A681" i="5"/>
  <c r="P680" i="5"/>
  <c r="Y680" i="5"/>
  <c r="X680" i="5"/>
  <c r="V680" i="5"/>
  <c r="K679" i="5"/>
  <c r="J679" i="5"/>
  <c r="Y679" i="5"/>
  <c r="X679" i="5"/>
  <c r="V679" i="5"/>
  <c r="H679" i="5"/>
  <c r="W679" i="5" s="1"/>
  <c r="F679" i="5"/>
  <c r="U679" i="5"/>
  <c r="S679" i="5"/>
  <c r="T679" i="5"/>
  <c r="R679" i="5"/>
  <c r="E679" i="5"/>
  <c r="D679" i="5"/>
  <c r="C679" i="5"/>
  <c r="B679" i="5"/>
  <c r="G678" i="5"/>
  <c r="E678" i="5"/>
  <c r="J677" i="5"/>
  <c r="E677" i="5"/>
  <c r="J676" i="5"/>
  <c r="E676" i="5"/>
  <c r="K675" i="5"/>
  <c r="J675" i="5"/>
  <c r="H675" i="5"/>
  <c r="G675" i="5"/>
  <c r="F675" i="5"/>
  <c r="K674" i="5"/>
  <c r="J674" i="5"/>
  <c r="H674" i="5"/>
  <c r="Q674" i="5" s="1"/>
  <c r="G674" i="5"/>
  <c r="F674" i="5"/>
  <c r="U673" i="5"/>
  <c r="S673" i="5"/>
  <c r="K676" i="5" s="1"/>
  <c r="T673" i="5"/>
  <c r="R673" i="5"/>
  <c r="H676" i="5" s="1"/>
  <c r="F673" i="5"/>
  <c r="E673" i="5"/>
  <c r="D673" i="5"/>
  <c r="I673" i="5"/>
  <c r="C673" i="5"/>
  <c r="A673" i="5"/>
  <c r="P672" i="5"/>
  <c r="Y672" i="5"/>
  <c r="X672" i="5"/>
  <c r="V672" i="5"/>
  <c r="K671" i="5"/>
  <c r="J671" i="5"/>
  <c r="Y671" i="5"/>
  <c r="X671" i="5"/>
  <c r="V671" i="5"/>
  <c r="H671" i="5"/>
  <c r="W671" i="5" s="1"/>
  <c r="F671" i="5"/>
  <c r="U671" i="5"/>
  <c r="S671" i="5"/>
  <c r="T671" i="5"/>
  <c r="R671" i="5"/>
  <c r="E671" i="5"/>
  <c r="D671" i="5"/>
  <c r="C671" i="5"/>
  <c r="B671" i="5"/>
  <c r="G670" i="5"/>
  <c r="E670" i="5"/>
  <c r="J669" i="5"/>
  <c r="E669" i="5"/>
  <c r="J668" i="5"/>
  <c r="E668" i="5"/>
  <c r="K667" i="5"/>
  <c r="J667" i="5"/>
  <c r="H667" i="5"/>
  <c r="G667" i="5"/>
  <c r="F667" i="5"/>
  <c r="K666" i="5"/>
  <c r="J666" i="5"/>
  <c r="H666" i="5"/>
  <c r="Q666" i="5" s="1"/>
  <c r="G666" i="5"/>
  <c r="F666" i="5"/>
  <c r="K665" i="5"/>
  <c r="J665" i="5"/>
  <c r="H665" i="5"/>
  <c r="G665" i="5"/>
  <c r="F665" i="5"/>
  <c r="K664" i="5"/>
  <c r="J664" i="5"/>
  <c r="H664" i="5"/>
  <c r="G664" i="5"/>
  <c r="F664" i="5"/>
  <c r="C663" i="5"/>
  <c r="U662" i="5"/>
  <c r="S662" i="5"/>
  <c r="T662" i="5"/>
  <c r="R662" i="5"/>
  <c r="F662" i="5"/>
  <c r="E662" i="5"/>
  <c r="D662" i="5"/>
  <c r="I662" i="5"/>
  <c r="C662" i="5"/>
  <c r="A662" i="5"/>
  <c r="P661" i="5"/>
  <c r="Y661" i="5"/>
  <c r="X661" i="5"/>
  <c r="V661" i="5"/>
  <c r="K660" i="5"/>
  <c r="J660" i="5"/>
  <c r="Y660" i="5"/>
  <c r="X660" i="5"/>
  <c r="V660" i="5"/>
  <c r="H660" i="5"/>
  <c r="W660" i="5" s="1"/>
  <c r="F660" i="5"/>
  <c r="U660" i="5"/>
  <c r="S660" i="5"/>
  <c r="T660" i="5"/>
  <c r="R660" i="5"/>
  <c r="E660" i="5"/>
  <c r="D660" i="5"/>
  <c r="C660" i="5"/>
  <c r="B660" i="5"/>
  <c r="K659" i="5"/>
  <c r="J659" i="5"/>
  <c r="Y659" i="5"/>
  <c r="X659" i="5"/>
  <c r="V659" i="5"/>
  <c r="H659" i="5"/>
  <c r="W659" i="5" s="1"/>
  <c r="F659" i="5"/>
  <c r="U659" i="5"/>
  <c r="S659" i="5"/>
  <c r="T659" i="5"/>
  <c r="R659" i="5"/>
  <c r="E659" i="5"/>
  <c r="D659" i="5"/>
  <c r="C659" i="5"/>
  <c r="B659" i="5"/>
  <c r="G658" i="5"/>
  <c r="E658" i="5"/>
  <c r="J657" i="5"/>
  <c r="E657" i="5"/>
  <c r="J656" i="5"/>
  <c r="E656" i="5"/>
  <c r="K655" i="5"/>
  <c r="J655" i="5"/>
  <c r="H655" i="5"/>
  <c r="G655" i="5"/>
  <c r="F655" i="5"/>
  <c r="K654" i="5"/>
  <c r="J654" i="5"/>
  <c r="H654" i="5"/>
  <c r="Q654" i="5" s="1"/>
  <c r="G654" i="5"/>
  <c r="F654" i="5"/>
  <c r="C653" i="5"/>
  <c r="U652" i="5"/>
  <c r="S652" i="5"/>
  <c r="T652" i="5"/>
  <c r="R652" i="5"/>
  <c r="F652" i="5"/>
  <c r="E652" i="5"/>
  <c r="D652" i="5"/>
  <c r="I652" i="5"/>
  <c r="C652" i="5"/>
  <c r="A652" i="5"/>
  <c r="P651" i="5"/>
  <c r="Y651" i="5"/>
  <c r="X651" i="5"/>
  <c r="V651" i="5"/>
  <c r="K650" i="5"/>
  <c r="J650" i="5"/>
  <c r="Y650" i="5"/>
  <c r="X650" i="5"/>
  <c r="V650" i="5"/>
  <c r="H650" i="5"/>
  <c r="W650" i="5" s="1"/>
  <c r="F650" i="5"/>
  <c r="U650" i="5"/>
  <c r="S650" i="5"/>
  <c r="T650" i="5"/>
  <c r="R650" i="5"/>
  <c r="E650" i="5"/>
  <c r="D650" i="5"/>
  <c r="C650" i="5"/>
  <c r="B650" i="5"/>
  <c r="G649" i="5"/>
  <c r="E649" i="5"/>
  <c r="J648" i="5"/>
  <c r="E648" i="5"/>
  <c r="J647" i="5"/>
  <c r="E647" i="5"/>
  <c r="K646" i="5"/>
  <c r="J646" i="5"/>
  <c r="H646" i="5"/>
  <c r="G646" i="5"/>
  <c r="F646" i="5"/>
  <c r="K645" i="5"/>
  <c r="J645" i="5"/>
  <c r="H645" i="5"/>
  <c r="Q645" i="5" s="1"/>
  <c r="G645" i="5"/>
  <c r="F645" i="5"/>
  <c r="K644" i="5"/>
  <c r="J644" i="5"/>
  <c r="H644" i="5"/>
  <c r="G644" i="5"/>
  <c r="F644" i="5"/>
  <c r="K643" i="5"/>
  <c r="J643" i="5"/>
  <c r="H643" i="5"/>
  <c r="Q643" i="5" s="1"/>
  <c r="G643" i="5"/>
  <c r="F643" i="5"/>
  <c r="U642" i="5"/>
  <c r="S642" i="5"/>
  <c r="T642" i="5"/>
  <c r="R642" i="5"/>
  <c r="F642" i="5"/>
  <c r="E642" i="5"/>
  <c r="D642" i="5"/>
  <c r="I642" i="5"/>
  <c r="C642" i="5"/>
  <c r="A642" i="5"/>
  <c r="P641" i="5"/>
  <c r="Y641" i="5"/>
  <c r="X641" i="5"/>
  <c r="V641" i="5"/>
  <c r="K640" i="5"/>
  <c r="J640" i="5"/>
  <c r="Y640" i="5"/>
  <c r="X640" i="5"/>
  <c r="V640" i="5"/>
  <c r="H640" i="5"/>
  <c r="W640" i="5" s="1"/>
  <c r="F640" i="5"/>
  <c r="U640" i="5"/>
  <c r="S640" i="5"/>
  <c r="T640" i="5"/>
  <c r="R640" i="5"/>
  <c r="E640" i="5"/>
  <c r="D640" i="5"/>
  <c r="C640" i="5"/>
  <c r="B640" i="5"/>
  <c r="G639" i="5"/>
  <c r="E639" i="5"/>
  <c r="J638" i="5"/>
  <c r="E638" i="5"/>
  <c r="J637" i="5"/>
  <c r="E637" i="5"/>
  <c r="K636" i="5"/>
  <c r="J636" i="5"/>
  <c r="H636" i="5"/>
  <c r="G636" i="5"/>
  <c r="F636" i="5"/>
  <c r="K635" i="5"/>
  <c r="J635" i="5"/>
  <c r="H635" i="5"/>
  <c r="Q635" i="5" s="1"/>
  <c r="G635" i="5"/>
  <c r="F635" i="5"/>
  <c r="K634" i="5"/>
  <c r="J634" i="5"/>
  <c r="H634" i="5"/>
  <c r="G634" i="5"/>
  <c r="F634" i="5"/>
  <c r="K633" i="5"/>
  <c r="J633" i="5"/>
  <c r="H633" i="5"/>
  <c r="G633" i="5"/>
  <c r="F633" i="5"/>
  <c r="C632" i="5"/>
  <c r="U631" i="5"/>
  <c r="S631" i="5"/>
  <c r="T631" i="5"/>
  <c r="R631" i="5"/>
  <c r="F631" i="5"/>
  <c r="E631" i="5"/>
  <c r="D631" i="5"/>
  <c r="I631" i="5"/>
  <c r="C631" i="5"/>
  <c r="A631" i="5"/>
  <c r="P630" i="5"/>
  <c r="Y630" i="5"/>
  <c r="X630" i="5"/>
  <c r="V630" i="5"/>
  <c r="K629" i="5"/>
  <c r="J629" i="5"/>
  <c r="Y629" i="5"/>
  <c r="X629" i="5"/>
  <c r="V629" i="5"/>
  <c r="H629" i="5"/>
  <c r="W629" i="5" s="1"/>
  <c r="F629" i="5"/>
  <c r="U629" i="5"/>
  <c r="S629" i="5"/>
  <c r="T629" i="5"/>
  <c r="R629" i="5"/>
  <c r="E629" i="5"/>
  <c r="D629" i="5"/>
  <c r="C629" i="5"/>
  <c r="B629" i="5"/>
  <c r="G628" i="5"/>
  <c r="E628" i="5"/>
  <c r="J627" i="5"/>
  <c r="E627" i="5"/>
  <c r="J626" i="5"/>
  <c r="E626" i="5"/>
  <c r="K625" i="5"/>
  <c r="J625" i="5"/>
  <c r="H625" i="5"/>
  <c r="G625" i="5"/>
  <c r="F625" i="5"/>
  <c r="K624" i="5"/>
  <c r="J624" i="5"/>
  <c r="H624" i="5"/>
  <c r="Q624" i="5" s="1"/>
  <c r="G624" i="5"/>
  <c r="F624" i="5"/>
  <c r="U623" i="5"/>
  <c r="S623" i="5"/>
  <c r="K626" i="5" s="1"/>
  <c r="T623" i="5"/>
  <c r="R623" i="5"/>
  <c r="H626" i="5" s="1"/>
  <c r="F623" i="5"/>
  <c r="E623" i="5"/>
  <c r="D623" i="5"/>
  <c r="I623" i="5"/>
  <c r="C623" i="5"/>
  <c r="A623" i="5"/>
  <c r="P622" i="5"/>
  <c r="Y622" i="5"/>
  <c r="X622" i="5"/>
  <c r="V622" i="5"/>
  <c r="K621" i="5"/>
  <c r="J621" i="5"/>
  <c r="Y621" i="5"/>
  <c r="X621" i="5"/>
  <c r="V621" i="5"/>
  <c r="H621" i="5"/>
  <c r="W621" i="5" s="1"/>
  <c r="F621" i="5"/>
  <c r="U621" i="5"/>
  <c r="S621" i="5"/>
  <c r="T621" i="5"/>
  <c r="R621" i="5"/>
  <c r="E621" i="5"/>
  <c r="D621" i="5"/>
  <c r="C621" i="5"/>
  <c r="B621" i="5"/>
  <c r="G620" i="5"/>
  <c r="E620" i="5"/>
  <c r="J619" i="5"/>
  <c r="E619" i="5"/>
  <c r="J618" i="5"/>
  <c r="E618" i="5"/>
  <c r="K617" i="5"/>
  <c r="J617" i="5"/>
  <c r="H617" i="5"/>
  <c r="G617" i="5"/>
  <c r="F617" i="5"/>
  <c r="K616" i="5"/>
  <c r="J616" i="5"/>
  <c r="H616" i="5"/>
  <c r="Q616" i="5" s="1"/>
  <c r="G616" i="5"/>
  <c r="F616" i="5"/>
  <c r="K615" i="5"/>
  <c r="J615" i="5"/>
  <c r="H615" i="5"/>
  <c r="G615" i="5"/>
  <c r="F615" i="5"/>
  <c r="K614" i="5"/>
  <c r="J614" i="5"/>
  <c r="H614" i="5"/>
  <c r="G614" i="5"/>
  <c r="F614" i="5"/>
  <c r="C613" i="5"/>
  <c r="U612" i="5"/>
  <c r="S612" i="5"/>
  <c r="T612" i="5"/>
  <c r="R612" i="5"/>
  <c r="F612" i="5"/>
  <c r="E612" i="5"/>
  <c r="D612" i="5"/>
  <c r="I612" i="5"/>
  <c r="C612" i="5"/>
  <c r="A612" i="5"/>
  <c r="P611" i="5"/>
  <c r="Y611" i="5"/>
  <c r="X611" i="5"/>
  <c r="W611" i="5"/>
  <c r="G610" i="5"/>
  <c r="E610" i="5"/>
  <c r="J609" i="5"/>
  <c r="F609" i="5"/>
  <c r="E609" i="5"/>
  <c r="J608" i="5"/>
  <c r="F608" i="5"/>
  <c r="E608" i="5"/>
  <c r="K607" i="5"/>
  <c r="J607" i="5"/>
  <c r="H607" i="5"/>
  <c r="G607" i="5"/>
  <c r="F607" i="5"/>
  <c r="K606" i="5"/>
  <c r="J606" i="5"/>
  <c r="H606" i="5"/>
  <c r="Q606" i="5" s="1"/>
  <c r="G606" i="5"/>
  <c r="F606" i="5"/>
  <c r="K605" i="5"/>
  <c r="J605" i="5"/>
  <c r="H605" i="5"/>
  <c r="G605" i="5"/>
  <c r="F605" i="5"/>
  <c r="K604" i="5"/>
  <c r="J604" i="5"/>
  <c r="H604" i="5"/>
  <c r="G604" i="5"/>
  <c r="F604" i="5"/>
  <c r="U603" i="5"/>
  <c r="K609" i="5" s="1"/>
  <c r="S603" i="5"/>
  <c r="K608" i="5" s="1"/>
  <c r="T603" i="5"/>
  <c r="H609" i="5" s="1"/>
  <c r="R603" i="5"/>
  <c r="H608" i="5" s="1"/>
  <c r="F603" i="5"/>
  <c r="E603" i="5"/>
  <c r="D603" i="5"/>
  <c r="I603" i="5"/>
  <c r="C603" i="5"/>
  <c r="A603" i="5"/>
  <c r="P602" i="5"/>
  <c r="Y602" i="5"/>
  <c r="X602" i="5"/>
  <c r="V602" i="5"/>
  <c r="G601" i="5"/>
  <c r="E601" i="5"/>
  <c r="J600" i="5"/>
  <c r="E600" i="5"/>
  <c r="J599" i="5"/>
  <c r="E599" i="5"/>
  <c r="K598" i="5"/>
  <c r="J598" i="5"/>
  <c r="H598" i="5"/>
  <c r="G598" i="5"/>
  <c r="F598" i="5"/>
  <c r="K597" i="5"/>
  <c r="J597" i="5"/>
  <c r="H597" i="5"/>
  <c r="G597" i="5"/>
  <c r="F597" i="5"/>
  <c r="U596" i="5"/>
  <c r="K600" i="5" s="1"/>
  <c r="S596" i="5"/>
  <c r="K599" i="5" s="1"/>
  <c r="T596" i="5"/>
  <c r="H600" i="5" s="1"/>
  <c r="R596" i="5"/>
  <c r="H599" i="5" s="1"/>
  <c r="F596" i="5"/>
  <c r="E596" i="5"/>
  <c r="D596" i="5"/>
  <c r="I596" i="5"/>
  <c r="C596" i="5"/>
  <c r="A596" i="5"/>
  <c r="P595" i="5"/>
  <c r="Y595" i="5"/>
  <c r="X595" i="5"/>
  <c r="V595" i="5"/>
  <c r="G594" i="5"/>
  <c r="E594" i="5"/>
  <c r="J593" i="5"/>
  <c r="E593" i="5"/>
  <c r="J592" i="5"/>
  <c r="E592" i="5"/>
  <c r="K591" i="5"/>
  <c r="J591" i="5"/>
  <c r="H591" i="5"/>
  <c r="G591" i="5"/>
  <c r="F591" i="5"/>
  <c r="K590" i="5"/>
  <c r="J590" i="5"/>
  <c r="H590" i="5"/>
  <c r="Q590" i="5" s="1"/>
  <c r="G590" i="5"/>
  <c r="F590" i="5"/>
  <c r="K589" i="5"/>
  <c r="J589" i="5"/>
  <c r="H589" i="5"/>
  <c r="G589" i="5"/>
  <c r="F589" i="5"/>
  <c r="K588" i="5"/>
  <c r="J588" i="5"/>
  <c r="H588" i="5"/>
  <c r="G588" i="5"/>
  <c r="F588" i="5"/>
  <c r="C587" i="5"/>
  <c r="U586" i="5"/>
  <c r="K593" i="5" s="1"/>
  <c r="S586" i="5"/>
  <c r="K592" i="5" s="1"/>
  <c r="T586" i="5"/>
  <c r="H593" i="5" s="1"/>
  <c r="R586" i="5"/>
  <c r="H592" i="5" s="1"/>
  <c r="F586" i="5"/>
  <c r="E586" i="5"/>
  <c r="D586" i="5"/>
  <c r="I586" i="5"/>
  <c r="C586" i="5"/>
  <c r="A586" i="5"/>
  <c r="P585" i="5"/>
  <c r="Y585" i="5"/>
  <c r="X585" i="5"/>
  <c r="V585" i="5"/>
  <c r="K584" i="5"/>
  <c r="J584" i="5"/>
  <c r="Y584" i="5"/>
  <c r="X584" i="5"/>
  <c r="V584" i="5"/>
  <c r="H584" i="5"/>
  <c r="W584" i="5" s="1"/>
  <c r="F584" i="5"/>
  <c r="U584" i="5"/>
  <c r="S584" i="5"/>
  <c r="T584" i="5"/>
  <c r="R584" i="5"/>
  <c r="E584" i="5"/>
  <c r="D584" i="5"/>
  <c r="C584" i="5"/>
  <c r="B584" i="5"/>
  <c r="G583" i="5"/>
  <c r="E583" i="5"/>
  <c r="J582" i="5"/>
  <c r="E582" i="5"/>
  <c r="J581" i="5"/>
  <c r="E581" i="5"/>
  <c r="K580" i="5"/>
  <c r="J580" i="5"/>
  <c r="H580" i="5"/>
  <c r="G580" i="5"/>
  <c r="F580" i="5"/>
  <c r="K579" i="5"/>
  <c r="J579" i="5"/>
  <c r="H579" i="5"/>
  <c r="Q579" i="5" s="1"/>
  <c r="G579" i="5"/>
  <c r="F579" i="5"/>
  <c r="K578" i="5"/>
  <c r="J578" i="5"/>
  <c r="H578" i="5"/>
  <c r="G578" i="5"/>
  <c r="F578" i="5"/>
  <c r="K577" i="5"/>
  <c r="J577" i="5"/>
  <c r="H577" i="5"/>
  <c r="Q577" i="5" s="1"/>
  <c r="G577" i="5"/>
  <c r="F577" i="5"/>
  <c r="C576" i="5"/>
  <c r="U575" i="5"/>
  <c r="S575" i="5"/>
  <c r="T575" i="5"/>
  <c r="R575" i="5"/>
  <c r="F575" i="5"/>
  <c r="E575" i="5"/>
  <c r="D575" i="5"/>
  <c r="I575" i="5"/>
  <c r="C575" i="5"/>
  <c r="A575" i="5"/>
  <c r="P574" i="5"/>
  <c r="Y574" i="5"/>
  <c r="X574" i="5"/>
  <c r="W574" i="5"/>
  <c r="K573" i="5"/>
  <c r="J573" i="5"/>
  <c r="Y573" i="5"/>
  <c r="X573" i="5"/>
  <c r="W573" i="5"/>
  <c r="H573" i="5"/>
  <c r="V573" i="5" s="1"/>
  <c r="F573" i="5"/>
  <c r="U573" i="5"/>
  <c r="S573" i="5"/>
  <c r="T573" i="5"/>
  <c r="R573" i="5"/>
  <c r="E573" i="5"/>
  <c r="D573" i="5"/>
  <c r="C573" i="5"/>
  <c r="G572" i="5"/>
  <c r="E572" i="5"/>
  <c r="J571" i="5"/>
  <c r="F571" i="5"/>
  <c r="E571" i="5"/>
  <c r="J570" i="5"/>
  <c r="F570" i="5"/>
  <c r="E570" i="5"/>
  <c r="K569" i="5"/>
  <c r="J569" i="5"/>
  <c r="H569" i="5"/>
  <c r="Q569" i="5" s="1"/>
  <c r="G569" i="5"/>
  <c r="F569" i="5"/>
  <c r="K568" i="5"/>
  <c r="J568" i="5"/>
  <c r="H568" i="5"/>
  <c r="G568" i="5"/>
  <c r="F568" i="5"/>
  <c r="K567" i="5"/>
  <c r="J567" i="5"/>
  <c r="H567" i="5"/>
  <c r="Q567" i="5" s="1"/>
  <c r="G567" i="5"/>
  <c r="F567" i="5"/>
  <c r="C566" i="5"/>
  <c r="U565" i="5"/>
  <c r="S565" i="5"/>
  <c r="T565" i="5"/>
  <c r="R565" i="5"/>
  <c r="F565" i="5"/>
  <c r="E565" i="5"/>
  <c r="D565" i="5"/>
  <c r="I565" i="5"/>
  <c r="C565" i="5"/>
  <c r="A565" i="5"/>
  <c r="P564" i="5"/>
  <c r="Y564" i="5"/>
  <c r="X564" i="5"/>
  <c r="W564" i="5"/>
  <c r="K563" i="5"/>
  <c r="J563" i="5"/>
  <c r="Y563" i="5"/>
  <c r="X563" i="5"/>
  <c r="W563" i="5"/>
  <c r="H563" i="5"/>
  <c r="V563" i="5" s="1"/>
  <c r="F563" i="5"/>
  <c r="U563" i="5"/>
  <c r="S563" i="5"/>
  <c r="T563" i="5"/>
  <c r="R563" i="5"/>
  <c r="E563" i="5"/>
  <c r="D563" i="5"/>
  <c r="C563" i="5"/>
  <c r="B563" i="5"/>
  <c r="K562" i="5"/>
  <c r="J562" i="5"/>
  <c r="Y562" i="5"/>
  <c r="X562" i="5"/>
  <c r="W562" i="5"/>
  <c r="H562" i="5"/>
  <c r="V562" i="5" s="1"/>
  <c r="F562" i="5"/>
  <c r="U562" i="5"/>
  <c r="S562" i="5"/>
  <c r="T562" i="5"/>
  <c r="R562" i="5"/>
  <c r="E562" i="5"/>
  <c r="D562" i="5"/>
  <c r="C562" i="5"/>
  <c r="B562" i="5"/>
  <c r="K561" i="5"/>
  <c r="J561" i="5"/>
  <c r="Y561" i="5"/>
  <c r="X561" i="5"/>
  <c r="W561" i="5"/>
  <c r="H561" i="5"/>
  <c r="V561" i="5" s="1"/>
  <c r="F561" i="5"/>
  <c r="U561" i="5"/>
  <c r="S561" i="5"/>
  <c r="T561" i="5"/>
  <c r="R561" i="5"/>
  <c r="E561" i="5"/>
  <c r="D561" i="5"/>
  <c r="C561" i="5"/>
  <c r="B561" i="5"/>
  <c r="K560" i="5"/>
  <c r="J560" i="5"/>
  <c r="Y560" i="5"/>
  <c r="X560" i="5"/>
  <c r="W560" i="5"/>
  <c r="H560" i="5"/>
  <c r="V560" i="5" s="1"/>
  <c r="F560" i="5"/>
  <c r="U560" i="5"/>
  <c r="S560" i="5"/>
  <c r="T560" i="5"/>
  <c r="R560" i="5"/>
  <c r="E560" i="5"/>
  <c r="D560" i="5"/>
  <c r="C560" i="5"/>
  <c r="B560" i="5"/>
  <c r="G559" i="5"/>
  <c r="E559" i="5"/>
  <c r="J558" i="5"/>
  <c r="F558" i="5"/>
  <c r="E558" i="5"/>
  <c r="J557" i="5"/>
  <c r="F557" i="5"/>
  <c r="E557" i="5"/>
  <c r="K556" i="5"/>
  <c r="J556" i="5"/>
  <c r="H556" i="5"/>
  <c r="G556" i="5"/>
  <c r="F556" i="5"/>
  <c r="K555" i="5"/>
  <c r="J555" i="5"/>
  <c r="H555" i="5"/>
  <c r="Q555" i="5" s="1"/>
  <c r="G555" i="5"/>
  <c r="F555" i="5"/>
  <c r="K554" i="5"/>
  <c r="J554" i="5"/>
  <c r="H554" i="5"/>
  <c r="G554" i="5"/>
  <c r="F554" i="5"/>
  <c r="K553" i="5"/>
  <c r="J553" i="5"/>
  <c r="H553" i="5"/>
  <c r="Q553" i="5" s="1"/>
  <c r="G553" i="5"/>
  <c r="F553" i="5"/>
  <c r="C552" i="5"/>
  <c r="U551" i="5"/>
  <c r="S551" i="5"/>
  <c r="T551" i="5"/>
  <c r="R551" i="5"/>
  <c r="F551" i="5"/>
  <c r="E551" i="5"/>
  <c r="D551" i="5"/>
  <c r="I551" i="5"/>
  <c r="C551" i="5"/>
  <c r="A551" i="5"/>
  <c r="P550" i="5"/>
  <c r="Y550" i="5"/>
  <c r="X550" i="5"/>
  <c r="W550" i="5"/>
  <c r="K549" i="5"/>
  <c r="J549" i="5"/>
  <c r="Y549" i="5"/>
  <c r="X549" i="5"/>
  <c r="W549" i="5"/>
  <c r="H549" i="5"/>
  <c r="V549" i="5" s="1"/>
  <c r="F549" i="5"/>
  <c r="U549" i="5"/>
  <c r="S549" i="5"/>
  <c r="T549" i="5"/>
  <c r="R549" i="5"/>
  <c r="E549" i="5"/>
  <c r="D549" i="5"/>
  <c r="C549" i="5"/>
  <c r="B549" i="5"/>
  <c r="K548" i="5"/>
  <c r="J548" i="5"/>
  <c r="Y548" i="5"/>
  <c r="X548" i="5"/>
  <c r="W548" i="5"/>
  <c r="H548" i="5"/>
  <c r="V548" i="5" s="1"/>
  <c r="F548" i="5"/>
  <c r="U548" i="5"/>
  <c r="S548" i="5"/>
  <c r="T548" i="5"/>
  <c r="R548" i="5"/>
  <c r="E548" i="5"/>
  <c r="D548" i="5"/>
  <c r="C548" i="5"/>
  <c r="B548" i="5"/>
  <c r="K547" i="5"/>
  <c r="J547" i="5"/>
  <c r="Y547" i="5"/>
  <c r="X547" i="5"/>
  <c r="W547" i="5"/>
  <c r="H547" i="5"/>
  <c r="V547" i="5" s="1"/>
  <c r="F547" i="5"/>
  <c r="U547" i="5"/>
  <c r="S547" i="5"/>
  <c r="T547" i="5"/>
  <c r="R547" i="5"/>
  <c r="E547" i="5"/>
  <c r="D547" i="5"/>
  <c r="C547" i="5"/>
  <c r="B547" i="5"/>
  <c r="K546" i="5"/>
  <c r="J546" i="5"/>
  <c r="Y546" i="5"/>
  <c r="X546" i="5"/>
  <c r="W546" i="5"/>
  <c r="H546" i="5"/>
  <c r="V546" i="5" s="1"/>
  <c r="F546" i="5"/>
  <c r="U546" i="5"/>
  <c r="S546" i="5"/>
  <c r="T546" i="5"/>
  <c r="R546" i="5"/>
  <c r="E546" i="5"/>
  <c r="D546" i="5"/>
  <c r="C546" i="5"/>
  <c r="B546" i="5"/>
  <c r="G545" i="5"/>
  <c r="E545" i="5"/>
  <c r="J544" i="5"/>
  <c r="F544" i="5"/>
  <c r="E544" i="5"/>
  <c r="J543" i="5"/>
  <c r="F543" i="5"/>
  <c r="E543" i="5"/>
  <c r="K542" i="5"/>
  <c r="J542" i="5"/>
  <c r="H542" i="5"/>
  <c r="G542" i="5"/>
  <c r="F542" i="5"/>
  <c r="K541" i="5"/>
  <c r="J541" i="5"/>
  <c r="H541" i="5"/>
  <c r="Q541" i="5" s="1"/>
  <c r="G541" i="5"/>
  <c r="F541" i="5"/>
  <c r="K540" i="5"/>
  <c r="J540" i="5"/>
  <c r="H540" i="5"/>
  <c r="G540" i="5"/>
  <c r="F540" i="5"/>
  <c r="K539" i="5"/>
  <c r="J539" i="5"/>
  <c r="H539" i="5"/>
  <c r="Q539" i="5" s="1"/>
  <c r="G539" i="5"/>
  <c r="F539" i="5"/>
  <c r="C538" i="5"/>
  <c r="U537" i="5"/>
  <c r="S537" i="5"/>
  <c r="T537" i="5"/>
  <c r="R537" i="5"/>
  <c r="F537" i="5"/>
  <c r="E537" i="5"/>
  <c r="D537" i="5"/>
  <c r="I537" i="5"/>
  <c r="C537" i="5"/>
  <c r="A537" i="5"/>
  <c r="P536" i="5"/>
  <c r="Y536" i="5"/>
  <c r="X536" i="5"/>
  <c r="W536" i="5"/>
  <c r="K535" i="5"/>
  <c r="J535" i="5"/>
  <c r="Y535" i="5"/>
  <c r="X535" i="5"/>
  <c r="W535" i="5"/>
  <c r="H535" i="5"/>
  <c r="V535" i="5" s="1"/>
  <c r="F535" i="5"/>
  <c r="U535" i="5"/>
  <c r="S535" i="5"/>
  <c r="T535" i="5"/>
  <c r="R535" i="5"/>
  <c r="E535" i="5"/>
  <c r="D535" i="5"/>
  <c r="C535" i="5"/>
  <c r="B535" i="5"/>
  <c r="G534" i="5"/>
  <c r="E534" i="5"/>
  <c r="J533" i="5"/>
  <c r="F533" i="5"/>
  <c r="E533" i="5"/>
  <c r="J532" i="5"/>
  <c r="F532" i="5"/>
  <c r="E532" i="5"/>
  <c r="K531" i="5"/>
  <c r="J531" i="5"/>
  <c r="H531" i="5"/>
  <c r="G531" i="5"/>
  <c r="F531" i="5"/>
  <c r="K530" i="5"/>
  <c r="J530" i="5"/>
  <c r="H530" i="5"/>
  <c r="Q530" i="5" s="1"/>
  <c r="G530" i="5"/>
  <c r="F530" i="5"/>
  <c r="K529" i="5"/>
  <c r="J529" i="5"/>
  <c r="H529" i="5"/>
  <c r="G529" i="5"/>
  <c r="F529" i="5"/>
  <c r="K528" i="5"/>
  <c r="J528" i="5"/>
  <c r="H528" i="5"/>
  <c r="G528" i="5"/>
  <c r="F528" i="5"/>
  <c r="C527" i="5"/>
  <c r="U526" i="5"/>
  <c r="S526" i="5"/>
  <c r="T526" i="5"/>
  <c r="R526" i="5"/>
  <c r="F526" i="5"/>
  <c r="E526" i="5"/>
  <c r="D526" i="5"/>
  <c r="I526" i="5"/>
  <c r="C526" i="5"/>
  <c r="A526" i="5"/>
  <c r="P525" i="5"/>
  <c r="Y525" i="5"/>
  <c r="X525" i="5"/>
  <c r="W525" i="5"/>
  <c r="K524" i="5"/>
  <c r="J524" i="5"/>
  <c r="Y524" i="5"/>
  <c r="X524" i="5"/>
  <c r="W524" i="5"/>
  <c r="H524" i="5"/>
  <c r="V524" i="5" s="1"/>
  <c r="F524" i="5"/>
  <c r="U524" i="5"/>
  <c r="S524" i="5"/>
  <c r="T524" i="5"/>
  <c r="R524" i="5"/>
  <c r="E524" i="5"/>
  <c r="D524" i="5"/>
  <c r="C524" i="5"/>
  <c r="B524" i="5"/>
  <c r="K523" i="5"/>
  <c r="J523" i="5"/>
  <c r="Y523" i="5"/>
  <c r="X523" i="5"/>
  <c r="W523" i="5"/>
  <c r="H523" i="5"/>
  <c r="V523" i="5" s="1"/>
  <c r="F523" i="5"/>
  <c r="U523" i="5"/>
  <c r="S523" i="5"/>
  <c r="T523" i="5"/>
  <c r="R523" i="5"/>
  <c r="E523" i="5"/>
  <c r="D523" i="5"/>
  <c r="C523" i="5"/>
  <c r="B523" i="5"/>
  <c r="G522" i="5"/>
  <c r="E522" i="5"/>
  <c r="J521" i="5"/>
  <c r="F521" i="5"/>
  <c r="E521" i="5"/>
  <c r="J520" i="5"/>
  <c r="F520" i="5"/>
  <c r="E520" i="5"/>
  <c r="K519" i="5"/>
  <c r="J519" i="5"/>
  <c r="H519" i="5"/>
  <c r="G519" i="5"/>
  <c r="F519" i="5"/>
  <c r="K518" i="5"/>
  <c r="J518" i="5"/>
  <c r="H518" i="5"/>
  <c r="Q518" i="5" s="1"/>
  <c r="G518" i="5"/>
  <c r="F518" i="5"/>
  <c r="K517" i="5"/>
  <c r="J517" i="5"/>
  <c r="H517" i="5"/>
  <c r="G517" i="5"/>
  <c r="F517" i="5"/>
  <c r="K516" i="5"/>
  <c r="J516" i="5"/>
  <c r="H516" i="5"/>
  <c r="G516" i="5"/>
  <c r="F516" i="5"/>
  <c r="C515" i="5"/>
  <c r="U514" i="5"/>
  <c r="S514" i="5"/>
  <c r="T514" i="5"/>
  <c r="R514" i="5"/>
  <c r="F514" i="5"/>
  <c r="E514" i="5"/>
  <c r="D514" i="5"/>
  <c r="I514" i="5"/>
  <c r="C514" i="5"/>
  <c r="A514" i="5"/>
  <c r="P513" i="5"/>
  <c r="Y513" i="5"/>
  <c r="X513" i="5"/>
  <c r="W513" i="5"/>
  <c r="K512" i="5"/>
  <c r="J512" i="5"/>
  <c r="Y512" i="5"/>
  <c r="X512" i="5"/>
  <c r="W512" i="5"/>
  <c r="H512" i="5"/>
  <c r="V512" i="5" s="1"/>
  <c r="F512" i="5"/>
  <c r="U512" i="5"/>
  <c r="S512" i="5"/>
  <c r="T512" i="5"/>
  <c r="R512" i="5"/>
  <c r="E512" i="5"/>
  <c r="D512" i="5"/>
  <c r="C512" i="5"/>
  <c r="B512" i="5"/>
  <c r="G511" i="5"/>
  <c r="E511" i="5"/>
  <c r="J510" i="5"/>
  <c r="F510" i="5"/>
  <c r="E510" i="5"/>
  <c r="J509" i="5"/>
  <c r="F509" i="5"/>
  <c r="E509" i="5"/>
  <c r="K508" i="5"/>
  <c r="J508" i="5"/>
  <c r="H508" i="5"/>
  <c r="G508" i="5"/>
  <c r="F508" i="5"/>
  <c r="K507" i="5"/>
  <c r="J507" i="5"/>
  <c r="H507" i="5"/>
  <c r="Q507" i="5" s="1"/>
  <c r="G507" i="5"/>
  <c r="F507" i="5"/>
  <c r="K506" i="5"/>
  <c r="J506" i="5"/>
  <c r="H506" i="5"/>
  <c r="G506" i="5"/>
  <c r="F506" i="5"/>
  <c r="K505" i="5"/>
  <c r="J505" i="5"/>
  <c r="H505" i="5"/>
  <c r="G505" i="5"/>
  <c r="F505" i="5"/>
  <c r="C504" i="5"/>
  <c r="U503" i="5"/>
  <c r="S503" i="5"/>
  <c r="T503" i="5"/>
  <c r="R503" i="5"/>
  <c r="F503" i="5"/>
  <c r="E503" i="5"/>
  <c r="D503" i="5"/>
  <c r="I503" i="5"/>
  <c r="C503" i="5"/>
  <c r="A503" i="5"/>
  <c r="P502" i="5"/>
  <c r="Y502" i="5"/>
  <c r="X502" i="5"/>
  <c r="W502" i="5"/>
  <c r="G501" i="5"/>
  <c r="E501" i="5"/>
  <c r="J500" i="5"/>
  <c r="F500" i="5"/>
  <c r="E500" i="5"/>
  <c r="J499" i="5"/>
  <c r="F499" i="5"/>
  <c r="E499" i="5"/>
  <c r="K498" i="5"/>
  <c r="J498" i="5"/>
  <c r="H498" i="5"/>
  <c r="G498" i="5"/>
  <c r="F498" i="5"/>
  <c r="K497" i="5"/>
  <c r="J497" i="5"/>
  <c r="H497" i="5"/>
  <c r="Q497" i="5" s="1"/>
  <c r="G497" i="5"/>
  <c r="F497" i="5"/>
  <c r="K496" i="5"/>
  <c r="J496" i="5"/>
  <c r="H496" i="5"/>
  <c r="G496" i="5"/>
  <c r="F496" i="5"/>
  <c r="K495" i="5"/>
  <c r="J495" i="5"/>
  <c r="H495" i="5"/>
  <c r="G495" i="5"/>
  <c r="F495" i="5"/>
  <c r="C494" i="5"/>
  <c r="U493" i="5"/>
  <c r="K500" i="5" s="1"/>
  <c r="S493" i="5"/>
  <c r="K499" i="5" s="1"/>
  <c r="T493" i="5"/>
  <c r="H500" i="5" s="1"/>
  <c r="R493" i="5"/>
  <c r="H499" i="5" s="1"/>
  <c r="F493" i="5"/>
  <c r="E493" i="5"/>
  <c r="D493" i="5"/>
  <c r="I493" i="5"/>
  <c r="C493" i="5"/>
  <c r="A493" i="5"/>
  <c r="P492" i="5"/>
  <c r="Y492" i="5"/>
  <c r="X492" i="5"/>
  <c r="V492" i="5"/>
  <c r="K491" i="5"/>
  <c r="J491" i="5"/>
  <c r="Y491" i="5"/>
  <c r="X491" i="5"/>
  <c r="V491" i="5"/>
  <c r="H491" i="5"/>
  <c r="W491" i="5" s="1"/>
  <c r="F491" i="5"/>
  <c r="U491" i="5"/>
  <c r="S491" i="5"/>
  <c r="T491" i="5"/>
  <c r="R491" i="5"/>
  <c r="E491" i="5"/>
  <c r="D491" i="5"/>
  <c r="C491" i="5"/>
  <c r="B491" i="5"/>
  <c r="K490" i="5"/>
  <c r="J490" i="5"/>
  <c r="Y490" i="5"/>
  <c r="X490" i="5"/>
  <c r="V490" i="5"/>
  <c r="H490" i="5"/>
  <c r="W490" i="5" s="1"/>
  <c r="F490" i="5"/>
  <c r="U490" i="5"/>
  <c r="S490" i="5"/>
  <c r="T490" i="5"/>
  <c r="R490" i="5"/>
  <c r="E490" i="5"/>
  <c r="D490" i="5"/>
  <c r="C490" i="5"/>
  <c r="B490" i="5"/>
  <c r="K489" i="5"/>
  <c r="J489" i="5"/>
  <c r="Y489" i="5"/>
  <c r="X489" i="5"/>
  <c r="V489" i="5"/>
  <c r="H489" i="5"/>
  <c r="W489" i="5" s="1"/>
  <c r="F489" i="5"/>
  <c r="U489" i="5"/>
  <c r="S489" i="5"/>
  <c r="T489" i="5"/>
  <c r="R489" i="5"/>
  <c r="E489" i="5"/>
  <c r="D489" i="5"/>
  <c r="C489" i="5"/>
  <c r="B489" i="5"/>
  <c r="K488" i="5"/>
  <c r="J488" i="5"/>
  <c r="Y488" i="5"/>
  <c r="X488" i="5"/>
  <c r="V488" i="5"/>
  <c r="H488" i="5"/>
  <c r="W488" i="5" s="1"/>
  <c r="F488" i="5"/>
  <c r="U488" i="5"/>
  <c r="S488" i="5"/>
  <c r="T488" i="5"/>
  <c r="R488" i="5"/>
  <c r="E488" i="5"/>
  <c r="D488" i="5"/>
  <c r="C488" i="5"/>
  <c r="B488" i="5"/>
  <c r="K487" i="5"/>
  <c r="J487" i="5"/>
  <c r="Y487" i="5"/>
  <c r="X487" i="5"/>
  <c r="V487" i="5"/>
  <c r="H487" i="5"/>
  <c r="W487" i="5" s="1"/>
  <c r="F487" i="5"/>
  <c r="U487" i="5"/>
  <c r="S487" i="5"/>
  <c r="T487" i="5"/>
  <c r="R487" i="5"/>
  <c r="E487" i="5"/>
  <c r="D487" i="5"/>
  <c r="C487" i="5"/>
  <c r="B487" i="5"/>
  <c r="K486" i="5"/>
  <c r="J486" i="5"/>
  <c r="Y486" i="5"/>
  <c r="X486" i="5"/>
  <c r="V486" i="5"/>
  <c r="H486" i="5"/>
  <c r="W486" i="5" s="1"/>
  <c r="F486" i="5"/>
  <c r="U486" i="5"/>
  <c r="S486" i="5"/>
  <c r="T486" i="5"/>
  <c r="R486" i="5"/>
  <c r="E486" i="5"/>
  <c r="D486" i="5"/>
  <c r="C486" i="5"/>
  <c r="B486" i="5"/>
  <c r="K485" i="5"/>
  <c r="J485" i="5"/>
  <c r="Y485" i="5"/>
  <c r="X485" i="5"/>
  <c r="V485" i="5"/>
  <c r="H485" i="5"/>
  <c r="W485" i="5" s="1"/>
  <c r="F485" i="5"/>
  <c r="U485" i="5"/>
  <c r="S485" i="5"/>
  <c r="T485" i="5"/>
  <c r="R485" i="5"/>
  <c r="E485" i="5"/>
  <c r="D485" i="5"/>
  <c r="C485" i="5"/>
  <c r="B485" i="5"/>
  <c r="K484" i="5"/>
  <c r="J484" i="5"/>
  <c r="Y484" i="5"/>
  <c r="X484" i="5"/>
  <c r="V484" i="5"/>
  <c r="H484" i="5"/>
  <c r="W484" i="5" s="1"/>
  <c r="F484" i="5"/>
  <c r="U484" i="5"/>
  <c r="S484" i="5"/>
  <c r="T484" i="5"/>
  <c r="R484" i="5"/>
  <c r="E484" i="5"/>
  <c r="D484" i="5"/>
  <c r="C484" i="5"/>
  <c r="B484" i="5"/>
  <c r="K483" i="5"/>
  <c r="J483" i="5"/>
  <c r="Y483" i="5"/>
  <c r="X483" i="5"/>
  <c r="V483" i="5"/>
  <c r="H483" i="5"/>
  <c r="W483" i="5" s="1"/>
  <c r="F483" i="5"/>
  <c r="U483" i="5"/>
  <c r="S483" i="5"/>
  <c r="T483" i="5"/>
  <c r="R483" i="5"/>
  <c r="E483" i="5"/>
  <c r="D483" i="5"/>
  <c r="C483" i="5"/>
  <c r="B483" i="5"/>
  <c r="K482" i="5"/>
  <c r="J482" i="5"/>
  <c r="Y482" i="5"/>
  <c r="X482" i="5"/>
  <c r="V482" i="5"/>
  <c r="H482" i="5"/>
  <c r="W482" i="5" s="1"/>
  <c r="F482" i="5"/>
  <c r="U482" i="5"/>
  <c r="S482" i="5"/>
  <c r="T482" i="5"/>
  <c r="R482" i="5"/>
  <c r="E482" i="5"/>
  <c r="D482" i="5"/>
  <c r="C482" i="5"/>
  <c r="B482" i="5"/>
  <c r="G481" i="5"/>
  <c r="E481" i="5"/>
  <c r="J480" i="5"/>
  <c r="E480" i="5"/>
  <c r="J479" i="5"/>
  <c r="E479" i="5"/>
  <c r="K478" i="5"/>
  <c r="J478" i="5"/>
  <c r="H478" i="5"/>
  <c r="G478" i="5"/>
  <c r="F478" i="5"/>
  <c r="K477" i="5"/>
  <c r="J477" i="5"/>
  <c r="H477" i="5"/>
  <c r="Q477" i="5" s="1"/>
  <c r="G477" i="5"/>
  <c r="F477" i="5"/>
  <c r="K476" i="5"/>
  <c r="J476" i="5"/>
  <c r="H476" i="5"/>
  <c r="G476" i="5"/>
  <c r="F476" i="5"/>
  <c r="K475" i="5"/>
  <c r="J475" i="5"/>
  <c r="H475" i="5"/>
  <c r="Q475" i="5" s="1"/>
  <c r="G475" i="5"/>
  <c r="F475" i="5"/>
  <c r="C474" i="5"/>
  <c r="U473" i="5"/>
  <c r="S473" i="5"/>
  <c r="T473" i="5"/>
  <c r="R473" i="5"/>
  <c r="F473" i="5"/>
  <c r="E473" i="5"/>
  <c r="D473" i="5"/>
  <c r="I473" i="5"/>
  <c r="C473" i="5"/>
  <c r="A473" i="5"/>
  <c r="P472" i="5"/>
  <c r="Y472" i="5"/>
  <c r="X472" i="5"/>
  <c r="V472" i="5"/>
  <c r="K471" i="5"/>
  <c r="J471" i="5"/>
  <c r="Y471" i="5"/>
  <c r="X471" i="5"/>
  <c r="V471" i="5"/>
  <c r="H471" i="5"/>
  <c r="W471" i="5" s="1"/>
  <c r="F471" i="5"/>
  <c r="U471" i="5"/>
  <c r="S471" i="5"/>
  <c r="T471" i="5"/>
  <c r="R471" i="5"/>
  <c r="E471" i="5"/>
  <c r="D471" i="5"/>
  <c r="C471" i="5"/>
  <c r="B471" i="5"/>
  <c r="K470" i="5"/>
  <c r="J470" i="5"/>
  <c r="Y470" i="5"/>
  <c r="X470" i="5"/>
  <c r="V470" i="5"/>
  <c r="H470" i="5"/>
  <c r="W470" i="5" s="1"/>
  <c r="F470" i="5"/>
  <c r="U470" i="5"/>
  <c r="S470" i="5"/>
  <c r="T470" i="5"/>
  <c r="R470" i="5"/>
  <c r="E470" i="5"/>
  <c r="D470" i="5"/>
  <c r="C470" i="5"/>
  <c r="B470" i="5"/>
  <c r="K469" i="5"/>
  <c r="J469" i="5"/>
  <c r="Y469" i="5"/>
  <c r="X469" i="5"/>
  <c r="V469" i="5"/>
  <c r="H469" i="5"/>
  <c r="W469" i="5" s="1"/>
  <c r="F469" i="5"/>
  <c r="U469" i="5"/>
  <c r="S469" i="5"/>
  <c r="T469" i="5"/>
  <c r="R469" i="5"/>
  <c r="E469" i="5"/>
  <c r="D469" i="5"/>
  <c r="C469" i="5"/>
  <c r="B469" i="5"/>
  <c r="K468" i="5"/>
  <c r="J468" i="5"/>
  <c r="Y468" i="5"/>
  <c r="X468" i="5"/>
  <c r="V468" i="5"/>
  <c r="H468" i="5"/>
  <c r="W468" i="5" s="1"/>
  <c r="F468" i="5"/>
  <c r="U468" i="5"/>
  <c r="S468" i="5"/>
  <c r="T468" i="5"/>
  <c r="R468" i="5"/>
  <c r="E468" i="5"/>
  <c r="D468" i="5"/>
  <c r="C468" i="5"/>
  <c r="B468" i="5"/>
  <c r="G467" i="5"/>
  <c r="E467" i="5"/>
  <c r="J466" i="5"/>
  <c r="E466" i="5"/>
  <c r="J465" i="5"/>
  <c r="E465" i="5"/>
  <c r="K464" i="5"/>
  <c r="J464" i="5"/>
  <c r="H464" i="5"/>
  <c r="G464" i="5"/>
  <c r="F464" i="5"/>
  <c r="K463" i="5"/>
  <c r="J463" i="5"/>
  <c r="H463" i="5"/>
  <c r="Q463" i="5" s="1"/>
  <c r="G463" i="5"/>
  <c r="F463" i="5"/>
  <c r="K462" i="5"/>
  <c r="J462" i="5"/>
  <c r="H462" i="5"/>
  <c r="G462" i="5"/>
  <c r="F462" i="5"/>
  <c r="K461" i="5"/>
  <c r="J461" i="5"/>
  <c r="H461" i="5"/>
  <c r="G461" i="5"/>
  <c r="F461" i="5"/>
  <c r="C460" i="5"/>
  <c r="U459" i="5"/>
  <c r="S459" i="5"/>
  <c r="T459" i="5"/>
  <c r="R459" i="5"/>
  <c r="F459" i="5"/>
  <c r="E459" i="5"/>
  <c r="D459" i="5"/>
  <c r="I459" i="5"/>
  <c r="C459" i="5"/>
  <c r="A459" i="5"/>
  <c r="P458" i="5"/>
  <c r="Y458" i="5"/>
  <c r="X458" i="5"/>
  <c r="W458" i="5"/>
  <c r="K457" i="5"/>
  <c r="J457" i="5"/>
  <c r="Y457" i="5"/>
  <c r="X457" i="5"/>
  <c r="W457" i="5"/>
  <c r="H457" i="5"/>
  <c r="V457" i="5" s="1"/>
  <c r="F457" i="5"/>
  <c r="U457" i="5"/>
  <c r="S457" i="5"/>
  <c r="T457" i="5"/>
  <c r="R457" i="5"/>
  <c r="E457" i="5"/>
  <c r="D457" i="5"/>
  <c r="C457" i="5"/>
  <c r="B457" i="5"/>
  <c r="G456" i="5"/>
  <c r="E456" i="5"/>
  <c r="J455" i="5"/>
  <c r="F455" i="5"/>
  <c r="E455" i="5"/>
  <c r="J454" i="5"/>
  <c r="F454" i="5"/>
  <c r="E454" i="5"/>
  <c r="K453" i="5"/>
  <c r="J453" i="5"/>
  <c r="H453" i="5"/>
  <c r="Q453" i="5" s="1"/>
  <c r="G453" i="5"/>
  <c r="F453" i="5"/>
  <c r="K452" i="5"/>
  <c r="J452" i="5"/>
  <c r="H452" i="5"/>
  <c r="G452" i="5"/>
  <c r="F452" i="5"/>
  <c r="K451" i="5"/>
  <c r="J451" i="5"/>
  <c r="H451" i="5"/>
  <c r="Q451" i="5" s="1"/>
  <c r="G451" i="5"/>
  <c r="F451" i="5"/>
  <c r="C450" i="5"/>
  <c r="U449" i="5"/>
  <c r="S449" i="5"/>
  <c r="T449" i="5"/>
  <c r="R449" i="5"/>
  <c r="F449" i="5"/>
  <c r="E449" i="5"/>
  <c r="D449" i="5"/>
  <c r="I449" i="5"/>
  <c r="C449" i="5"/>
  <c r="A449" i="5"/>
  <c r="P448" i="5"/>
  <c r="Y448" i="5"/>
  <c r="X448" i="5"/>
  <c r="W448" i="5"/>
  <c r="G447" i="5"/>
  <c r="E447" i="5"/>
  <c r="J446" i="5"/>
  <c r="F446" i="5"/>
  <c r="E446" i="5"/>
  <c r="J445" i="5"/>
  <c r="F445" i="5"/>
  <c r="E445" i="5"/>
  <c r="K444" i="5"/>
  <c r="J444" i="5"/>
  <c r="H444" i="5"/>
  <c r="Q444" i="5" s="1"/>
  <c r="G444" i="5"/>
  <c r="F444" i="5"/>
  <c r="C443" i="5"/>
  <c r="U442" i="5"/>
  <c r="K446" i="5" s="1"/>
  <c r="S442" i="5"/>
  <c r="K445" i="5" s="1"/>
  <c r="T442" i="5"/>
  <c r="H446" i="5" s="1"/>
  <c r="R442" i="5"/>
  <c r="H445" i="5" s="1"/>
  <c r="F442" i="5"/>
  <c r="E442" i="5"/>
  <c r="D442" i="5"/>
  <c r="I442" i="5"/>
  <c r="C442" i="5"/>
  <c r="A442" i="5"/>
  <c r="P441" i="5"/>
  <c r="Y441" i="5"/>
  <c r="X441" i="5"/>
  <c r="W441" i="5"/>
  <c r="K440" i="5"/>
  <c r="J440" i="5"/>
  <c r="Y440" i="5"/>
  <c r="X440" i="5"/>
  <c r="W440" i="5"/>
  <c r="H440" i="5"/>
  <c r="V440" i="5" s="1"/>
  <c r="F440" i="5"/>
  <c r="U440" i="5"/>
  <c r="S440" i="5"/>
  <c r="T440" i="5"/>
  <c r="R440" i="5"/>
  <c r="E440" i="5"/>
  <c r="D440" i="5"/>
  <c r="C440" i="5"/>
  <c r="B440" i="5"/>
  <c r="G439" i="5"/>
  <c r="E439" i="5"/>
  <c r="J438" i="5"/>
  <c r="F438" i="5"/>
  <c r="E438" i="5"/>
  <c r="J437" i="5"/>
  <c r="F437" i="5"/>
  <c r="E437" i="5"/>
  <c r="K436" i="5"/>
  <c r="J436" i="5"/>
  <c r="H436" i="5"/>
  <c r="G436" i="5"/>
  <c r="F436" i="5"/>
  <c r="K435" i="5"/>
  <c r="J435" i="5"/>
  <c r="H435" i="5"/>
  <c r="G435" i="5"/>
  <c r="F435" i="5"/>
  <c r="K434" i="5"/>
  <c r="J434" i="5"/>
  <c r="H434" i="5"/>
  <c r="Q434" i="5" s="1"/>
  <c r="G434" i="5"/>
  <c r="F434" i="5"/>
  <c r="U433" i="5"/>
  <c r="S433" i="5"/>
  <c r="T433" i="5"/>
  <c r="R433" i="5"/>
  <c r="F433" i="5"/>
  <c r="E433" i="5"/>
  <c r="D433" i="5"/>
  <c r="I433" i="5"/>
  <c r="C433" i="5"/>
  <c r="A433" i="5"/>
  <c r="P432" i="5"/>
  <c r="Y432" i="5"/>
  <c r="X432" i="5"/>
  <c r="W432" i="5"/>
  <c r="K431" i="5"/>
  <c r="J431" i="5"/>
  <c r="Y431" i="5"/>
  <c r="X431" i="5"/>
  <c r="W431" i="5"/>
  <c r="H431" i="5"/>
  <c r="V431" i="5" s="1"/>
  <c r="F431" i="5"/>
  <c r="U431" i="5"/>
  <c r="S431" i="5"/>
  <c r="T431" i="5"/>
  <c r="R431" i="5"/>
  <c r="E431" i="5"/>
  <c r="D431" i="5"/>
  <c r="C431" i="5"/>
  <c r="B431" i="5"/>
  <c r="G430" i="5"/>
  <c r="E430" i="5"/>
  <c r="J429" i="5"/>
  <c r="F429" i="5"/>
  <c r="E429" i="5"/>
  <c r="J428" i="5"/>
  <c r="F428" i="5"/>
  <c r="E428" i="5"/>
  <c r="K427" i="5"/>
  <c r="J427" i="5"/>
  <c r="H427" i="5"/>
  <c r="G427" i="5"/>
  <c r="F427" i="5"/>
  <c r="K426" i="5"/>
  <c r="J426" i="5"/>
  <c r="H426" i="5"/>
  <c r="Q426" i="5" s="1"/>
  <c r="G426" i="5"/>
  <c r="F426" i="5"/>
  <c r="K425" i="5"/>
  <c r="J425" i="5"/>
  <c r="H425" i="5"/>
  <c r="G425" i="5"/>
  <c r="F425" i="5"/>
  <c r="K424" i="5"/>
  <c r="J424" i="5"/>
  <c r="H424" i="5"/>
  <c r="G424" i="5"/>
  <c r="F424" i="5"/>
  <c r="C423" i="5"/>
  <c r="U422" i="5"/>
  <c r="S422" i="5"/>
  <c r="T422" i="5"/>
  <c r="R422" i="5"/>
  <c r="F422" i="5"/>
  <c r="E422" i="5"/>
  <c r="D422" i="5"/>
  <c r="I422" i="5"/>
  <c r="C422" i="5"/>
  <c r="A422" i="5"/>
  <c r="P421" i="5"/>
  <c r="Y421" i="5"/>
  <c r="X421" i="5"/>
  <c r="W421" i="5"/>
  <c r="G420" i="5"/>
  <c r="E420" i="5"/>
  <c r="J419" i="5"/>
  <c r="F419" i="5"/>
  <c r="E419" i="5"/>
  <c r="J418" i="5"/>
  <c r="F418" i="5"/>
  <c r="E418" i="5"/>
  <c r="K417" i="5"/>
  <c r="J417" i="5"/>
  <c r="H417" i="5"/>
  <c r="G417" i="5"/>
  <c r="F417" i="5"/>
  <c r="K416" i="5"/>
  <c r="J416" i="5"/>
  <c r="H416" i="5"/>
  <c r="Q416" i="5" s="1"/>
  <c r="G416" i="5"/>
  <c r="F416" i="5"/>
  <c r="K415" i="5"/>
  <c r="J415" i="5"/>
  <c r="H415" i="5"/>
  <c r="G415" i="5"/>
  <c r="F415" i="5"/>
  <c r="K414" i="5"/>
  <c r="J414" i="5"/>
  <c r="H414" i="5"/>
  <c r="G414" i="5"/>
  <c r="F414" i="5"/>
  <c r="C413" i="5"/>
  <c r="U412" i="5"/>
  <c r="K419" i="5" s="1"/>
  <c r="S412" i="5"/>
  <c r="K418" i="5" s="1"/>
  <c r="T412" i="5"/>
  <c r="H419" i="5" s="1"/>
  <c r="R412" i="5"/>
  <c r="H418" i="5" s="1"/>
  <c r="F412" i="5"/>
  <c r="E412" i="5"/>
  <c r="D412" i="5"/>
  <c r="I412" i="5"/>
  <c r="C412" i="5"/>
  <c r="A412" i="5"/>
  <c r="P411" i="5"/>
  <c r="Y411" i="5"/>
  <c r="X411" i="5"/>
  <c r="W411" i="5"/>
  <c r="K410" i="5"/>
  <c r="J410" i="5"/>
  <c r="Y410" i="5"/>
  <c r="X410" i="5"/>
  <c r="W410" i="5"/>
  <c r="H410" i="5"/>
  <c r="V410" i="5" s="1"/>
  <c r="F410" i="5"/>
  <c r="U410" i="5"/>
  <c r="S410" i="5"/>
  <c r="T410" i="5"/>
  <c r="R410" i="5"/>
  <c r="E410" i="5"/>
  <c r="D410" i="5"/>
  <c r="C410" i="5"/>
  <c r="B410" i="5"/>
  <c r="G409" i="5"/>
  <c r="E409" i="5"/>
  <c r="J408" i="5"/>
  <c r="F408" i="5"/>
  <c r="E408" i="5"/>
  <c r="J407" i="5"/>
  <c r="F407" i="5"/>
  <c r="E407" i="5"/>
  <c r="K406" i="5"/>
  <c r="J406" i="5"/>
  <c r="H406" i="5"/>
  <c r="Q406" i="5" s="1"/>
  <c r="G406" i="5"/>
  <c r="F406" i="5"/>
  <c r="K405" i="5"/>
  <c r="J405" i="5"/>
  <c r="H405" i="5"/>
  <c r="G405" i="5"/>
  <c r="F405" i="5"/>
  <c r="K404" i="5"/>
  <c r="J404" i="5"/>
  <c r="H404" i="5"/>
  <c r="Q404" i="5" s="1"/>
  <c r="G404" i="5"/>
  <c r="F404" i="5"/>
  <c r="C403" i="5"/>
  <c r="U402" i="5"/>
  <c r="K408" i="5" s="1"/>
  <c r="S402" i="5"/>
  <c r="T402" i="5"/>
  <c r="H408" i="5" s="1"/>
  <c r="R402" i="5"/>
  <c r="F402" i="5"/>
  <c r="E402" i="5"/>
  <c r="D402" i="5"/>
  <c r="I402" i="5"/>
  <c r="C402" i="5"/>
  <c r="A402" i="5"/>
  <c r="P401" i="5"/>
  <c r="Y401" i="5"/>
  <c r="X401" i="5"/>
  <c r="W401" i="5"/>
  <c r="K400" i="5"/>
  <c r="J400" i="5"/>
  <c r="Y400" i="5"/>
  <c r="X400" i="5"/>
  <c r="W400" i="5"/>
  <c r="H400" i="5"/>
  <c r="V400" i="5" s="1"/>
  <c r="F400" i="5"/>
  <c r="U400" i="5"/>
  <c r="S400" i="5"/>
  <c r="T400" i="5"/>
  <c r="R400" i="5"/>
  <c r="E400" i="5"/>
  <c r="D400" i="5"/>
  <c r="C400" i="5"/>
  <c r="B400" i="5"/>
  <c r="G399" i="5"/>
  <c r="E399" i="5"/>
  <c r="J398" i="5"/>
  <c r="F398" i="5"/>
  <c r="E398" i="5"/>
  <c r="J397" i="5"/>
  <c r="F397" i="5"/>
  <c r="E397" i="5"/>
  <c r="K396" i="5"/>
  <c r="J396" i="5"/>
  <c r="H396" i="5"/>
  <c r="G396" i="5"/>
  <c r="F396" i="5"/>
  <c r="K395" i="5"/>
  <c r="J395" i="5"/>
  <c r="H395" i="5"/>
  <c r="Q395" i="5" s="1"/>
  <c r="G395" i="5"/>
  <c r="F395" i="5"/>
  <c r="K394" i="5"/>
  <c r="J394" i="5"/>
  <c r="H394" i="5"/>
  <c r="G394" i="5"/>
  <c r="F394" i="5"/>
  <c r="K393" i="5"/>
  <c r="J393" i="5"/>
  <c r="H393" i="5"/>
  <c r="Q393" i="5" s="1"/>
  <c r="G393" i="5"/>
  <c r="F393" i="5"/>
  <c r="U392" i="5"/>
  <c r="S392" i="5"/>
  <c r="K397" i="5" s="1"/>
  <c r="T392" i="5"/>
  <c r="R392" i="5"/>
  <c r="H397" i="5" s="1"/>
  <c r="F392" i="5"/>
  <c r="E392" i="5"/>
  <c r="D392" i="5"/>
  <c r="I392" i="5"/>
  <c r="C392" i="5"/>
  <c r="A392" i="5"/>
  <c r="P391" i="5"/>
  <c r="Y391" i="5"/>
  <c r="X391" i="5"/>
  <c r="W391" i="5"/>
  <c r="K390" i="5"/>
  <c r="J390" i="5"/>
  <c r="Y390" i="5"/>
  <c r="X390" i="5"/>
  <c r="W390" i="5"/>
  <c r="H390" i="5"/>
  <c r="V390" i="5" s="1"/>
  <c r="F390" i="5"/>
  <c r="U390" i="5"/>
  <c r="S390" i="5"/>
  <c r="T390" i="5"/>
  <c r="R390" i="5"/>
  <c r="E390" i="5"/>
  <c r="D390" i="5"/>
  <c r="C390" i="5"/>
  <c r="B390" i="5"/>
  <c r="G389" i="5"/>
  <c r="E389" i="5"/>
  <c r="J388" i="5"/>
  <c r="F388" i="5"/>
  <c r="E388" i="5"/>
  <c r="J387" i="5"/>
  <c r="F387" i="5"/>
  <c r="E387" i="5"/>
  <c r="K386" i="5"/>
  <c r="J386" i="5"/>
  <c r="H386" i="5"/>
  <c r="G386" i="5"/>
  <c r="F386" i="5"/>
  <c r="K385" i="5"/>
  <c r="J385" i="5"/>
  <c r="H385" i="5"/>
  <c r="Q385" i="5" s="1"/>
  <c r="G385" i="5"/>
  <c r="F385" i="5"/>
  <c r="K384" i="5"/>
  <c r="J384" i="5"/>
  <c r="H384" i="5"/>
  <c r="G384" i="5"/>
  <c r="F384" i="5"/>
  <c r="K383" i="5"/>
  <c r="J383" i="5"/>
  <c r="H383" i="5"/>
  <c r="G383" i="5"/>
  <c r="F383" i="5"/>
  <c r="C382" i="5"/>
  <c r="U381" i="5"/>
  <c r="S381" i="5"/>
  <c r="T381" i="5"/>
  <c r="R381" i="5"/>
  <c r="F381" i="5"/>
  <c r="E381" i="5"/>
  <c r="D381" i="5"/>
  <c r="I381" i="5"/>
  <c r="C381" i="5"/>
  <c r="A381" i="5"/>
  <c r="P380" i="5"/>
  <c r="Y380" i="5"/>
  <c r="X380" i="5"/>
  <c r="W380" i="5"/>
  <c r="K379" i="5"/>
  <c r="J379" i="5"/>
  <c r="Y379" i="5"/>
  <c r="X379" i="5"/>
  <c r="W379" i="5"/>
  <c r="H379" i="5"/>
  <c r="V379" i="5" s="1"/>
  <c r="F379" i="5"/>
  <c r="U379" i="5"/>
  <c r="S379" i="5"/>
  <c r="T379" i="5"/>
  <c r="R379" i="5"/>
  <c r="E379" i="5"/>
  <c r="D379" i="5"/>
  <c r="C379" i="5"/>
  <c r="B379" i="5"/>
  <c r="G378" i="5"/>
  <c r="E378" i="5"/>
  <c r="J377" i="5"/>
  <c r="F377" i="5"/>
  <c r="E377" i="5"/>
  <c r="J376" i="5"/>
  <c r="F376" i="5"/>
  <c r="E376" i="5"/>
  <c r="K375" i="5"/>
  <c r="J375" i="5"/>
  <c r="H375" i="5"/>
  <c r="G375" i="5"/>
  <c r="F375" i="5"/>
  <c r="K374" i="5"/>
  <c r="J374" i="5"/>
  <c r="H374" i="5"/>
  <c r="Q374" i="5" s="1"/>
  <c r="G374" i="5"/>
  <c r="F374" i="5"/>
  <c r="K373" i="5"/>
  <c r="J373" i="5"/>
  <c r="H373" i="5"/>
  <c r="G373" i="5"/>
  <c r="F373" i="5"/>
  <c r="K372" i="5"/>
  <c r="J372" i="5"/>
  <c r="H372" i="5"/>
  <c r="G372" i="5"/>
  <c r="F372" i="5"/>
  <c r="C371" i="5"/>
  <c r="U370" i="5"/>
  <c r="S370" i="5"/>
  <c r="T370" i="5"/>
  <c r="R370" i="5"/>
  <c r="F370" i="5"/>
  <c r="E370" i="5"/>
  <c r="D370" i="5"/>
  <c r="I370" i="5"/>
  <c r="C370" i="5"/>
  <c r="A370" i="5"/>
  <c r="P369" i="5"/>
  <c r="Y369" i="5"/>
  <c r="X369" i="5"/>
  <c r="W369" i="5"/>
  <c r="K368" i="5"/>
  <c r="J368" i="5"/>
  <c r="Y368" i="5"/>
  <c r="X368" i="5"/>
  <c r="W368" i="5"/>
  <c r="H368" i="5"/>
  <c r="V368" i="5" s="1"/>
  <c r="F368" i="5"/>
  <c r="U368" i="5"/>
  <c r="S368" i="5"/>
  <c r="T368" i="5"/>
  <c r="R368" i="5"/>
  <c r="E368" i="5"/>
  <c r="D368" i="5"/>
  <c r="C368" i="5"/>
  <c r="G367" i="5"/>
  <c r="E367" i="5"/>
  <c r="J366" i="5"/>
  <c r="F366" i="5"/>
  <c r="E366" i="5"/>
  <c r="J365" i="5"/>
  <c r="F365" i="5"/>
  <c r="E365" i="5"/>
  <c r="K364" i="5"/>
  <c r="J364" i="5"/>
  <c r="H364" i="5"/>
  <c r="Q364" i="5" s="1"/>
  <c r="G364" i="5"/>
  <c r="F364" i="5"/>
  <c r="K363" i="5"/>
  <c r="J363" i="5"/>
  <c r="H363" i="5"/>
  <c r="G363" i="5"/>
  <c r="F363" i="5"/>
  <c r="K362" i="5"/>
  <c r="J362" i="5"/>
  <c r="H362" i="5"/>
  <c r="G362" i="5"/>
  <c r="F362" i="5"/>
  <c r="C361" i="5"/>
  <c r="U360" i="5"/>
  <c r="S360" i="5"/>
  <c r="T360" i="5"/>
  <c r="R360" i="5"/>
  <c r="F360" i="5"/>
  <c r="E360" i="5"/>
  <c r="D360" i="5"/>
  <c r="I360" i="5"/>
  <c r="C360" i="5"/>
  <c r="A360" i="5"/>
  <c r="P359" i="5"/>
  <c r="Y359" i="5"/>
  <c r="X359" i="5"/>
  <c r="W359" i="5"/>
  <c r="K358" i="5"/>
  <c r="J358" i="5"/>
  <c r="Y358" i="5"/>
  <c r="X358" i="5"/>
  <c r="W358" i="5"/>
  <c r="H358" i="5"/>
  <c r="V358" i="5" s="1"/>
  <c r="F358" i="5"/>
  <c r="U358" i="5"/>
  <c r="S358" i="5"/>
  <c r="T358" i="5"/>
  <c r="R358" i="5"/>
  <c r="E358" i="5"/>
  <c r="D358" i="5"/>
  <c r="C358" i="5"/>
  <c r="B358" i="5"/>
  <c r="G357" i="5"/>
  <c r="E357" i="5"/>
  <c r="J356" i="5"/>
  <c r="F356" i="5"/>
  <c r="E356" i="5"/>
  <c r="J355" i="5"/>
  <c r="F355" i="5"/>
  <c r="E355" i="5"/>
  <c r="K354" i="5"/>
  <c r="J354" i="5"/>
  <c r="H354" i="5"/>
  <c r="G354" i="5"/>
  <c r="F354" i="5"/>
  <c r="K353" i="5"/>
  <c r="J353" i="5"/>
  <c r="H353" i="5"/>
  <c r="Q353" i="5" s="1"/>
  <c r="G353" i="5"/>
  <c r="F353" i="5"/>
  <c r="K352" i="5"/>
  <c r="J352" i="5"/>
  <c r="H352" i="5"/>
  <c r="G352" i="5"/>
  <c r="F352" i="5"/>
  <c r="K351" i="5"/>
  <c r="J351" i="5"/>
  <c r="H351" i="5"/>
  <c r="G351" i="5"/>
  <c r="F351" i="5"/>
  <c r="C350" i="5"/>
  <c r="U349" i="5"/>
  <c r="S349" i="5"/>
  <c r="T349" i="5"/>
  <c r="R349" i="5"/>
  <c r="F349" i="5"/>
  <c r="E349" i="5"/>
  <c r="D349" i="5"/>
  <c r="I349" i="5"/>
  <c r="C349" i="5"/>
  <c r="A349" i="5"/>
  <c r="P348" i="5"/>
  <c r="Y348" i="5"/>
  <c r="X348" i="5"/>
  <c r="W348" i="5"/>
  <c r="K347" i="5"/>
  <c r="J347" i="5"/>
  <c r="Y347" i="5"/>
  <c r="X347" i="5"/>
  <c r="W347" i="5"/>
  <c r="H347" i="5"/>
  <c r="V347" i="5" s="1"/>
  <c r="F347" i="5"/>
  <c r="U347" i="5"/>
  <c r="S347" i="5"/>
  <c r="T347" i="5"/>
  <c r="R347" i="5"/>
  <c r="E347" i="5"/>
  <c r="D347" i="5"/>
  <c r="C347" i="5"/>
  <c r="B347" i="5"/>
  <c r="G346" i="5"/>
  <c r="E346" i="5"/>
  <c r="J345" i="5"/>
  <c r="F345" i="5"/>
  <c r="E345" i="5"/>
  <c r="J344" i="5"/>
  <c r="F344" i="5"/>
  <c r="E344" i="5"/>
  <c r="K343" i="5"/>
  <c r="J343" i="5"/>
  <c r="H343" i="5"/>
  <c r="G343" i="5"/>
  <c r="F343" i="5"/>
  <c r="K342" i="5"/>
  <c r="J342" i="5"/>
  <c r="H342" i="5"/>
  <c r="Q342" i="5" s="1"/>
  <c r="G342" i="5"/>
  <c r="F342" i="5"/>
  <c r="K341" i="5"/>
  <c r="J341" i="5"/>
  <c r="H341" i="5"/>
  <c r="G341" i="5"/>
  <c r="F341" i="5"/>
  <c r="K340" i="5"/>
  <c r="J340" i="5"/>
  <c r="H340" i="5"/>
  <c r="G340" i="5"/>
  <c r="F340" i="5"/>
  <c r="C339" i="5"/>
  <c r="U338" i="5"/>
  <c r="S338" i="5"/>
  <c r="T338" i="5"/>
  <c r="R338" i="5"/>
  <c r="F338" i="5"/>
  <c r="E338" i="5"/>
  <c r="D338" i="5"/>
  <c r="I338" i="5"/>
  <c r="C338" i="5"/>
  <c r="A338" i="5"/>
  <c r="P337" i="5"/>
  <c r="Y337" i="5"/>
  <c r="X337" i="5"/>
  <c r="W337" i="5"/>
  <c r="K336" i="5"/>
  <c r="J336" i="5"/>
  <c r="Y336" i="5"/>
  <c r="X336" i="5"/>
  <c r="W336" i="5"/>
  <c r="H336" i="5"/>
  <c r="V336" i="5" s="1"/>
  <c r="F336" i="5"/>
  <c r="U336" i="5"/>
  <c r="S336" i="5"/>
  <c r="T336" i="5"/>
  <c r="R336" i="5"/>
  <c r="E336" i="5"/>
  <c r="D336" i="5"/>
  <c r="C336" i="5"/>
  <c r="B336" i="5"/>
  <c r="G335" i="5"/>
  <c r="E335" i="5"/>
  <c r="J334" i="5"/>
  <c r="F334" i="5"/>
  <c r="E334" i="5"/>
  <c r="J333" i="5"/>
  <c r="F333" i="5"/>
  <c r="E333" i="5"/>
  <c r="K332" i="5"/>
  <c r="J332" i="5"/>
  <c r="H332" i="5"/>
  <c r="G332" i="5"/>
  <c r="F332" i="5"/>
  <c r="K331" i="5"/>
  <c r="J331" i="5"/>
  <c r="H331" i="5"/>
  <c r="Q331" i="5" s="1"/>
  <c r="G331" i="5"/>
  <c r="F331" i="5"/>
  <c r="C330" i="5"/>
  <c r="U329" i="5"/>
  <c r="S329" i="5"/>
  <c r="T329" i="5"/>
  <c r="R329" i="5"/>
  <c r="F329" i="5"/>
  <c r="E329" i="5"/>
  <c r="D329" i="5"/>
  <c r="I329" i="5"/>
  <c r="C329" i="5"/>
  <c r="A329" i="5"/>
  <c r="P328" i="5"/>
  <c r="Y328" i="5"/>
  <c r="X328" i="5"/>
  <c r="W328" i="5"/>
  <c r="K327" i="5"/>
  <c r="J327" i="5"/>
  <c r="Y327" i="5"/>
  <c r="X327" i="5"/>
  <c r="W327" i="5"/>
  <c r="H327" i="5"/>
  <c r="V327" i="5" s="1"/>
  <c r="F327" i="5"/>
  <c r="U327" i="5"/>
  <c r="S327" i="5"/>
  <c r="T327" i="5"/>
  <c r="R327" i="5"/>
  <c r="E327" i="5"/>
  <c r="D327" i="5"/>
  <c r="C327" i="5"/>
  <c r="B327" i="5"/>
  <c r="G326" i="5"/>
  <c r="E326" i="5"/>
  <c r="J325" i="5"/>
  <c r="F325" i="5"/>
  <c r="E325" i="5"/>
  <c r="J324" i="5"/>
  <c r="F324" i="5"/>
  <c r="E324" i="5"/>
  <c r="K323" i="5"/>
  <c r="J323" i="5"/>
  <c r="H323" i="5"/>
  <c r="G323" i="5"/>
  <c r="F323" i="5"/>
  <c r="K322" i="5"/>
  <c r="J322" i="5"/>
  <c r="H322" i="5"/>
  <c r="Q322" i="5" s="1"/>
  <c r="G322" i="5"/>
  <c r="F322" i="5"/>
  <c r="K321" i="5"/>
  <c r="J321" i="5"/>
  <c r="H321" i="5"/>
  <c r="G321" i="5"/>
  <c r="F321" i="5"/>
  <c r="K320" i="5"/>
  <c r="J320" i="5"/>
  <c r="H320" i="5"/>
  <c r="Q320" i="5" s="1"/>
  <c r="G320" i="5"/>
  <c r="F320" i="5"/>
  <c r="C319" i="5"/>
  <c r="U318" i="5"/>
  <c r="S318" i="5"/>
  <c r="T318" i="5"/>
  <c r="R318" i="5"/>
  <c r="F318" i="5"/>
  <c r="E318" i="5"/>
  <c r="D318" i="5"/>
  <c r="I318" i="5"/>
  <c r="C318" i="5"/>
  <c r="A318" i="5"/>
  <c r="P317" i="5"/>
  <c r="Y317" i="5"/>
  <c r="X317" i="5"/>
  <c r="W317" i="5"/>
  <c r="K316" i="5"/>
  <c r="J316" i="5"/>
  <c r="Y316" i="5"/>
  <c r="X316" i="5"/>
  <c r="W316" i="5"/>
  <c r="H316" i="5"/>
  <c r="V316" i="5" s="1"/>
  <c r="F316" i="5"/>
  <c r="U316" i="5"/>
  <c r="S316" i="5"/>
  <c r="T316" i="5"/>
  <c r="R316" i="5"/>
  <c r="E316" i="5"/>
  <c r="D316" i="5"/>
  <c r="C316" i="5"/>
  <c r="B316" i="5"/>
  <c r="G315" i="5"/>
  <c r="E315" i="5"/>
  <c r="J314" i="5"/>
  <c r="F314" i="5"/>
  <c r="E314" i="5"/>
  <c r="J313" i="5"/>
  <c r="F313" i="5"/>
  <c r="E313" i="5"/>
  <c r="K312" i="5"/>
  <c r="J312" i="5"/>
  <c r="H312" i="5"/>
  <c r="G312" i="5"/>
  <c r="F312" i="5"/>
  <c r="K311" i="5"/>
  <c r="J311" i="5"/>
  <c r="H311" i="5"/>
  <c r="Q311" i="5" s="1"/>
  <c r="G311" i="5"/>
  <c r="F311" i="5"/>
  <c r="K310" i="5"/>
  <c r="J310" i="5"/>
  <c r="H310" i="5"/>
  <c r="G310" i="5"/>
  <c r="F310" i="5"/>
  <c r="K309" i="5"/>
  <c r="J309" i="5"/>
  <c r="H309" i="5"/>
  <c r="Q309" i="5" s="1"/>
  <c r="G309" i="5"/>
  <c r="F309" i="5"/>
  <c r="C308" i="5"/>
  <c r="U307" i="5"/>
  <c r="S307" i="5"/>
  <c r="T307" i="5"/>
  <c r="R307" i="5"/>
  <c r="F307" i="5"/>
  <c r="E307" i="5"/>
  <c r="D307" i="5"/>
  <c r="I307" i="5"/>
  <c r="C307" i="5"/>
  <c r="A307" i="5"/>
  <c r="P306" i="5"/>
  <c r="Y306" i="5"/>
  <c r="X306" i="5"/>
  <c r="W306" i="5"/>
  <c r="K305" i="5"/>
  <c r="J305" i="5"/>
  <c r="Y305" i="5"/>
  <c r="X305" i="5"/>
  <c r="W305" i="5"/>
  <c r="H305" i="5"/>
  <c r="V305" i="5" s="1"/>
  <c r="F305" i="5"/>
  <c r="U305" i="5"/>
  <c r="S305" i="5"/>
  <c r="T305" i="5"/>
  <c r="R305" i="5"/>
  <c r="E305" i="5"/>
  <c r="D305" i="5"/>
  <c r="C305" i="5"/>
  <c r="B305" i="5"/>
  <c r="K304" i="5"/>
  <c r="J304" i="5"/>
  <c r="Y304" i="5"/>
  <c r="X304" i="5"/>
  <c r="W304" i="5"/>
  <c r="H304" i="5"/>
  <c r="V304" i="5" s="1"/>
  <c r="F304" i="5"/>
  <c r="U304" i="5"/>
  <c r="S304" i="5"/>
  <c r="T304" i="5"/>
  <c r="R304" i="5"/>
  <c r="E304" i="5"/>
  <c r="D304" i="5"/>
  <c r="C304" i="5"/>
  <c r="B304" i="5"/>
  <c r="K303" i="5"/>
  <c r="J303" i="5"/>
  <c r="Y303" i="5"/>
  <c r="X303" i="5"/>
  <c r="W303" i="5"/>
  <c r="H303" i="5"/>
  <c r="V303" i="5" s="1"/>
  <c r="F303" i="5"/>
  <c r="U303" i="5"/>
  <c r="S303" i="5"/>
  <c r="T303" i="5"/>
  <c r="R303" i="5"/>
  <c r="E303" i="5"/>
  <c r="D303" i="5"/>
  <c r="C303" i="5"/>
  <c r="B303" i="5"/>
  <c r="G302" i="5"/>
  <c r="E302" i="5"/>
  <c r="J301" i="5"/>
  <c r="F301" i="5"/>
  <c r="E301" i="5"/>
  <c r="J300" i="5"/>
  <c r="F300" i="5"/>
  <c r="E300" i="5"/>
  <c r="K299" i="5"/>
  <c r="J299" i="5"/>
  <c r="H299" i="5"/>
  <c r="G299" i="5"/>
  <c r="F299" i="5"/>
  <c r="K298" i="5"/>
  <c r="J298" i="5"/>
  <c r="H298" i="5"/>
  <c r="Q298" i="5" s="1"/>
  <c r="G298" i="5"/>
  <c r="F298" i="5"/>
  <c r="K297" i="5"/>
  <c r="J297" i="5"/>
  <c r="H297" i="5"/>
  <c r="G297" i="5"/>
  <c r="F297" i="5"/>
  <c r="K296" i="5"/>
  <c r="J296" i="5"/>
  <c r="H296" i="5"/>
  <c r="Q296" i="5" s="1"/>
  <c r="G296" i="5"/>
  <c r="F296" i="5"/>
  <c r="U295" i="5"/>
  <c r="S295" i="5"/>
  <c r="T295" i="5"/>
  <c r="R295" i="5"/>
  <c r="F295" i="5"/>
  <c r="E295" i="5"/>
  <c r="D295" i="5"/>
  <c r="I295" i="5"/>
  <c r="C295" i="5"/>
  <c r="A295" i="5"/>
  <c r="P294" i="5"/>
  <c r="Y294" i="5"/>
  <c r="X294" i="5"/>
  <c r="W294" i="5"/>
  <c r="K293" i="5"/>
  <c r="J293" i="5"/>
  <c r="Y293" i="5"/>
  <c r="X293" i="5"/>
  <c r="W293" i="5"/>
  <c r="H293" i="5"/>
  <c r="V293" i="5" s="1"/>
  <c r="F293" i="5"/>
  <c r="U293" i="5"/>
  <c r="S293" i="5"/>
  <c r="T293" i="5"/>
  <c r="R293" i="5"/>
  <c r="E293" i="5"/>
  <c r="D293" i="5"/>
  <c r="C293" i="5"/>
  <c r="B293" i="5"/>
  <c r="K292" i="5"/>
  <c r="J292" i="5"/>
  <c r="Y292" i="5"/>
  <c r="X292" i="5"/>
  <c r="W292" i="5"/>
  <c r="H292" i="5"/>
  <c r="V292" i="5" s="1"/>
  <c r="F292" i="5"/>
  <c r="U292" i="5"/>
  <c r="S292" i="5"/>
  <c r="T292" i="5"/>
  <c r="R292" i="5"/>
  <c r="E292" i="5"/>
  <c r="D292" i="5"/>
  <c r="C292" i="5"/>
  <c r="B292" i="5"/>
  <c r="K291" i="5"/>
  <c r="J291" i="5"/>
  <c r="Y291" i="5"/>
  <c r="X291" i="5"/>
  <c r="W291" i="5"/>
  <c r="H291" i="5"/>
  <c r="V291" i="5" s="1"/>
  <c r="F291" i="5"/>
  <c r="U291" i="5"/>
  <c r="S291" i="5"/>
  <c r="T291" i="5"/>
  <c r="R291" i="5"/>
  <c r="E291" i="5"/>
  <c r="D291" i="5"/>
  <c r="C291" i="5"/>
  <c r="B291" i="5"/>
  <c r="K290" i="5"/>
  <c r="J290" i="5"/>
  <c r="Y290" i="5"/>
  <c r="X290" i="5"/>
  <c r="W290" i="5"/>
  <c r="H290" i="5"/>
  <c r="V290" i="5" s="1"/>
  <c r="F290" i="5"/>
  <c r="U290" i="5"/>
  <c r="S290" i="5"/>
  <c r="T290" i="5"/>
  <c r="R290" i="5"/>
  <c r="E290" i="5"/>
  <c r="D290" i="5"/>
  <c r="C290" i="5"/>
  <c r="B290" i="5"/>
  <c r="K289" i="5"/>
  <c r="J289" i="5"/>
  <c r="Y289" i="5"/>
  <c r="X289" i="5"/>
  <c r="W289" i="5"/>
  <c r="H289" i="5"/>
  <c r="V289" i="5" s="1"/>
  <c r="F289" i="5"/>
  <c r="U289" i="5"/>
  <c r="S289" i="5"/>
  <c r="T289" i="5"/>
  <c r="R289" i="5"/>
  <c r="E289" i="5"/>
  <c r="D289" i="5"/>
  <c r="C289" i="5"/>
  <c r="B289" i="5"/>
  <c r="G288" i="5"/>
  <c r="E288" i="5"/>
  <c r="J287" i="5"/>
  <c r="F287" i="5"/>
  <c r="E287" i="5"/>
  <c r="J286" i="5"/>
  <c r="F286" i="5"/>
  <c r="E286" i="5"/>
  <c r="K285" i="5"/>
  <c r="J285" i="5"/>
  <c r="H285" i="5"/>
  <c r="G285" i="5"/>
  <c r="F285" i="5"/>
  <c r="K284" i="5"/>
  <c r="J284" i="5"/>
  <c r="H284" i="5"/>
  <c r="Q284" i="5" s="1"/>
  <c r="G284" i="5"/>
  <c r="F284" i="5"/>
  <c r="K283" i="5"/>
  <c r="J283" i="5"/>
  <c r="H283" i="5"/>
  <c r="G283" i="5"/>
  <c r="F283" i="5"/>
  <c r="K282" i="5"/>
  <c r="J282" i="5"/>
  <c r="H282" i="5"/>
  <c r="G282" i="5"/>
  <c r="F282" i="5"/>
  <c r="C281" i="5"/>
  <c r="U280" i="5"/>
  <c r="S280" i="5"/>
  <c r="T280" i="5"/>
  <c r="R280" i="5"/>
  <c r="F280" i="5"/>
  <c r="E280" i="5"/>
  <c r="D280" i="5"/>
  <c r="I280" i="5"/>
  <c r="C280" i="5"/>
  <c r="A280" i="5"/>
  <c r="P279" i="5"/>
  <c r="Y279" i="5"/>
  <c r="X279" i="5"/>
  <c r="W279" i="5"/>
  <c r="K278" i="5"/>
  <c r="J278" i="5"/>
  <c r="Y278" i="5"/>
  <c r="X278" i="5"/>
  <c r="W278" i="5"/>
  <c r="H278" i="5"/>
  <c r="V278" i="5" s="1"/>
  <c r="F278" i="5"/>
  <c r="U278" i="5"/>
  <c r="S278" i="5"/>
  <c r="T278" i="5"/>
  <c r="R278" i="5"/>
  <c r="E278" i="5"/>
  <c r="D278" i="5"/>
  <c r="C278" i="5"/>
  <c r="B278" i="5"/>
  <c r="G277" i="5"/>
  <c r="E277" i="5"/>
  <c r="J276" i="5"/>
  <c r="F276" i="5"/>
  <c r="E276" i="5"/>
  <c r="J275" i="5"/>
  <c r="F275" i="5"/>
  <c r="E275" i="5"/>
  <c r="K274" i="5"/>
  <c r="J274" i="5"/>
  <c r="H274" i="5"/>
  <c r="Q274" i="5" s="1"/>
  <c r="G274" i="5"/>
  <c r="F274" i="5"/>
  <c r="K273" i="5"/>
  <c r="J273" i="5"/>
  <c r="H273" i="5"/>
  <c r="G273" i="5"/>
  <c r="F273" i="5"/>
  <c r="K272" i="5"/>
  <c r="J272" i="5"/>
  <c r="H272" i="5"/>
  <c r="Q272" i="5" s="1"/>
  <c r="G272" i="5"/>
  <c r="F272" i="5"/>
  <c r="C271" i="5"/>
  <c r="U270" i="5"/>
  <c r="K276" i="5" s="1"/>
  <c r="S270" i="5"/>
  <c r="T270" i="5"/>
  <c r="H276" i="5" s="1"/>
  <c r="R270" i="5"/>
  <c r="F270" i="5"/>
  <c r="E270" i="5"/>
  <c r="D270" i="5"/>
  <c r="I270" i="5"/>
  <c r="C270" i="5"/>
  <c r="A270" i="5"/>
  <c r="P269" i="5"/>
  <c r="Y269" i="5"/>
  <c r="X269" i="5"/>
  <c r="W269" i="5"/>
  <c r="K268" i="5"/>
  <c r="J268" i="5"/>
  <c r="Y268" i="5"/>
  <c r="X268" i="5"/>
  <c r="W268" i="5"/>
  <c r="H268" i="5"/>
  <c r="V268" i="5" s="1"/>
  <c r="F268" i="5"/>
  <c r="U268" i="5"/>
  <c r="S268" i="5"/>
  <c r="T268" i="5"/>
  <c r="R268" i="5"/>
  <c r="E268" i="5"/>
  <c r="D268" i="5"/>
  <c r="C268" i="5"/>
  <c r="B268" i="5"/>
  <c r="G267" i="5"/>
  <c r="E267" i="5"/>
  <c r="J266" i="5"/>
  <c r="E266" i="5"/>
  <c r="J265" i="5"/>
  <c r="E265" i="5"/>
  <c r="K264" i="5"/>
  <c r="J264" i="5"/>
  <c r="H264" i="5"/>
  <c r="Q264" i="5" s="1"/>
  <c r="G264" i="5"/>
  <c r="F264" i="5"/>
  <c r="K263" i="5"/>
  <c r="J263" i="5"/>
  <c r="H263" i="5"/>
  <c r="G263" i="5"/>
  <c r="F263" i="5"/>
  <c r="K262" i="5"/>
  <c r="J262" i="5"/>
  <c r="H262" i="5"/>
  <c r="G262" i="5"/>
  <c r="F262" i="5"/>
  <c r="C261" i="5"/>
  <c r="U260" i="5"/>
  <c r="S260" i="5"/>
  <c r="T260" i="5"/>
  <c r="R260" i="5"/>
  <c r="F260" i="5"/>
  <c r="E260" i="5"/>
  <c r="D260" i="5"/>
  <c r="I260" i="5"/>
  <c r="C260" i="5"/>
  <c r="A260" i="5"/>
  <c r="P259" i="5"/>
  <c r="Y259" i="5"/>
  <c r="X259" i="5"/>
  <c r="V259" i="5"/>
  <c r="K258" i="5"/>
  <c r="J258" i="5"/>
  <c r="Y258" i="5"/>
  <c r="X258" i="5"/>
  <c r="V258" i="5"/>
  <c r="H258" i="5"/>
  <c r="W258" i="5" s="1"/>
  <c r="F258" i="5"/>
  <c r="U258" i="5"/>
  <c r="S258" i="5"/>
  <c r="T258" i="5"/>
  <c r="R258" i="5"/>
  <c r="E258" i="5"/>
  <c r="D258" i="5"/>
  <c r="C258" i="5"/>
  <c r="B258" i="5"/>
  <c r="G257" i="5"/>
  <c r="E257" i="5"/>
  <c r="J256" i="5"/>
  <c r="E256" i="5"/>
  <c r="J255" i="5"/>
  <c r="E255" i="5"/>
  <c r="K254" i="5"/>
  <c r="J254" i="5"/>
  <c r="H254" i="5"/>
  <c r="G254" i="5"/>
  <c r="F254" i="5"/>
  <c r="K253" i="5"/>
  <c r="J253" i="5"/>
  <c r="H253" i="5"/>
  <c r="Q253" i="5" s="1"/>
  <c r="G253" i="5"/>
  <c r="F253" i="5"/>
  <c r="K252" i="5"/>
  <c r="J252" i="5"/>
  <c r="H252" i="5"/>
  <c r="G252" i="5"/>
  <c r="F252" i="5"/>
  <c r="K251" i="5"/>
  <c r="J251" i="5"/>
  <c r="H251" i="5"/>
  <c r="G251" i="5"/>
  <c r="F251" i="5"/>
  <c r="C250" i="5"/>
  <c r="U249" i="5"/>
  <c r="S249" i="5"/>
  <c r="T249" i="5"/>
  <c r="R249" i="5"/>
  <c r="F249" i="5"/>
  <c r="E249" i="5"/>
  <c r="D249" i="5"/>
  <c r="I249" i="5"/>
  <c r="C249" i="5"/>
  <c r="A249" i="5"/>
  <c r="P248" i="5"/>
  <c r="Y248" i="5"/>
  <c r="X248" i="5"/>
  <c r="W248" i="5"/>
  <c r="K247" i="5"/>
  <c r="J247" i="5"/>
  <c r="Y247" i="5"/>
  <c r="X247" i="5"/>
  <c r="W247" i="5"/>
  <c r="H247" i="5"/>
  <c r="V247" i="5" s="1"/>
  <c r="F247" i="5"/>
  <c r="U247" i="5"/>
  <c r="S247" i="5"/>
  <c r="T247" i="5"/>
  <c r="R247" i="5"/>
  <c r="E247" i="5"/>
  <c r="D247" i="5"/>
  <c r="C247" i="5"/>
  <c r="B247" i="5"/>
  <c r="K246" i="5"/>
  <c r="J246" i="5"/>
  <c r="Y246" i="5"/>
  <c r="X246" i="5"/>
  <c r="W246" i="5"/>
  <c r="H246" i="5"/>
  <c r="V246" i="5" s="1"/>
  <c r="F246" i="5"/>
  <c r="U246" i="5"/>
  <c r="S246" i="5"/>
  <c r="T246" i="5"/>
  <c r="R246" i="5"/>
  <c r="E246" i="5"/>
  <c r="D246" i="5"/>
  <c r="C246" i="5"/>
  <c r="B246" i="5"/>
  <c r="G245" i="5"/>
  <c r="E245" i="5"/>
  <c r="J244" i="5"/>
  <c r="F244" i="5"/>
  <c r="E244" i="5"/>
  <c r="J243" i="5"/>
  <c r="F243" i="5"/>
  <c r="E243" i="5"/>
  <c r="K242" i="5"/>
  <c r="J242" i="5"/>
  <c r="H242" i="5"/>
  <c r="G242" i="5"/>
  <c r="F242" i="5"/>
  <c r="K241" i="5"/>
  <c r="J241" i="5"/>
  <c r="H241" i="5"/>
  <c r="Q241" i="5" s="1"/>
  <c r="G241" i="5"/>
  <c r="F241" i="5"/>
  <c r="K240" i="5"/>
  <c r="J240" i="5"/>
  <c r="H240" i="5"/>
  <c r="G240" i="5"/>
  <c r="F240" i="5"/>
  <c r="K239" i="5"/>
  <c r="J239" i="5"/>
  <c r="H239" i="5"/>
  <c r="G239" i="5"/>
  <c r="F239" i="5"/>
  <c r="C238" i="5"/>
  <c r="U237" i="5"/>
  <c r="S237" i="5"/>
  <c r="T237" i="5"/>
  <c r="R237" i="5"/>
  <c r="F237" i="5"/>
  <c r="E237" i="5"/>
  <c r="D237" i="5"/>
  <c r="I237" i="5"/>
  <c r="C237" i="5"/>
  <c r="A237" i="5"/>
  <c r="P236" i="5"/>
  <c r="Y236" i="5"/>
  <c r="X236" i="5"/>
  <c r="W236" i="5"/>
  <c r="K235" i="5"/>
  <c r="J235" i="5"/>
  <c r="Y235" i="5"/>
  <c r="X235" i="5"/>
  <c r="W235" i="5"/>
  <c r="H235" i="5"/>
  <c r="V235" i="5" s="1"/>
  <c r="F235" i="5"/>
  <c r="U235" i="5"/>
  <c r="S235" i="5"/>
  <c r="T235" i="5"/>
  <c r="R235" i="5"/>
  <c r="E235" i="5"/>
  <c r="D235" i="5"/>
  <c r="C235" i="5"/>
  <c r="B235" i="5"/>
  <c r="K234" i="5"/>
  <c r="J234" i="5"/>
  <c r="Y234" i="5"/>
  <c r="X234" i="5"/>
  <c r="W234" i="5"/>
  <c r="H234" i="5"/>
  <c r="V234" i="5" s="1"/>
  <c r="F234" i="5"/>
  <c r="U234" i="5"/>
  <c r="S234" i="5"/>
  <c r="T234" i="5"/>
  <c r="R234" i="5"/>
  <c r="E234" i="5"/>
  <c r="D234" i="5"/>
  <c r="C234" i="5"/>
  <c r="B234" i="5"/>
  <c r="G233" i="5"/>
  <c r="E233" i="5"/>
  <c r="J232" i="5"/>
  <c r="F232" i="5"/>
  <c r="E232" i="5"/>
  <c r="J231" i="5"/>
  <c r="F231" i="5"/>
  <c r="E231" i="5"/>
  <c r="K230" i="5"/>
  <c r="J230" i="5"/>
  <c r="H230" i="5"/>
  <c r="G230" i="5"/>
  <c r="F230" i="5"/>
  <c r="K229" i="5"/>
  <c r="J229" i="5"/>
  <c r="H229" i="5"/>
  <c r="Q229" i="5" s="1"/>
  <c r="G229" i="5"/>
  <c r="F229" i="5"/>
  <c r="K228" i="5"/>
  <c r="J228" i="5"/>
  <c r="H228" i="5"/>
  <c r="G228" i="5"/>
  <c r="F228" i="5"/>
  <c r="K227" i="5"/>
  <c r="J227" i="5"/>
  <c r="H227" i="5"/>
  <c r="G227" i="5"/>
  <c r="F227" i="5"/>
  <c r="C226" i="5"/>
  <c r="U225" i="5"/>
  <c r="S225" i="5"/>
  <c r="T225" i="5"/>
  <c r="R225" i="5"/>
  <c r="F225" i="5"/>
  <c r="E225" i="5"/>
  <c r="D225" i="5"/>
  <c r="I225" i="5"/>
  <c r="C225" i="5"/>
  <c r="A225" i="5"/>
  <c r="P224" i="5"/>
  <c r="Y224" i="5"/>
  <c r="X224" i="5"/>
  <c r="W224" i="5"/>
  <c r="K223" i="5"/>
  <c r="J223" i="5"/>
  <c r="Y223" i="5"/>
  <c r="X223" i="5"/>
  <c r="W223" i="5"/>
  <c r="H223" i="5"/>
  <c r="V223" i="5" s="1"/>
  <c r="F223" i="5"/>
  <c r="U223" i="5"/>
  <c r="S223" i="5"/>
  <c r="T223" i="5"/>
  <c r="R223" i="5"/>
  <c r="E223" i="5"/>
  <c r="D223" i="5"/>
  <c r="C223" i="5"/>
  <c r="B223" i="5"/>
  <c r="K222" i="5"/>
  <c r="J222" i="5"/>
  <c r="Y222" i="5"/>
  <c r="X222" i="5"/>
  <c r="W222" i="5"/>
  <c r="H222" i="5"/>
  <c r="V222" i="5" s="1"/>
  <c r="F222" i="5"/>
  <c r="U222" i="5"/>
  <c r="S222" i="5"/>
  <c r="T222" i="5"/>
  <c r="R222" i="5"/>
  <c r="E222" i="5"/>
  <c r="D222" i="5"/>
  <c r="C222" i="5"/>
  <c r="B222" i="5"/>
  <c r="G221" i="5"/>
  <c r="E221" i="5"/>
  <c r="J220" i="5"/>
  <c r="F220" i="5"/>
  <c r="E220" i="5"/>
  <c r="J219" i="5"/>
  <c r="F219" i="5"/>
  <c r="E219" i="5"/>
  <c r="K218" i="5"/>
  <c r="J218" i="5"/>
  <c r="H218" i="5"/>
  <c r="G218" i="5"/>
  <c r="F218" i="5"/>
  <c r="K217" i="5"/>
  <c r="J217" i="5"/>
  <c r="H217" i="5"/>
  <c r="Q217" i="5" s="1"/>
  <c r="G217" i="5"/>
  <c r="F217" i="5"/>
  <c r="K216" i="5"/>
  <c r="J216" i="5"/>
  <c r="H216" i="5"/>
  <c r="G216" i="5"/>
  <c r="F216" i="5"/>
  <c r="K215" i="5"/>
  <c r="J215" i="5"/>
  <c r="H215" i="5"/>
  <c r="Q215" i="5" s="1"/>
  <c r="G215" i="5"/>
  <c r="F215" i="5"/>
  <c r="C214" i="5"/>
  <c r="U213" i="5"/>
  <c r="S213" i="5"/>
  <c r="T213" i="5"/>
  <c r="R213" i="5"/>
  <c r="F213" i="5"/>
  <c r="E213" i="5"/>
  <c r="D213" i="5"/>
  <c r="I213" i="5"/>
  <c r="C213" i="5"/>
  <c r="A213" i="5"/>
  <c r="P212" i="5"/>
  <c r="Y212" i="5"/>
  <c r="X212" i="5"/>
  <c r="W212" i="5"/>
  <c r="K211" i="5"/>
  <c r="J211" i="5"/>
  <c r="Y211" i="5"/>
  <c r="X211" i="5"/>
  <c r="W211" i="5"/>
  <c r="H211" i="5"/>
  <c r="V211" i="5" s="1"/>
  <c r="F211" i="5"/>
  <c r="U211" i="5"/>
  <c r="S211" i="5"/>
  <c r="T211" i="5"/>
  <c r="R211" i="5"/>
  <c r="E211" i="5"/>
  <c r="D211" i="5"/>
  <c r="C211" i="5"/>
  <c r="B211" i="5"/>
  <c r="G210" i="5"/>
  <c r="E210" i="5"/>
  <c r="J209" i="5"/>
  <c r="F209" i="5"/>
  <c r="E209" i="5"/>
  <c r="J208" i="5"/>
  <c r="F208" i="5"/>
  <c r="E208" i="5"/>
  <c r="K207" i="5"/>
  <c r="J207" i="5"/>
  <c r="H207" i="5"/>
  <c r="G207" i="5"/>
  <c r="F207" i="5"/>
  <c r="K206" i="5"/>
  <c r="J206" i="5"/>
  <c r="H206" i="5"/>
  <c r="Q206" i="5" s="1"/>
  <c r="G206" i="5"/>
  <c r="F206" i="5"/>
  <c r="K205" i="5"/>
  <c r="J205" i="5"/>
  <c r="H205" i="5"/>
  <c r="G205" i="5"/>
  <c r="F205" i="5"/>
  <c r="K204" i="5"/>
  <c r="J204" i="5"/>
  <c r="H204" i="5"/>
  <c r="Q204" i="5" s="1"/>
  <c r="G204" i="5"/>
  <c r="F204" i="5"/>
  <c r="C203" i="5"/>
  <c r="U202" i="5"/>
  <c r="S202" i="5"/>
  <c r="T202" i="5"/>
  <c r="R202" i="5"/>
  <c r="F202" i="5"/>
  <c r="E202" i="5"/>
  <c r="D202" i="5"/>
  <c r="I202" i="5"/>
  <c r="C202" i="5"/>
  <c r="A202" i="5"/>
  <c r="P201" i="5"/>
  <c r="Y201" i="5"/>
  <c r="X201" i="5"/>
  <c r="W201" i="5"/>
  <c r="G200" i="5"/>
  <c r="E200" i="5"/>
  <c r="J199" i="5"/>
  <c r="F199" i="5"/>
  <c r="E199" i="5"/>
  <c r="J198" i="5"/>
  <c r="F198" i="5"/>
  <c r="E198" i="5"/>
  <c r="K197" i="5"/>
  <c r="J197" i="5"/>
  <c r="H197" i="5"/>
  <c r="Q197" i="5" s="1"/>
  <c r="G197" i="5"/>
  <c r="F197" i="5"/>
  <c r="C196" i="5"/>
  <c r="U195" i="5"/>
  <c r="K199" i="5" s="1"/>
  <c r="S195" i="5"/>
  <c r="K198" i="5" s="1"/>
  <c r="T195" i="5"/>
  <c r="H199" i="5" s="1"/>
  <c r="R195" i="5"/>
  <c r="H198" i="5" s="1"/>
  <c r="F195" i="5"/>
  <c r="E195" i="5"/>
  <c r="D195" i="5"/>
  <c r="I195" i="5"/>
  <c r="C195" i="5"/>
  <c r="A195" i="5"/>
  <c r="B194" i="5"/>
  <c r="P192" i="5"/>
  <c r="Y192" i="5"/>
  <c r="X192" i="5"/>
  <c r="W192" i="5"/>
  <c r="G191" i="5"/>
  <c r="E191" i="5"/>
  <c r="J190" i="5"/>
  <c r="E190" i="5"/>
  <c r="J189" i="5"/>
  <c r="E189" i="5"/>
  <c r="K188" i="5"/>
  <c r="J188" i="5"/>
  <c r="H188" i="5"/>
  <c r="Q188" i="5" s="1"/>
  <c r="G188" i="5"/>
  <c r="F188" i="5"/>
  <c r="K187" i="5"/>
  <c r="J187" i="5"/>
  <c r="H187" i="5"/>
  <c r="G187" i="5"/>
  <c r="F187" i="5"/>
  <c r="K186" i="5"/>
  <c r="J186" i="5"/>
  <c r="H186" i="5"/>
  <c r="Q186" i="5" s="1"/>
  <c r="G186" i="5"/>
  <c r="F186" i="5"/>
  <c r="C185" i="5"/>
  <c r="U184" i="5"/>
  <c r="K190" i="5" s="1"/>
  <c r="S184" i="5"/>
  <c r="K189" i="5" s="1"/>
  <c r="T184" i="5"/>
  <c r="H190" i="5" s="1"/>
  <c r="R184" i="5"/>
  <c r="H189" i="5" s="1"/>
  <c r="F184" i="5"/>
  <c r="E184" i="5"/>
  <c r="D184" i="5"/>
  <c r="I184" i="5"/>
  <c r="C184" i="5"/>
  <c r="A184" i="5"/>
  <c r="P183" i="5"/>
  <c r="Y183" i="5"/>
  <c r="X183" i="5"/>
  <c r="W183" i="5"/>
  <c r="G182" i="5"/>
  <c r="E182" i="5"/>
  <c r="J181" i="5"/>
  <c r="F181" i="5"/>
  <c r="E181" i="5"/>
  <c r="J180" i="5"/>
  <c r="F180" i="5"/>
  <c r="E180" i="5"/>
  <c r="K179" i="5"/>
  <c r="J179" i="5"/>
  <c r="H179" i="5"/>
  <c r="G179" i="5"/>
  <c r="F179" i="5"/>
  <c r="K178" i="5"/>
  <c r="J178" i="5"/>
  <c r="H178" i="5"/>
  <c r="G178" i="5"/>
  <c r="F178" i="5"/>
  <c r="U177" i="5"/>
  <c r="K181" i="5" s="1"/>
  <c r="S177" i="5"/>
  <c r="K180" i="5" s="1"/>
  <c r="T177" i="5"/>
  <c r="H181" i="5" s="1"/>
  <c r="R177" i="5"/>
  <c r="H180" i="5" s="1"/>
  <c r="F177" i="5"/>
  <c r="E177" i="5"/>
  <c r="D177" i="5"/>
  <c r="I177" i="5"/>
  <c r="C177" i="5"/>
  <c r="A177" i="5"/>
  <c r="P176" i="5"/>
  <c r="Y176" i="5"/>
  <c r="X176" i="5"/>
  <c r="W176" i="5"/>
  <c r="G175" i="5"/>
  <c r="E175" i="5"/>
  <c r="J174" i="5"/>
  <c r="F174" i="5"/>
  <c r="E174" i="5"/>
  <c r="J173" i="5"/>
  <c r="F173" i="5"/>
  <c r="E173" i="5"/>
  <c r="K172" i="5"/>
  <c r="J172" i="5"/>
  <c r="H172" i="5"/>
  <c r="Q172" i="5" s="1"/>
  <c r="G172" i="5"/>
  <c r="F172" i="5"/>
  <c r="K171" i="5"/>
  <c r="J171" i="5"/>
  <c r="H171" i="5"/>
  <c r="G171" i="5"/>
  <c r="F171" i="5"/>
  <c r="K170" i="5"/>
  <c r="J170" i="5"/>
  <c r="H170" i="5"/>
  <c r="G170" i="5"/>
  <c r="F170" i="5"/>
  <c r="U169" i="5"/>
  <c r="K174" i="5" s="1"/>
  <c r="S169" i="5"/>
  <c r="K173" i="5" s="1"/>
  <c r="T169" i="5"/>
  <c r="H174" i="5" s="1"/>
  <c r="R169" i="5"/>
  <c r="H173" i="5" s="1"/>
  <c r="F169" i="5"/>
  <c r="E169" i="5"/>
  <c r="D169" i="5"/>
  <c r="I169" i="5"/>
  <c r="C169" i="5"/>
  <c r="A169" i="5"/>
  <c r="P168" i="5"/>
  <c r="Y168" i="5"/>
  <c r="X168" i="5"/>
  <c r="W168" i="5"/>
  <c r="G167" i="5"/>
  <c r="E167" i="5"/>
  <c r="J166" i="5"/>
  <c r="F166" i="5"/>
  <c r="E166" i="5"/>
  <c r="J165" i="5"/>
  <c r="F165" i="5"/>
  <c r="E165" i="5"/>
  <c r="K164" i="5"/>
  <c r="J164" i="5"/>
  <c r="H164" i="5"/>
  <c r="Q164" i="5" s="1"/>
  <c r="G164" i="5"/>
  <c r="F164" i="5"/>
  <c r="U163" i="5"/>
  <c r="K166" i="5" s="1"/>
  <c r="S163" i="5"/>
  <c r="K165" i="5" s="1"/>
  <c r="T163" i="5"/>
  <c r="H166" i="5" s="1"/>
  <c r="R163" i="5"/>
  <c r="H165" i="5" s="1"/>
  <c r="F163" i="5"/>
  <c r="E163" i="5"/>
  <c r="D163" i="5"/>
  <c r="I163" i="5"/>
  <c r="C163" i="5"/>
  <c r="A163" i="5"/>
  <c r="P162" i="5"/>
  <c r="Y162" i="5"/>
  <c r="X162" i="5"/>
  <c r="W162" i="5"/>
  <c r="G161" i="5"/>
  <c r="E161" i="5"/>
  <c r="J160" i="5"/>
  <c r="F160" i="5"/>
  <c r="E160" i="5"/>
  <c r="J159" i="5"/>
  <c r="F159" i="5"/>
  <c r="E159" i="5"/>
  <c r="K158" i="5"/>
  <c r="J158" i="5"/>
  <c r="H158" i="5"/>
  <c r="G158" i="5"/>
  <c r="F158" i="5"/>
  <c r="U157" i="5"/>
  <c r="K160" i="5" s="1"/>
  <c r="S157" i="5"/>
  <c r="K159" i="5" s="1"/>
  <c r="T157" i="5"/>
  <c r="H160" i="5" s="1"/>
  <c r="R157" i="5"/>
  <c r="H159" i="5" s="1"/>
  <c r="F157" i="5"/>
  <c r="E157" i="5"/>
  <c r="D157" i="5"/>
  <c r="I157" i="5"/>
  <c r="C157" i="5"/>
  <c r="A157" i="5"/>
  <c r="P156" i="5"/>
  <c r="Y156" i="5"/>
  <c r="X156" i="5"/>
  <c r="W156" i="5"/>
  <c r="G155" i="5"/>
  <c r="E155" i="5"/>
  <c r="J154" i="5"/>
  <c r="F154" i="5"/>
  <c r="E154" i="5"/>
  <c r="J153" i="5"/>
  <c r="F153" i="5"/>
  <c r="E153" i="5"/>
  <c r="K152" i="5"/>
  <c r="J152" i="5"/>
  <c r="H152" i="5"/>
  <c r="Q152" i="5" s="1"/>
  <c r="G152" i="5"/>
  <c r="F152" i="5"/>
  <c r="K151" i="5"/>
  <c r="J151" i="5"/>
  <c r="H151" i="5"/>
  <c r="G151" i="5"/>
  <c r="F151" i="5"/>
  <c r="K150" i="5"/>
  <c r="J150" i="5"/>
  <c r="H150" i="5"/>
  <c r="G150" i="5"/>
  <c r="F150" i="5"/>
  <c r="U149" i="5"/>
  <c r="K154" i="5" s="1"/>
  <c r="S149" i="5"/>
  <c r="K153" i="5" s="1"/>
  <c r="T149" i="5"/>
  <c r="H154" i="5" s="1"/>
  <c r="R149" i="5"/>
  <c r="H153" i="5" s="1"/>
  <c r="F149" i="5"/>
  <c r="E149" i="5"/>
  <c r="D149" i="5"/>
  <c r="I149" i="5"/>
  <c r="C149" i="5"/>
  <c r="A149" i="5"/>
  <c r="P148" i="5"/>
  <c r="Y148" i="5"/>
  <c r="X148" i="5"/>
  <c r="W148" i="5"/>
  <c r="G147" i="5"/>
  <c r="E147" i="5"/>
  <c r="J146" i="5"/>
  <c r="F146" i="5"/>
  <c r="E146" i="5"/>
  <c r="J145" i="5"/>
  <c r="F145" i="5"/>
  <c r="E145" i="5"/>
  <c r="K144" i="5"/>
  <c r="J144" i="5"/>
  <c r="H144" i="5"/>
  <c r="G144" i="5"/>
  <c r="F144" i="5"/>
  <c r="K143" i="5"/>
  <c r="J143" i="5"/>
  <c r="H143" i="5"/>
  <c r="G143" i="5"/>
  <c r="F143" i="5"/>
  <c r="U142" i="5"/>
  <c r="K146" i="5" s="1"/>
  <c r="S142" i="5"/>
  <c r="K145" i="5" s="1"/>
  <c r="T142" i="5"/>
  <c r="H146" i="5" s="1"/>
  <c r="R142" i="5"/>
  <c r="H145" i="5" s="1"/>
  <c r="F142" i="5"/>
  <c r="E142" i="5"/>
  <c r="D142" i="5"/>
  <c r="I142" i="5"/>
  <c r="C142" i="5"/>
  <c r="A142" i="5"/>
  <c r="P141" i="5"/>
  <c r="Y141" i="5"/>
  <c r="X141" i="5"/>
  <c r="W141" i="5"/>
  <c r="G140" i="5"/>
  <c r="E140" i="5"/>
  <c r="J139" i="5"/>
  <c r="F139" i="5"/>
  <c r="E139" i="5"/>
  <c r="J138" i="5"/>
  <c r="F138" i="5"/>
  <c r="E138" i="5"/>
  <c r="K137" i="5"/>
  <c r="J137" i="5"/>
  <c r="H137" i="5"/>
  <c r="Q137" i="5" s="1"/>
  <c r="G137" i="5"/>
  <c r="F137" i="5"/>
  <c r="K136" i="5"/>
  <c r="J136" i="5"/>
  <c r="H136" i="5"/>
  <c r="G136" i="5"/>
  <c r="F136" i="5"/>
  <c r="K135" i="5"/>
  <c r="J135" i="5"/>
  <c r="H135" i="5"/>
  <c r="G135" i="5"/>
  <c r="F135" i="5"/>
  <c r="C134" i="5"/>
  <c r="U133" i="5"/>
  <c r="K139" i="5" s="1"/>
  <c r="S133" i="5"/>
  <c r="K138" i="5" s="1"/>
  <c r="T133" i="5"/>
  <c r="H139" i="5" s="1"/>
  <c r="R133" i="5"/>
  <c r="H138" i="5" s="1"/>
  <c r="F133" i="5"/>
  <c r="E133" i="5"/>
  <c r="D133" i="5"/>
  <c r="I133" i="5"/>
  <c r="C133" i="5"/>
  <c r="A133" i="5"/>
  <c r="P132" i="5"/>
  <c r="Y132" i="5"/>
  <c r="X132" i="5"/>
  <c r="W132" i="5"/>
  <c r="G131" i="5"/>
  <c r="E131" i="5"/>
  <c r="J130" i="5"/>
  <c r="E130" i="5"/>
  <c r="J129" i="5"/>
  <c r="E129" i="5"/>
  <c r="K128" i="5"/>
  <c r="J128" i="5"/>
  <c r="H128" i="5"/>
  <c r="G128" i="5"/>
  <c r="F128" i="5"/>
  <c r="C127" i="5"/>
  <c r="U126" i="5"/>
  <c r="K130" i="5" s="1"/>
  <c r="S126" i="5"/>
  <c r="K129" i="5" s="1"/>
  <c r="T126" i="5"/>
  <c r="H130" i="5" s="1"/>
  <c r="R126" i="5"/>
  <c r="H129" i="5" s="1"/>
  <c r="F126" i="5"/>
  <c r="E126" i="5"/>
  <c r="D126" i="5"/>
  <c r="I126" i="5"/>
  <c r="C126" i="5"/>
  <c r="A126" i="5"/>
  <c r="P125" i="5"/>
  <c r="Y125" i="5"/>
  <c r="X125" i="5"/>
  <c r="W125" i="5"/>
  <c r="K124" i="5"/>
  <c r="J124" i="5"/>
  <c r="Y124" i="5"/>
  <c r="X124" i="5"/>
  <c r="W124" i="5"/>
  <c r="H124" i="5"/>
  <c r="V124" i="5" s="1"/>
  <c r="F124" i="5"/>
  <c r="U124" i="5"/>
  <c r="S124" i="5"/>
  <c r="T124" i="5"/>
  <c r="R124" i="5"/>
  <c r="E124" i="5"/>
  <c r="D124" i="5"/>
  <c r="C124" i="5"/>
  <c r="B124" i="5"/>
  <c r="G123" i="5"/>
  <c r="E123" i="5"/>
  <c r="J122" i="5"/>
  <c r="E122" i="5"/>
  <c r="J121" i="5"/>
  <c r="E121" i="5"/>
  <c r="K120" i="5"/>
  <c r="J120" i="5"/>
  <c r="H120" i="5"/>
  <c r="G120" i="5"/>
  <c r="F120" i="5"/>
  <c r="C119" i="5"/>
  <c r="U118" i="5"/>
  <c r="K122" i="5" s="1"/>
  <c r="S118" i="5"/>
  <c r="K121" i="5" s="1"/>
  <c r="T118" i="5"/>
  <c r="H122" i="5" s="1"/>
  <c r="R118" i="5"/>
  <c r="H121" i="5" s="1"/>
  <c r="F118" i="5"/>
  <c r="E118" i="5"/>
  <c r="D118" i="5"/>
  <c r="I118" i="5"/>
  <c r="C118" i="5"/>
  <c r="A118" i="5"/>
  <c r="P117" i="5"/>
  <c r="Y117" i="5"/>
  <c r="X117" i="5"/>
  <c r="W117" i="5"/>
  <c r="K116" i="5"/>
  <c r="J116" i="5"/>
  <c r="Y116" i="5"/>
  <c r="X116" i="5"/>
  <c r="W116" i="5"/>
  <c r="H116" i="5"/>
  <c r="V116" i="5" s="1"/>
  <c r="F116" i="5"/>
  <c r="U116" i="5"/>
  <c r="S116" i="5"/>
  <c r="T116" i="5"/>
  <c r="R116" i="5"/>
  <c r="E116" i="5"/>
  <c r="D116" i="5"/>
  <c r="C116" i="5"/>
  <c r="B116" i="5"/>
  <c r="G115" i="5"/>
  <c r="E115" i="5"/>
  <c r="J114" i="5"/>
  <c r="E114" i="5"/>
  <c r="J113" i="5"/>
  <c r="E113" i="5"/>
  <c r="K112" i="5"/>
  <c r="J112" i="5"/>
  <c r="H112" i="5"/>
  <c r="G112" i="5"/>
  <c r="F112" i="5"/>
  <c r="C111" i="5"/>
  <c r="U110" i="5"/>
  <c r="K114" i="5" s="1"/>
  <c r="S110" i="5"/>
  <c r="K113" i="5" s="1"/>
  <c r="T110" i="5"/>
  <c r="H114" i="5" s="1"/>
  <c r="R110" i="5"/>
  <c r="H113" i="5" s="1"/>
  <c r="F110" i="5"/>
  <c r="E110" i="5"/>
  <c r="D110" i="5"/>
  <c r="I110" i="5"/>
  <c r="C110" i="5"/>
  <c r="A110" i="5"/>
  <c r="P109" i="5"/>
  <c r="Y109" i="5"/>
  <c r="X109" i="5"/>
  <c r="W109" i="5"/>
  <c r="G108" i="5"/>
  <c r="E108" i="5"/>
  <c r="J107" i="5"/>
  <c r="E107" i="5"/>
  <c r="J106" i="5"/>
  <c r="E106" i="5"/>
  <c r="K105" i="5"/>
  <c r="J105" i="5"/>
  <c r="H105" i="5"/>
  <c r="Q105" i="5" s="1"/>
  <c r="G105" i="5"/>
  <c r="F105" i="5"/>
  <c r="K104" i="5"/>
  <c r="J104" i="5"/>
  <c r="H104" i="5"/>
  <c r="G104" i="5"/>
  <c r="F104" i="5"/>
  <c r="K103" i="5"/>
  <c r="J103" i="5"/>
  <c r="H103" i="5"/>
  <c r="Q103" i="5" s="1"/>
  <c r="G103" i="5"/>
  <c r="F103" i="5"/>
  <c r="C102" i="5"/>
  <c r="U101" i="5"/>
  <c r="K107" i="5" s="1"/>
  <c r="S101" i="5"/>
  <c r="K106" i="5" s="1"/>
  <c r="T101" i="5"/>
  <c r="H107" i="5" s="1"/>
  <c r="R101" i="5"/>
  <c r="H106" i="5" s="1"/>
  <c r="F101" i="5"/>
  <c r="E101" i="5"/>
  <c r="D101" i="5"/>
  <c r="I101" i="5"/>
  <c r="C101" i="5"/>
  <c r="A101" i="5"/>
  <c r="P100" i="5"/>
  <c r="Y100" i="5"/>
  <c r="X100" i="5"/>
  <c r="W100" i="5"/>
  <c r="K99" i="5"/>
  <c r="J99" i="5"/>
  <c r="Y99" i="5"/>
  <c r="X99" i="5"/>
  <c r="W99" i="5"/>
  <c r="H99" i="5"/>
  <c r="V99" i="5" s="1"/>
  <c r="F99" i="5"/>
  <c r="U99" i="5"/>
  <c r="S99" i="5"/>
  <c r="T99" i="5"/>
  <c r="R99" i="5"/>
  <c r="E99" i="5"/>
  <c r="D99" i="5"/>
  <c r="C99" i="5"/>
  <c r="B99" i="5"/>
  <c r="G98" i="5"/>
  <c r="E98" i="5"/>
  <c r="J97" i="5"/>
  <c r="F97" i="5"/>
  <c r="E97" i="5"/>
  <c r="J96" i="5"/>
  <c r="F96" i="5"/>
  <c r="E96" i="5"/>
  <c r="K95" i="5"/>
  <c r="J95" i="5"/>
  <c r="H95" i="5"/>
  <c r="G95" i="5"/>
  <c r="F95" i="5"/>
  <c r="K94" i="5"/>
  <c r="J94" i="5"/>
  <c r="H94" i="5"/>
  <c r="G94" i="5"/>
  <c r="F94" i="5"/>
  <c r="C93" i="5"/>
  <c r="U92" i="5"/>
  <c r="S92" i="5"/>
  <c r="T92" i="5"/>
  <c r="R92" i="5"/>
  <c r="F92" i="5"/>
  <c r="E92" i="5"/>
  <c r="D92" i="5"/>
  <c r="I92" i="5"/>
  <c r="C92" i="5"/>
  <c r="A92" i="5"/>
  <c r="P91" i="5"/>
  <c r="Y91" i="5"/>
  <c r="X91" i="5"/>
  <c r="W91" i="5"/>
  <c r="G90" i="5"/>
  <c r="E90" i="5"/>
  <c r="J89" i="5"/>
  <c r="F89" i="5"/>
  <c r="E89" i="5"/>
  <c r="J88" i="5"/>
  <c r="F88" i="5"/>
  <c r="E88" i="5"/>
  <c r="K87" i="5"/>
  <c r="J87" i="5"/>
  <c r="H87" i="5"/>
  <c r="Q87" i="5" s="1"/>
  <c r="G87" i="5"/>
  <c r="F87" i="5"/>
  <c r="K86" i="5"/>
  <c r="J86" i="5"/>
  <c r="H86" i="5"/>
  <c r="G86" i="5"/>
  <c r="F86" i="5"/>
  <c r="K85" i="5"/>
  <c r="J85" i="5"/>
  <c r="H85" i="5"/>
  <c r="Q85" i="5" s="1"/>
  <c r="G85" i="5"/>
  <c r="F85" i="5"/>
  <c r="C84" i="5"/>
  <c r="U83" i="5"/>
  <c r="K89" i="5" s="1"/>
  <c r="S83" i="5"/>
  <c r="K88" i="5" s="1"/>
  <c r="T83" i="5"/>
  <c r="H89" i="5" s="1"/>
  <c r="R83" i="5"/>
  <c r="H88" i="5" s="1"/>
  <c r="F83" i="5"/>
  <c r="E83" i="5"/>
  <c r="D83" i="5"/>
  <c r="I83" i="5"/>
  <c r="C83" i="5"/>
  <c r="A83" i="5"/>
  <c r="P82" i="5"/>
  <c r="Y82" i="5"/>
  <c r="X82" i="5"/>
  <c r="W82" i="5"/>
  <c r="G81" i="5"/>
  <c r="E81" i="5"/>
  <c r="J80" i="5"/>
  <c r="F80" i="5"/>
  <c r="E80" i="5"/>
  <c r="J79" i="5"/>
  <c r="F79" i="5"/>
  <c r="E79" i="5"/>
  <c r="K78" i="5"/>
  <c r="J78" i="5"/>
  <c r="H78" i="5"/>
  <c r="Q78" i="5" s="1"/>
  <c r="G78" i="5"/>
  <c r="F78" i="5"/>
  <c r="K77" i="5"/>
  <c r="J77" i="5"/>
  <c r="H77" i="5"/>
  <c r="G77" i="5"/>
  <c r="F77" i="5"/>
  <c r="K76" i="5"/>
  <c r="J76" i="5"/>
  <c r="H76" i="5"/>
  <c r="G76" i="5"/>
  <c r="F76" i="5"/>
  <c r="C75" i="5"/>
  <c r="U74" i="5"/>
  <c r="K80" i="5" s="1"/>
  <c r="S74" i="5"/>
  <c r="K79" i="5" s="1"/>
  <c r="T74" i="5"/>
  <c r="H80" i="5" s="1"/>
  <c r="R74" i="5"/>
  <c r="H79" i="5" s="1"/>
  <c r="F74" i="5"/>
  <c r="E74" i="5"/>
  <c r="D74" i="5"/>
  <c r="I74" i="5"/>
  <c r="C74" i="5"/>
  <c r="A74" i="5"/>
  <c r="P73" i="5"/>
  <c r="Y73" i="5"/>
  <c r="X73" i="5"/>
  <c r="W73" i="5"/>
  <c r="G72" i="5"/>
  <c r="E72" i="5"/>
  <c r="J71" i="5"/>
  <c r="F71" i="5"/>
  <c r="E71" i="5"/>
  <c r="J70" i="5"/>
  <c r="F70" i="5"/>
  <c r="E70" i="5"/>
  <c r="K69" i="5"/>
  <c r="J69" i="5"/>
  <c r="H69" i="5"/>
  <c r="Q69" i="5" s="1"/>
  <c r="G69" i="5"/>
  <c r="F69" i="5"/>
  <c r="K68" i="5"/>
  <c r="J68" i="5"/>
  <c r="H68" i="5"/>
  <c r="G68" i="5"/>
  <c r="F68" i="5"/>
  <c r="K67" i="5"/>
  <c r="J67" i="5"/>
  <c r="H67" i="5"/>
  <c r="Q67" i="5" s="1"/>
  <c r="G67" i="5"/>
  <c r="F67" i="5"/>
  <c r="U66" i="5"/>
  <c r="K71" i="5" s="1"/>
  <c r="S66" i="5"/>
  <c r="K70" i="5" s="1"/>
  <c r="T66" i="5"/>
  <c r="H71" i="5" s="1"/>
  <c r="R66" i="5"/>
  <c r="H70" i="5" s="1"/>
  <c r="F66" i="5"/>
  <c r="E66" i="5"/>
  <c r="D66" i="5"/>
  <c r="I66" i="5"/>
  <c r="C66" i="5"/>
  <c r="A66" i="5"/>
  <c r="P65" i="5"/>
  <c r="Y65" i="5"/>
  <c r="X65" i="5"/>
  <c r="W65" i="5"/>
  <c r="G64" i="5"/>
  <c r="E64" i="5"/>
  <c r="J63" i="5"/>
  <c r="E63" i="5"/>
  <c r="J62" i="5"/>
  <c r="E62" i="5"/>
  <c r="K61" i="5"/>
  <c r="J61" i="5"/>
  <c r="H61" i="5"/>
  <c r="Q61" i="5" s="1"/>
  <c r="G61" i="5"/>
  <c r="F61" i="5"/>
  <c r="K60" i="5"/>
  <c r="J60" i="5"/>
  <c r="H60" i="5"/>
  <c r="G60" i="5"/>
  <c r="F60" i="5"/>
  <c r="K59" i="5"/>
  <c r="J59" i="5"/>
  <c r="H59" i="5"/>
  <c r="Q59" i="5" s="1"/>
  <c r="G59" i="5"/>
  <c r="F59" i="5"/>
  <c r="C58" i="5"/>
  <c r="U57" i="5"/>
  <c r="K63" i="5" s="1"/>
  <c r="S57" i="5"/>
  <c r="K62" i="5" s="1"/>
  <c r="T57" i="5"/>
  <c r="H63" i="5" s="1"/>
  <c r="R57" i="5"/>
  <c r="H62" i="5" s="1"/>
  <c r="F57" i="5"/>
  <c r="E57" i="5"/>
  <c r="D57" i="5"/>
  <c r="I57" i="5"/>
  <c r="C57" i="5"/>
  <c r="A57" i="5"/>
  <c r="P56" i="5"/>
  <c r="Y56" i="5"/>
  <c r="X56" i="5"/>
  <c r="V56" i="5"/>
  <c r="G55" i="5"/>
  <c r="E55" i="5"/>
  <c r="J54" i="5"/>
  <c r="E54" i="5"/>
  <c r="J53" i="5"/>
  <c r="E53" i="5"/>
  <c r="K52" i="5"/>
  <c r="J52" i="5"/>
  <c r="H52" i="5"/>
  <c r="Q52" i="5" s="1"/>
  <c r="G52" i="5"/>
  <c r="F52" i="5"/>
  <c r="U51" i="5"/>
  <c r="K54" i="5" s="1"/>
  <c r="S51" i="5"/>
  <c r="K53" i="5" s="1"/>
  <c r="T51" i="5"/>
  <c r="H54" i="5" s="1"/>
  <c r="R51" i="5"/>
  <c r="H53" i="5" s="1"/>
  <c r="F51" i="5"/>
  <c r="E51" i="5"/>
  <c r="D51" i="5"/>
  <c r="I51" i="5"/>
  <c r="C51" i="5"/>
  <c r="A51" i="5"/>
  <c r="P50" i="5"/>
  <c r="Y50" i="5"/>
  <c r="X50" i="5"/>
  <c r="V50" i="5"/>
  <c r="G49" i="5"/>
  <c r="E49" i="5"/>
  <c r="J48" i="5"/>
  <c r="E48" i="5"/>
  <c r="J47" i="5"/>
  <c r="E47" i="5"/>
  <c r="K46" i="5"/>
  <c r="J46" i="5"/>
  <c r="H46" i="5"/>
  <c r="Q46" i="5" s="1"/>
  <c r="G46" i="5"/>
  <c r="F46" i="5"/>
  <c r="K45" i="5"/>
  <c r="J45" i="5"/>
  <c r="H45" i="5"/>
  <c r="G45" i="5"/>
  <c r="F45" i="5"/>
  <c r="K44" i="5"/>
  <c r="J44" i="5"/>
  <c r="H44" i="5"/>
  <c r="G44" i="5"/>
  <c r="F44" i="5"/>
  <c r="C43" i="5"/>
  <c r="U42" i="5"/>
  <c r="K48" i="5" s="1"/>
  <c r="S42" i="5"/>
  <c r="K47" i="5" s="1"/>
  <c r="T42" i="5"/>
  <c r="H48" i="5" s="1"/>
  <c r="R42" i="5"/>
  <c r="H47" i="5" s="1"/>
  <c r="F42" i="5"/>
  <c r="E42" i="5"/>
  <c r="D42" i="5"/>
  <c r="I42" i="5"/>
  <c r="C42" i="5"/>
  <c r="A42" i="5"/>
  <c r="B41" i="5"/>
  <c r="A39" i="5"/>
  <c r="A21" i="5"/>
  <c r="B14" i="5"/>
  <c r="H356" i="5" l="1"/>
  <c r="K356" i="5"/>
  <c r="H571" i="5"/>
  <c r="K571" i="5"/>
  <c r="H618" i="5"/>
  <c r="K618" i="5"/>
  <c r="H355" i="5"/>
  <c r="K355" i="5"/>
  <c r="H570" i="5"/>
  <c r="K570" i="5"/>
  <c r="J574" i="5" s="1"/>
  <c r="O574" i="5" s="1"/>
  <c r="H209" i="5"/>
  <c r="K209" i="5"/>
  <c r="H219" i="5"/>
  <c r="K219" i="5"/>
  <c r="H231" i="5"/>
  <c r="K231" i="5"/>
  <c r="J236" i="5" s="1"/>
  <c r="O236" i="5" s="1"/>
  <c r="H243" i="5"/>
  <c r="K243" i="5"/>
  <c r="J248" i="5" s="1"/>
  <c r="O248" i="5" s="1"/>
  <c r="H256" i="5"/>
  <c r="K256" i="5"/>
  <c r="H324" i="5"/>
  <c r="K324" i="5"/>
  <c r="H333" i="5"/>
  <c r="K333" i="5"/>
  <c r="H344" i="5"/>
  <c r="K344" i="5"/>
  <c r="H366" i="5"/>
  <c r="K366" i="5"/>
  <c r="H377" i="5"/>
  <c r="K377" i="5"/>
  <c r="H428" i="5"/>
  <c r="K428" i="5"/>
  <c r="K437" i="5"/>
  <c r="H454" i="5"/>
  <c r="K454" i="5"/>
  <c r="K455" i="5"/>
  <c r="J458" i="5" s="1"/>
  <c r="O458" i="5" s="1"/>
  <c r="H465" i="5"/>
  <c r="K465" i="5"/>
  <c r="H479" i="5"/>
  <c r="K479" i="5"/>
  <c r="H510" i="5"/>
  <c r="K510" i="5"/>
  <c r="H532" i="5"/>
  <c r="K532" i="5"/>
  <c r="H558" i="5"/>
  <c r="K558" i="5"/>
  <c r="H582" i="5"/>
  <c r="K582" i="5"/>
  <c r="H637" i="5"/>
  <c r="K637" i="5"/>
  <c r="H668" i="5"/>
  <c r="K668" i="5"/>
  <c r="H697" i="5"/>
  <c r="K697" i="5"/>
  <c r="H708" i="5"/>
  <c r="K708" i="5"/>
  <c r="H719" i="5"/>
  <c r="H759" i="5"/>
  <c r="K759" i="5"/>
  <c r="H797" i="5"/>
  <c r="K797" i="5"/>
  <c r="H821" i="5"/>
  <c r="G825" i="5" s="1"/>
  <c r="N825" i="5" s="1"/>
  <c r="K821" i="5"/>
  <c r="H832" i="5"/>
  <c r="K832" i="5"/>
  <c r="H843" i="5"/>
  <c r="K843" i="5"/>
  <c r="H208" i="5"/>
  <c r="V212" i="5" s="1"/>
  <c r="K208" i="5"/>
  <c r="H300" i="5"/>
  <c r="K300" i="5"/>
  <c r="H314" i="5"/>
  <c r="K314" i="5"/>
  <c r="H325" i="5"/>
  <c r="G328" i="5" s="1"/>
  <c r="N328" i="5" s="1"/>
  <c r="K325" i="5"/>
  <c r="H334" i="5"/>
  <c r="V337" i="5" s="1"/>
  <c r="K334" i="5"/>
  <c r="H376" i="5"/>
  <c r="G380" i="5" s="1"/>
  <c r="N380" i="5" s="1"/>
  <c r="K376" i="5"/>
  <c r="H387" i="5"/>
  <c r="K387" i="5"/>
  <c r="H429" i="5"/>
  <c r="V432" i="5" s="1"/>
  <c r="K429" i="5"/>
  <c r="H533" i="5"/>
  <c r="G536" i="5" s="1"/>
  <c r="N536" i="5" s="1"/>
  <c r="K533" i="5"/>
  <c r="H648" i="5"/>
  <c r="K648" i="5"/>
  <c r="H647" i="5"/>
  <c r="G651" i="5" s="1"/>
  <c r="N651" i="5" s="1"/>
  <c r="H657" i="5"/>
  <c r="H698" i="5"/>
  <c r="W701" i="5" s="1"/>
  <c r="K698" i="5"/>
  <c r="H709" i="5"/>
  <c r="W712" i="5" s="1"/>
  <c r="K709" i="5"/>
  <c r="H760" i="5"/>
  <c r="K760" i="5"/>
  <c r="J764" i="5" s="1"/>
  <c r="O764" i="5" s="1"/>
  <c r="H809" i="5"/>
  <c r="K809" i="5"/>
  <c r="K820" i="5"/>
  <c r="J825" i="5" s="1"/>
  <c r="O825" i="5" s="1"/>
  <c r="H844" i="5"/>
  <c r="K844" i="5"/>
  <c r="J847" i="5" s="1"/>
  <c r="O847" i="5" s="1"/>
  <c r="J867" i="5"/>
  <c r="H97" i="5"/>
  <c r="K97" i="5"/>
  <c r="H255" i="5"/>
  <c r="W259" i="5" s="1"/>
  <c r="K255" i="5"/>
  <c r="H265" i="5"/>
  <c r="K265" i="5"/>
  <c r="H287" i="5"/>
  <c r="K287" i="5"/>
  <c r="H313" i="5"/>
  <c r="G317" i="5" s="1"/>
  <c r="N317" i="5" s="1"/>
  <c r="K313" i="5"/>
  <c r="H345" i="5"/>
  <c r="G348" i="5" s="1"/>
  <c r="N348" i="5" s="1"/>
  <c r="K345" i="5"/>
  <c r="H365" i="5"/>
  <c r="G369" i="5" s="1"/>
  <c r="N369" i="5" s="1"/>
  <c r="K365" i="5"/>
  <c r="H388" i="5"/>
  <c r="K388" i="5"/>
  <c r="H438" i="5"/>
  <c r="K438" i="5"/>
  <c r="H509" i="5"/>
  <c r="V513" i="5" s="1"/>
  <c r="K509" i="5"/>
  <c r="H520" i="5"/>
  <c r="G525" i="5" s="1"/>
  <c r="N525" i="5" s="1"/>
  <c r="K520" i="5"/>
  <c r="H544" i="5"/>
  <c r="K544" i="5"/>
  <c r="H557" i="5"/>
  <c r="V564" i="5" s="1"/>
  <c r="H581" i="5"/>
  <c r="G585" i="5" s="1"/>
  <c r="N585" i="5" s="1"/>
  <c r="K638" i="5"/>
  <c r="K656" i="5"/>
  <c r="H686" i="5"/>
  <c r="K686" i="5"/>
  <c r="H685" i="5"/>
  <c r="W690" i="5" s="1"/>
  <c r="H720" i="5"/>
  <c r="G724" i="5" s="1"/>
  <c r="N724" i="5" s="1"/>
  <c r="H96" i="5"/>
  <c r="V100" i="5" s="1"/>
  <c r="K96" i="5"/>
  <c r="V168" i="5"/>
  <c r="H220" i="5"/>
  <c r="V224" i="5" s="1"/>
  <c r="K220" i="5"/>
  <c r="H232" i="5"/>
  <c r="G236" i="5" s="1"/>
  <c r="N236" i="5" s="1"/>
  <c r="K232" i="5"/>
  <c r="H244" i="5"/>
  <c r="V248" i="5" s="1"/>
  <c r="K244" i="5"/>
  <c r="H266" i="5"/>
  <c r="K266" i="5"/>
  <c r="H275" i="5"/>
  <c r="V279" i="5" s="1"/>
  <c r="K275" i="5"/>
  <c r="J279" i="5" s="1"/>
  <c r="O279" i="5" s="1"/>
  <c r="H286" i="5"/>
  <c r="K286" i="5"/>
  <c r="J294" i="5" s="1"/>
  <c r="O294" i="5" s="1"/>
  <c r="H301" i="5"/>
  <c r="K301" i="5"/>
  <c r="J306" i="5" s="1"/>
  <c r="O306" i="5" s="1"/>
  <c r="H437" i="5"/>
  <c r="W595" i="5"/>
  <c r="G595" i="5"/>
  <c r="N595" i="5" s="1"/>
  <c r="K657" i="5"/>
  <c r="J770" i="5"/>
  <c r="O770" i="5" s="1"/>
  <c r="G792" i="5"/>
  <c r="N792" i="5" s="1"/>
  <c r="K810" i="5"/>
  <c r="H398" i="5"/>
  <c r="G401" i="5" s="1"/>
  <c r="N401" i="5" s="1"/>
  <c r="K398" i="5"/>
  <c r="H407" i="5"/>
  <c r="G411" i="5" s="1"/>
  <c r="N411" i="5" s="1"/>
  <c r="K407" i="5"/>
  <c r="J411" i="5" s="1"/>
  <c r="O411" i="5" s="1"/>
  <c r="J421" i="5"/>
  <c r="O421" i="5" s="1"/>
  <c r="H455" i="5"/>
  <c r="H466" i="5"/>
  <c r="G472" i="5" s="1"/>
  <c r="N472" i="5" s="1"/>
  <c r="K466" i="5"/>
  <c r="H480" i="5"/>
  <c r="W492" i="5" s="1"/>
  <c r="K480" i="5"/>
  <c r="H521" i="5"/>
  <c r="K521" i="5"/>
  <c r="H543" i="5"/>
  <c r="G550" i="5" s="1"/>
  <c r="N550" i="5" s="1"/>
  <c r="K543" i="5"/>
  <c r="Q588" i="5"/>
  <c r="K619" i="5"/>
  <c r="H627" i="5"/>
  <c r="W630" i="5" s="1"/>
  <c r="K627" i="5"/>
  <c r="K647" i="5"/>
  <c r="J651" i="5" s="1"/>
  <c r="O651" i="5" s="1"/>
  <c r="H656" i="5"/>
  <c r="W661" i="5" s="1"/>
  <c r="K669" i="5"/>
  <c r="J672" i="5" s="1"/>
  <c r="O672" i="5" s="1"/>
  <c r="H677" i="5"/>
  <c r="W680" i="5" s="1"/>
  <c r="K677" i="5"/>
  <c r="J680" i="5" s="1"/>
  <c r="O680" i="5" s="1"/>
  <c r="K685" i="5"/>
  <c r="J690" i="5" s="1"/>
  <c r="O690" i="5" s="1"/>
  <c r="K720" i="5"/>
  <c r="H798" i="5"/>
  <c r="K798" i="5"/>
  <c r="J802" i="5" s="1"/>
  <c r="O802" i="5" s="1"/>
  <c r="H820" i="5"/>
  <c r="K833" i="5"/>
  <c r="J836" i="5" s="1"/>
  <c r="O836" i="5" s="1"/>
  <c r="G867" i="5"/>
  <c r="G56" i="5"/>
  <c r="N56" i="5" s="1"/>
  <c r="W50" i="5"/>
  <c r="J50" i="5"/>
  <c r="O50" i="5" s="1"/>
  <c r="J56" i="5"/>
  <c r="O56" i="5" s="1"/>
  <c r="G73" i="5"/>
  <c r="N73" i="5" s="1"/>
  <c r="J91" i="5"/>
  <c r="O91" i="5" s="1"/>
  <c r="G100" i="5"/>
  <c r="N100" i="5" s="1"/>
  <c r="J100" i="5"/>
  <c r="O100" i="5" s="1"/>
  <c r="G109" i="5"/>
  <c r="N109" i="5" s="1"/>
  <c r="G125" i="5"/>
  <c r="N125" i="5" s="1"/>
  <c r="J125" i="5"/>
  <c r="O125" i="5" s="1"/>
  <c r="G148" i="5"/>
  <c r="N148" i="5" s="1"/>
  <c r="J148" i="5"/>
  <c r="O148" i="5" s="1"/>
  <c r="G162" i="5"/>
  <c r="N162" i="5" s="1"/>
  <c r="J162" i="5"/>
  <c r="O162" i="5" s="1"/>
  <c r="J168" i="5"/>
  <c r="O168" i="5" s="1"/>
  <c r="G176" i="5"/>
  <c r="N176" i="5" s="1"/>
  <c r="J176" i="5"/>
  <c r="O176" i="5" s="1"/>
  <c r="J192" i="5"/>
  <c r="O192" i="5" s="1"/>
  <c r="J201" i="5"/>
  <c r="O201" i="5" s="1"/>
  <c r="G224" i="5"/>
  <c r="N224" i="5" s="1"/>
  <c r="J65" i="5"/>
  <c r="O65" i="5" s="1"/>
  <c r="J73" i="5"/>
  <c r="O73" i="5" s="1"/>
  <c r="G82" i="5"/>
  <c r="N82" i="5" s="1"/>
  <c r="J82" i="5"/>
  <c r="O82" i="5" s="1"/>
  <c r="G91" i="5"/>
  <c r="N91" i="5" s="1"/>
  <c r="J109" i="5"/>
  <c r="O109" i="5" s="1"/>
  <c r="G117" i="5"/>
  <c r="N117" i="5" s="1"/>
  <c r="J117" i="5"/>
  <c r="O117" i="5" s="1"/>
  <c r="G132" i="5"/>
  <c r="N132" i="5" s="1"/>
  <c r="J132" i="5"/>
  <c r="O132" i="5" s="1"/>
  <c r="G141" i="5"/>
  <c r="N141" i="5" s="1"/>
  <c r="J141" i="5"/>
  <c r="O141" i="5" s="1"/>
  <c r="G156" i="5"/>
  <c r="N156" i="5" s="1"/>
  <c r="J156" i="5"/>
  <c r="O156" i="5" s="1"/>
  <c r="G168" i="5"/>
  <c r="N168" i="5" s="1"/>
  <c r="G183" i="5"/>
  <c r="N183" i="5" s="1"/>
  <c r="J183" i="5"/>
  <c r="O183" i="5" s="1"/>
  <c r="G192" i="5"/>
  <c r="N192" i="5" s="1"/>
  <c r="G201" i="5"/>
  <c r="N201" i="5" s="1"/>
  <c r="G212" i="5"/>
  <c r="N212" i="5" s="1"/>
  <c r="G50" i="5"/>
  <c r="N50" i="5" s="1"/>
  <c r="W56" i="5"/>
  <c r="V65" i="5"/>
  <c r="G65" i="5"/>
  <c r="N65" i="5" s="1"/>
  <c r="V73" i="5"/>
  <c r="Q76" i="5"/>
  <c r="V91" i="5"/>
  <c r="Q94" i="5"/>
  <c r="V109" i="5"/>
  <c r="Q112" i="5"/>
  <c r="V117" i="5"/>
  <c r="Q120" i="5"/>
  <c r="V125" i="5"/>
  <c r="Q128" i="5"/>
  <c r="V132" i="5"/>
  <c r="Q135" i="5"/>
  <c r="Q143" i="5"/>
  <c r="Q150" i="5"/>
  <c r="Q158" i="5"/>
  <c r="V162" i="5"/>
  <c r="Q170" i="5"/>
  <c r="Q178" i="5"/>
  <c r="V192" i="5"/>
  <c r="V236" i="5"/>
  <c r="G337" i="5"/>
  <c r="N337" i="5" s="1"/>
  <c r="G359" i="5"/>
  <c r="N359" i="5" s="1"/>
  <c r="J359" i="5"/>
  <c r="O359" i="5" s="1"/>
  <c r="J401" i="5"/>
  <c r="O401" i="5" s="1"/>
  <c r="G421" i="5"/>
  <c r="N421" i="5" s="1"/>
  <c r="Q44" i="5"/>
  <c r="V82" i="5"/>
  <c r="V141" i="5"/>
  <c r="V148" i="5"/>
  <c r="V156" i="5"/>
  <c r="V176" i="5"/>
  <c r="V183" i="5"/>
  <c r="V201" i="5"/>
  <c r="Q227" i="5"/>
  <c r="G248" i="5"/>
  <c r="N248" i="5" s="1"/>
  <c r="G279" i="5"/>
  <c r="N279" i="5" s="1"/>
  <c r="J317" i="5"/>
  <c r="O317" i="5" s="1"/>
  <c r="J348" i="5"/>
  <c r="O348" i="5" s="1"/>
  <c r="J391" i="5"/>
  <c r="O391" i="5" s="1"/>
  <c r="J441" i="5"/>
  <c r="O441" i="5" s="1"/>
  <c r="G448" i="5"/>
  <c r="N448" i="5" s="1"/>
  <c r="V448" i="5"/>
  <c r="J448" i="5"/>
  <c r="O448" i="5" s="1"/>
  <c r="W472" i="5"/>
  <c r="Q239" i="5"/>
  <c r="Q251" i="5"/>
  <c r="Q262" i="5"/>
  <c r="Q282" i="5"/>
  <c r="Q340" i="5"/>
  <c r="Q351" i="5"/>
  <c r="V359" i="5"/>
  <c r="Q362" i="5"/>
  <c r="Q372" i="5"/>
  <c r="Q383" i="5"/>
  <c r="Q414" i="5"/>
  <c r="V421" i="5"/>
  <c r="Q424" i="5"/>
  <c r="Q461" i="5"/>
  <c r="G502" i="5"/>
  <c r="N502" i="5" s="1"/>
  <c r="J502" i="5"/>
  <c r="O502" i="5" s="1"/>
  <c r="J611" i="5"/>
  <c r="O611" i="5" s="1"/>
  <c r="J630" i="5"/>
  <c r="O630" i="5" s="1"/>
  <c r="G701" i="5"/>
  <c r="N701" i="5" s="1"/>
  <c r="G513" i="5"/>
  <c r="N513" i="5" s="1"/>
  <c r="G574" i="5"/>
  <c r="N574" i="5" s="1"/>
  <c r="V574" i="5"/>
  <c r="J732" i="5"/>
  <c r="O732" i="5" s="1"/>
  <c r="W585" i="5"/>
  <c r="W602" i="5"/>
  <c r="Q597" i="5"/>
  <c r="J602" i="5"/>
  <c r="O602" i="5" s="1"/>
  <c r="G602" i="5"/>
  <c r="N602" i="5" s="1"/>
  <c r="H638" i="5"/>
  <c r="G641" i="5" s="1"/>
  <c r="N641" i="5" s="1"/>
  <c r="Q633" i="5"/>
  <c r="G661" i="5"/>
  <c r="N661" i="5" s="1"/>
  <c r="Q683" i="5"/>
  <c r="J752" i="5"/>
  <c r="O752" i="5" s="1"/>
  <c r="G770" i="5"/>
  <c r="N770" i="5" s="1"/>
  <c r="V770" i="5"/>
  <c r="Q766" i="5"/>
  <c r="H780" i="5"/>
  <c r="G784" i="5" s="1"/>
  <c r="N784" i="5" s="1"/>
  <c r="Q495" i="5"/>
  <c r="V502" i="5"/>
  <c r="Q505" i="5"/>
  <c r="Q516" i="5"/>
  <c r="Q528" i="5"/>
  <c r="K557" i="5"/>
  <c r="K581" i="5"/>
  <c r="J585" i="5" s="1"/>
  <c r="O585" i="5" s="1"/>
  <c r="J595" i="5"/>
  <c r="O595" i="5" s="1"/>
  <c r="G611" i="5"/>
  <c r="N611" i="5" s="1"/>
  <c r="V611" i="5"/>
  <c r="Q604" i="5"/>
  <c r="H619" i="5"/>
  <c r="W622" i="5" s="1"/>
  <c r="Q614" i="5"/>
  <c r="H669" i="5"/>
  <c r="W672" i="5" s="1"/>
  <c r="Q664" i="5"/>
  <c r="K719" i="5"/>
  <c r="G732" i="5"/>
  <c r="N732" i="5" s="1"/>
  <c r="G742" i="5"/>
  <c r="N742" i="5" s="1"/>
  <c r="V742" i="5"/>
  <c r="Q735" i="5"/>
  <c r="G752" i="5"/>
  <c r="N752" i="5" s="1"/>
  <c r="Q816" i="5"/>
  <c r="G855" i="5"/>
  <c r="N855" i="5" s="1"/>
  <c r="Q839" i="5"/>
  <c r="V855" i="5"/>
  <c r="V732" i="5"/>
  <c r="J742" i="5"/>
  <c r="O742" i="5" s="1"/>
  <c r="V752" i="5"/>
  <c r="K780" i="5"/>
  <c r="J784" i="5" s="1"/>
  <c r="O784" i="5" s="1"/>
  <c r="Q778" i="5"/>
  <c r="K788" i="5"/>
  <c r="J792" i="5" s="1"/>
  <c r="O792" i="5" s="1"/>
  <c r="W792" i="5"/>
  <c r="Q786" i="5"/>
  <c r="H810" i="5"/>
  <c r="Q805" i="5"/>
  <c r="H833" i="5"/>
  <c r="Q828" i="5"/>
  <c r="J855" i="5"/>
  <c r="O855" i="5" s="1"/>
  <c r="V863" i="5"/>
  <c r="V865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1" i="3"/>
  <c r="CY1" i="3"/>
  <c r="CZ1" i="3"/>
  <c r="DA1" i="3"/>
  <c r="DB1" i="3"/>
  <c r="DC1" i="3"/>
  <c r="A2" i="3"/>
  <c r="CY2" i="3"/>
  <c r="CZ2" i="3"/>
  <c r="DA2" i="3"/>
  <c r="DB2" i="3"/>
  <c r="DC2" i="3"/>
  <c r="A3" i="3"/>
  <c r="CY3" i="3"/>
  <c r="CZ3" i="3"/>
  <c r="DA3" i="3"/>
  <c r="DB3" i="3"/>
  <c r="DC3" i="3"/>
  <c r="A4" i="3"/>
  <c r="CY4" i="3"/>
  <c r="CZ4" i="3"/>
  <c r="DA4" i="3"/>
  <c r="DB4" i="3"/>
  <c r="DC4" i="3"/>
  <c r="A5" i="3"/>
  <c r="CY5" i="3"/>
  <c r="CZ5" i="3"/>
  <c r="DA5" i="3"/>
  <c r="DB5" i="3"/>
  <c r="DC5" i="3"/>
  <c r="A6" i="3"/>
  <c r="CY6" i="3"/>
  <c r="CZ6" i="3"/>
  <c r="DA6" i="3"/>
  <c r="DB6" i="3"/>
  <c r="DC6" i="3"/>
  <c r="A7" i="3"/>
  <c r="CY7" i="3"/>
  <c r="CZ7" i="3"/>
  <c r="DA7" i="3"/>
  <c r="DB7" i="3"/>
  <c r="DC7" i="3"/>
  <c r="A8" i="3"/>
  <c r="CY8" i="3"/>
  <c r="CZ8" i="3"/>
  <c r="DA8" i="3"/>
  <c r="DB8" i="3"/>
  <c r="DC8" i="3"/>
  <c r="A9" i="3"/>
  <c r="CY9" i="3"/>
  <c r="CZ9" i="3"/>
  <c r="DA9" i="3"/>
  <c r="DB9" i="3"/>
  <c r="DC9" i="3"/>
  <c r="A10" i="3"/>
  <c r="CY10" i="3"/>
  <c r="CZ10" i="3"/>
  <c r="DA10" i="3"/>
  <c r="DB10" i="3"/>
  <c r="DC10" i="3"/>
  <c r="A11" i="3"/>
  <c r="CY11" i="3"/>
  <c r="CZ11" i="3"/>
  <c r="DA11" i="3"/>
  <c r="DB11" i="3"/>
  <c r="DC11" i="3"/>
  <c r="A12" i="3"/>
  <c r="CY12" i="3"/>
  <c r="CZ12" i="3"/>
  <c r="DA12" i="3"/>
  <c r="DB12" i="3"/>
  <c r="DC12" i="3"/>
  <c r="A13" i="3"/>
  <c r="CY13" i="3"/>
  <c r="CZ13" i="3"/>
  <c r="DA13" i="3"/>
  <c r="DB13" i="3"/>
  <c r="DC13" i="3"/>
  <c r="A14" i="3"/>
  <c r="CY14" i="3"/>
  <c r="CZ14" i="3"/>
  <c r="DA14" i="3"/>
  <c r="DB14" i="3"/>
  <c r="DC14" i="3"/>
  <c r="A15" i="3"/>
  <c r="CY15" i="3"/>
  <c r="CZ15" i="3"/>
  <c r="DA15" i="3"/>
  <c r="DB15" i="3"/>
  <c r="DC15" i="3"/>
  <c r="A16" i="3"/>
  <c r="CY16" i="3"/>
  <c r="CZ16" i="3"/>
  <c r="DA16" i="3"/>
  <c r="DB16" i="3"/>
  <c r="DC16" i="3"/>
  <c r="A17" i="3"/>
  <c r="CY17" i="3"/>
  <c r="CZ17" i="3"/>
  <c r="DA17" i="3"/>
  <c r="DB17" i="3"/>
  <c r="DC17" i="3"/>
  <c r="A18" i="3"/>
  <c r="CY18" i="3"/>
  <c r="CZ18" i="3"/>
  <c r="DA18" i="3"/>
  <c r="DB18" i="3"/>
  <c r="DC18" i="3"/>
  <c r="A19" i="3"/>
  <c r="CY19" i="3"/>
  <c r="CZ19" i="3"/>
  <c r="DA19" i="3"/>
  <c r="DB19" i="3"/>
  <c r="DC19" i="3"/>
  <c r="A20" i="3"/>
  <c r="CY20" i="3"/>
  <c r="CZ20" i="3"/>
  <c r="DA20" i="3"/>
  <c r="DB20" i="3"/>
  <c r="DC20" i="3"/>
  <c r="A21" i="3"/>
  <c r="CY21" i="3"/>
  <c r="CZ21" i="3"/>
  <c r="DA21" i="3"/>
  <c r="DB21" i="3"/>
  <c r="DC21" i="3"/>
  <c r="A22" i="3"/>
  <c r="CY22" i="3"/>
  <c r="CZ22" i="3"/>
  <c r="DA22" i="3"/>
  <c r="DB22" i="3"/>
  <c r="DC22" i="3"/>
  <c r="A23" i="3"/>
  <c r="CY23" i="3"/>
  <c r="CZ23" i="3"/>
  <c r="DA23" i="3"/>
  <c r="DB23" i="3"/>
  <c r="DC23" i="3"/>
  <c r="A24" i="3"/>
  <c r="CY24" i="3"/>
  <c r="CZ24" i="3"/>
  <c r="DA24" i="3"/>
  <c r="DB24" i="3"/>
  <c r="DC24" i="3"/>
  <c r="A25" i="3"/>
  <c r="CY25" i="3"/>
  <c r="CZ25" i="3"/>
  <c r="DA25" i="3"/>
  <c r="DB25" i="3"/>
  <c r="DC25" i="3"/>
  <c r="A26" i="3"/>
  <c r="CY26" i="3"/>
  <c r="CZ26" i="3"/>
  <c r="DA26" i="3"/>
  <c r="DB26" i="3"/>
  <c r="DC26" i="3"/>
  <c r="A27" i="3"/>
  <c r="CY27" i="3"/>
  <c r="CZ27" i="3"/>
  <c r="DA27" i="3"/>
  <c r="DB27" i="3"/>
  <c r="DC27" i="3"/>
  <c r="A28" i="3"/>
  <c r="CY28" i="3"/>
  <c r="CZ28" i="3"/>
  <c r="DA28" i="3"/>
  <c r="DB28" i="3"/>
  <c r="DC28" i="3"/>
  <c r="A29" i="3"/>
  <c r="CY29" i="3"/>
  <c r="CZ29" i="3"/>
  <c r="DA29" i="3"/>
  <c r="DB29" i="3"/>
  <c r="DC29" i="3"/>
  <c r="A30" i="3"/>
  <c r="CY30" i="3"/>
  <c r="CZ30" i="3"/>
  <c r="DA30" i="3"/>
  <c r="DB30" i="3"/>
  <c r="DC30" i="3"/>
  <c r="A31" i="3"/>
  <c r="CY31" i="3"/>
  <c r="CZ31" i="3"/>
  <c r="DA31" i="3"/>
  <c r="DB31" i="3"/>
  <c r="DC31" i="3"/>
  <c r="A32" i="3"/>
  <c r="CY32" i="3"/>
  <c r="CZ32" i="3"/>
  <c r="DA32" i="3"/>
  <c r="DB32" i="3"/>
  <c r="DC32" i="3"/>
  <c r="A33" i="3"/>
  <c r="CY33" i="3"/>
  <c r="CZ33" i="3"/>
  <c r="DA33" i="3"/>
  <c r="DB33" i="3"/>
  <c r="DC33" i="3"/>
  <c r="A34" i="3"/>
  <c r="CY34" i="3"/>
  <c r="CZ34" i="3"/>
  <c r="DA34" i="3"/>
  <c r="DB34" i="3"/>
  <c r="DC34" i="3"/>
  <c r="A35" i="3"/>
  <c r="CY35" i="3"/>
  <c r="CZ35" i="3"/>
  <c r="DA35" i="3"/>
  <c r="DB35" i="3"/>
  <c r="DC35" i="3"/>
  <c r="A36" i="3"/>
  <c r="CY36" i="3"/>
  <c r="CZ36" i="3"/>
  <c r="DA36" i="3"/>
  <c r="DB36" i="3"/>
  <c r="DC36" i="3"/>
  <c r="A37" i="3"/>
  <c r="CY37" i="3"/>
  <c r="CZ37" i="3"/>
  <c r="DA37" i="3"/>
  <c r="DB37" i="3"/>
  <c r="DC37" i="3"/>
  <c r="A38" i="3"/>
  <c r="CY38" i="3"/>
  <c r="CZ38" i="3"/>
  <c r="DA38" i="3"/>
  <c r="DB38" i="3"/>
  <c r="DC38" i="3"/>
  <c r="A39" i="3"/>
  <c r="CY39" i="3"/>
  <c r="CZ39" i="3"/>
  <c r="DA39" i="3"/>
  <c r="DB39" i="3"/>
  <c r="DC39" i="3"/>
  <c r="A40" i="3"/>
  <c r="CY40" i="3"/>
  <c r="CZ40" i="3"/>
  <c r="DA40" i="3"/>
  <c r="DB40" i="3"/>
  <c r="DC40" i="3"/>
  <c r="A41" i="3"/>
  <c r="CY41" i="3"/>
  <c r="CZ41" i="3"/>
  <c r="DA41" i="3"/>
  <c r="DB41" i="3"/>
  <c r="DC41" i="3"/>
  <c r="A42" i="3"/>
  <c r="CY42" i="3"/>
  <c r="CZ42" i="3"/>
  <c r="DA42" i="3"/>
  <c r="DB42" i="3"/>
  <c r="DC42" i="3"/>
  <c r="A43" i="3"/>
  <c r="CY43" i="3"/>
  <c r="CZ43" i="3"/>
  <c r="DA43" i="3"/>
  <c r="DB43" i="3"/>
  <c r="DC43" i="3"/>
  <c r="A44" i="3"/>
  <c r="CY44" i="3"/>
  <c r="CZ44" i="3"/>
  <c r="DA44" i="3"/>
  <c r="DB44" i="3"/>
  <c r="DC44" i="3"/>
  <c r="A45" i="3"/>
  <c r="CY45" i="3"/>
  <c r="CZ45" i="3"/>
  <c r="DA45" i="3"/>
  <c r="DB45" i="3"/>
  <c r="DC45" i="3"/>
  <c r="A46" i="3"/>
  <c r="CY46" i="3"/>
  <c r="CZ46" i="3"/>
  <c r="DA46" i="3"/>
  <c r="DB46" i="3"/>
  <c r="DC46" i="3"/>
  <c r="A47" i="3"/>
  <c r="CY47" i="3"/>
  <c r="CZ47" i="3"/>
  <c r="DA47" i="3"/>
  <c r="DB47" i="3"/>
  <c r="DC47" i="3"/>
  <c r="A48" i="3"/>
  <c r="CY48" i="3"/>
  <c r="CZ48" i="3"/>
  <c r="DA48" i="3"/>
  <c r="DB48" i="3"/>
  <c r="DC48" i="3"/>
  <c r="A49" i="3"/>
  <c r="CY49" i="3"/>
  <c r="CZ49" i="3"/>
  <c r="DA49" i="3"/>
  <c r="DB49" i="3"/>
  <c r="DC49" i="3"/>
  <c r="A50" i="3"/>
  <c r="CY50" i="3"/>
  <c r="CZ50" i="3"/>
  <c r="DA50" i="3"/>
  <c r="DB50" i="3"/>
  <c r="DC50" i="3"/>
  <c r="A51" i="3"/>
  <c r="CY51" i="3"/>
  <c r="CZ51" i="3"/>
  <c r="DA51" i="3"/>
  <c r="DB51" i="3"/>
  <c r="DC51" i="3"/>
  <c r="A52" i="3"/>
  <c r="CY52" i="3"/>
  <c r="CZ52" i="3"/>
  <c r="DA52" i="3"/>
  <c r="DB52" i="3"/>
  <c r="DC52" i="3"/>
  <c r="A53" i="3"/>
  <c r="CY53" i="3"/>
  <c r="CZ53" i="3"/>
  <c r="DA53" i="3"/>
  <c r="DB53" i="3"/>
  <c r="DC53" i="3"/>
  <c r="A54" i="3"/>
  <c r="CY54" i="3"/>
  <c r="CZ54" i="3"/>
  <c r="DA54" i="3"/>
  <c r="DB54" i="3"/>
  <c r="DC54" i="3"/>
  <c r="A55" i="3"/>
  <c r="CY55" i="3"/>
  <c r="CZ55" i="3"/>
  <c r="DA55" i="3"/>
  <c r="DB55" i="3"/>
  <c r="DC55" i="3"/>
  <c r="A56" i="3"/>
  <c r="CY56" i="3"/>
  <c r="CZ56" i="3"/>
  <c r="DA56" i="3"/>
  <c r="DB56" i="3"/>
  <c r="DC56" i="3"/>
  <c r="A57" i="3"/>
  <c r="CY57" i="3"/>
  <c r="CZ57" i="3"/>
  <c r="DA57" i="3"/>
  <c r="DB57" i="3"/>
  <c r="DC57" i="3"/>
  <c r="A58" i="3"/>
  <c r="CY58" i="3"/>
  <c r="CZ58" i="3"/>
  <c r="DA58" i="3"/>
  <c r="DB58" i="3"/>
  <c r="DC58" i="3"/>
  <c r="A59" i="3"/>
  <c r="CY59" i="3"/>
  <c r="CZ59" i="3"/>
  <c r="DA59" i="3"/>
  <c r="DB59" i="3"/>
  <c r="DC59" i="3"/>
  <c r="A60" i="3"/>
  <c r="CY60" i="3"/>
  <c r="CZ60" i="3"/>
  <c r="DA60" i="3"/>
  <c r="DB60" i="3"/>
  <c r="DC60" i="3"/>
  <c r="A61" i="3"/>
  <c r="CY61" i="3"/>
  <c r="CZ61" i="3"/>
  <c r="DA61" i="3"/>
  <c r="DB61" i="3"/>
  <c r="DC61" i="3"/>
  <c r="A62" i="3"/>
  <c r="CY62" i="3"/>
  <c r="CZ62" i="3"/>
  <c r="DA62" i="3"/>
  <c r="DB62" i="3"/>
  <c r="DC62" i="3"/>
  <c r="A63" i="3"/>
  <c r="CY63" i="3"/>
  <c r="CZ63" i="3"/>
  <c r="DA63" i="3"/>
  <c r="DB63" i="3"/>
  <c r="DC63" i="3"/>
  <c r="A64" i="3"/>
  <c r="CY64" i="3"/>
  <c r="CZ64" i="3"/>
  <c r="DA64" i="3"/>
  <c r="DB64" i="3"/>
  <c r="DC64" i="3"/>
  <c r="A65" i="3"/>
  <c r="CY65" i="3"/>
  <c r="CZ65" i="3"/>
  <c r="DA65" i="3"/>
  <c r="DB65" i="3"/>
  <c r="DC65" i="3"/>
  <c r="A66" i="3"/>
  <c r="CY66" i="3"/>
  <c r="CZ66" i="3"/>
  <c r="DA66" i="3"/>
  <c r="DB66" i="3"/>
  <c r="DC66" i="3"/>
  <c r="A67" i="3"/>
  <c r="CY67" i="3"/>
  <c r="CZ67" i="3"/>
  <c r="DA67" i="3"/>
  <c r="DB67" i="3"/>
  <c r="DC67" i="3"/>
  <c r="A68" i="3"/>
  <c r="CY68" i="3"/>
  <c r="CZ68" i="3"/>
  <c r="DA68" i="3"/>
  <c r="DB68" i="3"/>
  <c r="DC68" i="3"/>
  <c r="A69" i="3"/>
  <c r="CY69" i="3"/>
  <c r="CZ69" i="3"/>
  <c r="DA69" i="3"/>
  <c r="DB69" i="3"/>
  <c r="DC69" i="3"/>
  <c r="A70" i="3"/>
  <c r="CY70" i="3"/>
  <c r="CZ70" i="3"/>
  <c r="DA70" i="3"/>
  <c r="DB70" i="3"/>
  <c r="DC70" i="3"/>
  <c r="A71" i="3"/>
  <c r="CY71" i="3"/>
  <c r="CZ71" i="3"/>
  <c r="DA71" i="3"/>
  <c r="DB71" i="3"/>
  <c r="DC71" i="3"/>
  <c r="A72" i="3"/>
  <c r="CY72" i="3"/>
  <c r="CZ72" i="3"/>
  <c r="DA72" i="3"/>
  <c r="DB72" i="3"/>
  <c r="DC72" i="3"/>
  <c r="A73" i="3"/>
  <c r="CY73" i="3"/>
  <c r="CZ73" i="3"/>
  <c r="DA73" i="3"/>
  <c r="DB73" i="3"/>
  <c r="DC73" i="3"/>
  <c r="A74" i="3"/>
  <c r="CY74" i="3"/>
  <c r="CZ74" i="3"/>
  <c r="DA74" i="3"/>
  <c r="DB74" i="3"/>
  <c r="DC74" i="3"/>
  <c r="A75" i="3"/>
  <c r="CY75" i="3"/>
  <c r="CZ75" i="3"/>
  <c r="DA75" i="3"/>
  <c r="DB75" i="3"/>
  <c r="DC75" i="3"/>
  <c r="A76" i="3"/>
  <c r="CY76" i="3"/>
  <c r="CZ76" i="3"/>
  <c r="DA76" i="3"/>
  <c r="DB76" i="3"/>
  <c r="DC76" i="3"/>
  <c r="A77" i="3"/>
  <c r="CY77" i="3"/>
  <c r="CZ77" i="3"/>
  <c r="DA77" i="3"/>
  <c r="DB77" i="3"/>
  <c r="DC77" i="3"/>
  <c r="A78" i="3"/>
  <c r="CY78" i="3"/>
  <c r="CZ78" i="3"/>
  <c r="DA78" i="3"/>
  <c r="DB78" i="3"/>
  <c r="DC78" i="3"/>
  <c r="A79" i="3"/>
  <c r="CY79" i="3"/>
  <c r="CZ79" i="3"/>
  <c r="DA79" i="3"/>
  <c r="DB79" i="3"/>
  <c r="DC79" i="3"/>
  <c r="A80" i="3"/>
  <c r="CY80" i="3"/>
  <c r="CZ80" i="3"/>
  <c r="DA80" i="3"/>
  <c r="DB80" i="3"/>
  <c r="DC80" i="3"/>
  <c r="A81" i="3"/>
  <c r="CY81" i="3"/>
  <c r="CZ81" i="3"/>
  <c r="DA81" i="3"/>
  <c r="DB81" i="3"/>
  <c r="DC81" i="3"/>
  <c r="A82" i="3"/>
  <c r="CY82" i="3"/>
  <c r="CZ82" i="3"/>
  <c r="DA82" i="3"/>
  <c r="DB82" i="3"/>
  <c r="DC82" i="3"/>
  <c r="A83" i="3"/>
  <c r="CY83" i="3"/>
  <c r="CZ83" i="3"/>
  <c r="DA83" i="3"/>
  <c r="DB83" i="3"/>
  <c r="DC83" i="3"/>
  <c r="A84" i="3"/>
  <c r="CY84" i="3"/>
  <c r="CZ84" i="3"/>
  <c r="DA84" i="3"/>
  <c r="DB84" i="3"/>
  <c r="DC84" i="3"/>
  <c r="A85" i="3"/>
  <c r="CY85" i="3"/>
  <c r="CZ85" i="3"/>
  <c r="DA85" i="3"/>
  <c r="DB85" i="3"/>
  <c r="DC85" i="3"/>
  <c r="A86" i="3"/>
  <c r="CY86" i="3"/>
  <c r="CZ86" i="3"/>
  <c r="DA86" i="3"/>
  <c r="DB86" i="3"/>
  <c r="DC86" i="3"/>
  <c r="A87" i="3"/>
  <c r="CY87" i="3"/>
  <c r="CZ87" i="3"/>
  <c r="DA87" i="3"/>
  <c r="DB87" i="3"/>
  <c r="DC87" i="3"/>
  <c r="A88" i="3"/>
  <c r="CY88" i="3"/>
  <c r="CZ88" i="3"/>
  <c r="DA88" i="3"/>
  <c r="DB88" i="3"/>
  <c r="DC88" i="3"/>
  <c r="A89" i="3"/>
  <c r="CY89" i="3"/>
  <c r="CZ89" i="3"/>
  <c r="DA89" i="3"/>
  <c r="DB89" i="3"/>
  <c r="DC89" i="3"/>
  <c r="A90" i="3"/>
  <c r="CY90" i="3"/>
  <c r="CZ90" i="3"/>
  <c r="DA90" i="3"/>
  <c r="DB90" i="3"/>
  <c r="DC90" i="3"/>
  <c r="A91" i="3"/>
  <c r="CY91" i="3"/>
  <c r="CZ91" i="3"/>
  <c r="DA91" i="3"/>
  <c r="DB91" i="3"/>
  <c r="DC91" i="3"/>
  <c r="A92" i="3"/>
  <c r="CY92" i="3"/>
  <c r="CZ92" i="3"/>
  <c r="DA92" i="3"/>
  <c r="DB92" i="3"/>
  <c r="DC92" i="3"/>
  <c r="A93" i="3"/>
  <c r="CY93" i="3"/>
  <c r="CZ93" i="3"/>
  <c r="DA93" i="3"/>
  <c r="DB93" i="3"/>
  <c r="DC93" i="3"/>
  <c r="A94" i="3"/>
  <c r="CY94" i="3"/>
  <c r="CZ94" i="3"/>
  <c r="DA94" i="3"/>
  <c r="DB94" i="3"/>
  <c r="DC94" i="3"/>
  <c r="A95" i="3"/>
  <c r="CY95" i="3"/>
  <c r="CZ95" i="3"/>
  <c r="DA95" i="3"/>
  <c r="DB95" i="3"/>
  <c r="DC95" i="3"/>
  <c r="A96" i="3"/>
  <c r="CY96" i="3"/>
  <c r="CZ96" i="3"/>
  <c r="DA96" i="3"/>
  <c r="DB96" i="3"/>
  <c r="DC96" i="3"/>
  <c r="A97" i="3"/>
  <c r="CY97" i="3"/>
  <c r="CZ97" i="3"/>
  <c r="DA97" i="3"/>
  <c r="DB97" i="3"/>
  <c r="DC97" i="3"/>
  <c r="A98" i="3"/>
  <c r="CY98" i="3"/>
  <c r="CZ98" i="3"/>
  <c r="DA98" i="3"/>
  <c r="DB98" i="3"/>
  <c r="DC98" i="3"/>
  <c r="A99" i="3"/>
  <c r="CY99" i="3"/>
  <c r="CZ99" i="3"/>
  <c r="DA99" i="3"/>
  <c r="DB99" i="3"/>
  <c r="DC99" i="3"/>
  <c r="A100" i="3"/>
  <c r="CY100" i="3"/>
  <c r="CZ100" i="3"/>
  <c r="DA100" i="3"/>
  <c r="DB100" i="3"/>
  <c r="DC100" i="3"/>
  <c r="A101" i="3"/>
  <c r="CY101" i="3"/>
  <c r="CZ101" i="3"/>
  <c r="DA101" i="3"/>
  <c r="DB101" i="3"/>
  <c r="DC101" i="3"/>
  <c r="A102" i="3"/>
  <c r="CY102" i="3"/>
  <c r="CZ102" i="3"/>
  <c r="DA102" i="3"/>
  <c r="DB102" i="3"/>
  <c r="DC102" i="3"/>
  <c r="A103" i="3"/>
  <c r="CY103" i="3"/>
  <c r="CZ103" i="3"/>
  <c r="DA103" i="3"/>
  <c r="DB103" i="3"/>
  <c r="DC103" i="3"/>
  <c r="A104" i="3"/>
  <c r="CY104" i="3"/>
  <c r="CZ104" i="3"/>
  <c r="DA104" i="3"/>
  <c r="DB104" i="3"/>
  <c r="DC104" i="3"/>
  <c r="A105" i="3"/>
  <c r="CY105" i="3"/>
  <c r="CZ105" i="3"/>
  <c r="DA105" i="3"/>
  <c r="DB105" i="3"/>
  <c r="DC105" i="3"/>
  <c r="A106" i="3"/>
  <c r="CY106" i="3"/>
  <c r="CZ106" i="3"/>
  <c r="DA106" i="3"/>
  <c r="DB106" i="3"/>
  <c r="DC106" i="3"/>
  <c r="A107" i="3"/>
  <c r="CY107" i="3"/>
  <c r="CZ107" i="3"/>
  <c r="DA107" i="3"/>
  <c r="DB107" i="3"/>
  <c r="DC107" i="3"/>
  <c r="A108" i="3"/>
  <c r="CY108" i="3"/>
  <c r="CZ108" i="3"/>
  <c r="DA108" i="3"/>
  <c r="DB108" i="3"/>
  <c r="DC108" i="3"/>
  <c r="A109" i="3"/>
  <c r="CY109" i="3"/>
  <c r="CZ109" i="3"/>
  <c r="DA109" i="3"/>
  <c r="DB109" i="3"/>
  <c r="DC109" i="3"/>
  <c r="A110" i="3"/>
  <c r="CY110" i="3"/>
  <c r="CZ110" i="3"/>
  <c r="DA110" i="3"/>
  <c r="DB110" i="3"/>
  <c r="DC110" i="3"/>
  <c r="A111" i="3"/>
  <c r="CY111" i="3"/>
  <c r="CZ111" i="3"/>
  <c r="DA111" i="3"/>
  <c r="DB111" i="3"/>
  <c r="DC111" i="3"/>
  <c r="A112" i="3"/>
  <c r="CY112" i="3"/>
  <c r="CZ112" i="3"/>
  <c r="DA112" i="3"/>
  <c r="DB112" i="3"/>
  <c r="DC112" i="3"/>
  <c r="A113" i="3"/>
  <c r="CY113" i="3"/>
  <c r="CZ113" i="3"/>
  <c r="DA113" i="3"/>
  <c r="DB113" i="3"/>
  <c r="DC113" i="3"/>
  <c r="A114" i="3"/>
  <c r="CY114" i="3"/>
  <c r="CZ114" i="3"/>
  <c r="DA114" i="3"/>
  <c r="DB114" i="3"/>
  <c r="DC114" i="3"/>
  <c r="A115" i="3"/>
  <c r="CY115" i="3"/>
  <c r="CZ115" i="3"/>
  <c r="DA115" i="3"/>
  <c r="DB115" i="3"/>
  <c r="DC115" i="3"/>
  <c r="A116" i="3"/>
  <c r="CY116" i="3"/>
  <c r="CZ116" i="3"/>
  <c r="DA116" i="3"/>
  <c r="DB116" i="3"/>
  <c r="DC116" i="3"/>
  <c r="A117" i="3"/>
  <c r="CY117" i="3"/>
  <c r="CZ117" i="3"/>
  <c r="DA117" i="3"/>
  <c r="DB117" i="3"/>
  <c r="DC117" i="3"/>
  <c r="A118" i="3"/>
  <c r="CY118" i="3"/>
  <c r="CZ118" i="3"/>
  <c r="DA118" i="3"/>
  <c r="DB118" i="3"/>
  <c r="DC118" i="3"/>
  <c r="A119" i="3"/>
  <c r="CY119" i="3"/>
  <c r="CZ119" i="3"/>
  <c r="DA119" i="3"/>
  <c r="DB119" i="3"/>
  <c r="DC119" i="3"/>
  <c r="A120" i="3"/>
  <c r="CY120" i="3"/>
  <c r="CZ120" i="3"/>
  <c r="DA120" i="3"/>
  <c r="DB120" i="3"/>
  <c r="DC120" i="3"/>
  <c r="A121" i="3"/>
  <c r="CY121" i="3"/>
  <c r="CZ121" i="3"/>
  <c r="DA121" i="3"/>
  <c r="DB121" i="3"/>
  <c r="DC121" i="3"/>
  <c r="A122" i="3"/>
  <c r="CY122" i="3"/>
  <c r="CZ122" i="3"/>
  <c r="DA122" i="3"/>
  <c r="DB122" i="3"/>
  <c r="DC122" i="3"/>
  <c r="A123" i="3"/>
  <c r="CY123" i="3"/>
  <c r="CZ123" i="3"/>
  <c r="DA123" i="3"/>
  <c r="DB123" i="3"/>
  <c r="DC123" i="3"/>
  <c r="A124" i="3"/>
  <c r="CY124" i="3"/>
  <c r="CZ124" i="3"/>
  <c r="DA124" i="3"/>
  <c r="DB124" i="3"/>
  <c r="DC124" i="3"/>
  <c r="A125" i="3"/>
  <c r="CY125" i="3"/>
  <c r="CZ125" i="3"/>
  <c r="DA125" i="3"/>
  <c r="DB125" i="3"/>
  <c r="DC125" i="3"/>
  <c r="A126" i="3"/>
  <c r="CY126" i="3"/>
  <c r="CZ126" i="3"/>
  <c r="DA126" i="3"/>
  <c r="DB126" i="3"/>
  <c r="DC126" i="3"/>
  <c r="A127" i="3"/>
  <c r="CY127" i="3"/>
  <c r="CZ127" i="3"/>
  <c r="DA127" i="3"/>
  <c r="DB127" i="3"/>
  <c r="DC127" i="3"/>
  <c r="A128" i="3"/>
  <c r="CY128" i="3"/>
  <c r="CZ128" i="3"/>
  <c r="DA128" i="3"/>
  <c r="DB128" i="3"/>
  <c r="DC128" i="3"/>
  <c r="A129" i="3"/>
  <c r="CY129" i="3"/>
  <c r="CZ129" i="3"/>
  <c r="DA129" i="3"/>
  <c r="DB129" i="3"/>
  <c r="DC129" i="3"/>
  <c r="A130" i="3"/>
  <c r="CY130" i="3"/>
  <c r="CZ130" i="3"/>
  <c r="DA130" i="3"/>
  <c r="DB130" i="3"/>
  <c r="DC130" i="3"/>
  <c r="A131" i="3"/>
  <c r="CY131" i="3"/>
  <c r="CZ131" i="3"/>
  <c r="DA131" i="3"/>
  <c r="DB131" i="3"/>
  <c r="DC131" i="3"/>
  <c r="A132" i="3"/>
  <c r="CY132" i="3"/>
  <c r="CZ132" i="3"/>
  <c r="DA132" i="3"/>
  <c r="DB132" i="3"/>
  <c r="DC132" i="3"/>
  <c r="A133" i="3"/>
  <c r="CY133" i="3"/>
  <c r="CZ133" i="3"/>
  <c r="DA133" i="3"/>
  <c r="DB133" i="3"/>
  <c r="DC133" i="3"/>
  <c r="A134" i="3"/>
  <c r="CY134" i="3"/>
  <c r="CZ134" i="3"/>
  <c r="DA134" i="3"/>
  <c r="DB134" i="3"/>
  <c r="DC134" i="3"/>
  <c r="A135" i="3"/>
  <c r="CY135" i="3"/>
  <c r="CZ135" i="3"/>
  <c r="DA135" i="3"/>
  <c r="DB135" i="3"/>
  <c r="DC135" i="3"/>
  <c r="A136" i="3"/>
  <c r="CY136" i="3"/>
  <c r="CZ136" i="3"/>
  <c r="DA136" i="3"/>
  <c r="DB136" i="3"/>
  <c r="DC136" i="3"/>
  <c r="A137" i="3"/>
  <c r="CY137" i="3"/>
  <c r="CZ137" i="3"/>
  <c r="DA137" i="3"/>
  <c r="DB137" i="3"/>
  <c r="DC137" i="3"/>
  <c r="A138" i="3"/>
  <c r="CY138" i="3"/>
  <c r="CZ138" i="3"/>
  <c r="DA138" i="3"/>
  <c r="DB138" i="3"/>
  <c r="DC138" i="3"/>
  <c r="A139" i="3"/>
  <c r="CY139" i="3"/>
  <c r="CZ139" i="3"/>
  <c r="DA139" i="3"/>
  <c r="DB139" i="3"/>
  <c r="DC139" i="3"/>
  <c r="A140" i="3"/>
  <c r="CY140" i="3"/>
  <c r="CZ140" i="3"/>
  <c r="DA140" i="3"/>
  <c r="DB140" i="3"/>
  <c r="DC140" i="3"/>
  <c r="A141" i="3"/>
  <c r="CY141" i="3"/>
  <c r="CZ141" i="3"/>
  <c r="DA141" i="3"/>
  <c r="DB141" i="3"/>
  <c r="DC141" i="3"/>
  <c r="A142" i="3"/>
  <c r="CY142" i="3"/>
  <c r="CZ142" i="3"/>
  <c r="DA142" i="3"/>
  <c r="DB142" i="3"/>
  <c r="DC142" i="3"/>
  <c r="A143" i="3"/>
  <c r="CY143" i="3"/>
  <c r="CZ143" i="3"/>
  <c r="DA143" i="3"/>
  <c r="DB143" i="3"/>
  <c r="DC143" i="3"/>
  <c r="A144" i="3"/>
  <c r="CY144" i="3"/>
  <c r="CZ144" i="3"/>
  <c r="DA144" i="3"/>
  <c r="DB144" i="3"/>
  <c r="DC144" i="3"/>
  <c r="A145" i="3"/>
  <c r="CY145" i="3"/>
  <c r="CZ145" i="3"/>
  <c r="DA145" i="3"/>
  <c r="DB145" i="3"/>
  <c r="DC145" i="3"/>
  <c r="A146" i="3"/>
  <c r="CY146" i="3"/>
  <c r="CZ146" i="3"/>
  <c r="DA146" i="3"/>
  <c r="DB146" i="3"/>
  <c r="DC146" i="3"/>
  <c r="A147" i="3"/>
  <c r="CY147" i="3"/>
  <c r="CZ147" i="3"/>
  <c r="DA147" i="3"/>
  <c r="DB147" i="3"/>
  <c r="DC147" i="3"/>
  <c r="A148" i="3"/>
  <c r="CY148" i="3"/>
  <c r="CZ148" i="3"/>
  <c r="DA148" i="3"/>
  <c r="DB148" i="3"/>
  <c r="DC148" i="3"/>
  <c r="A149" i="3"/>
  <c r="CY149" i="3"/>
  <c r="CZ149" i="3"/>
  <c r="DA149" i="3"/>
  <c r="DB149" i="3"/>
  <c r="DC149" i="3"/>
  <c r="A150" i="3"/>
  <c r="CY150" i="3"/>
  <c r="CZ150" i="3"/>
  <c r="DA150" i="3"/>
  <c r="DB150" i="3"/>
  <c r="DC150" i="3"/>
  <c r="A151" i="3"/>
  <c r="CY151" i="3"/>
  <c r="CZ151" i="3"/>
  <c r="DA151" i="3"/>
  <c r="DB151" i="3"/>
  <c r="DC151" i="3"/>
  <c r="A152" i="3"/>
  <c r="CY152" i="3"/>
  <c r="CZ152" i="3"/>
  <c r="DA152" i="3"/>
  <c r="DB152" i="3"/>
  <c r="DC152" i="3"/>
  <c r="A153" i="3"/>
  <c r="CY153" i="3"/>
  <c r="CZ153" i="3"/>
  <c r="DA153" i="3"/>
  <c r="DB153" i="3"/>
  <c r="DC153" i="3"/>
  <c r="A154" i="3"/>
  <c r="CY154" i="3"/>
  <c r="CZ154" i="3"/>
  <c r="DA154" i="3"/>
  <c r="DB154" i="3"/>
  <c r="DC154" i="3"/>
  <c r="A155" i="3"/>
  <c r="CY155" i="3"/>
  <c r="CZ155" i="3"/>
  <c r="DA155" i="3"/>
  <c r="DB155" i="3"/>
  <c r="DC155" i="3"/>
  <c r="A156" i="3"/>
  <c r="CY156" i="3"/>
  <c r="CZ156" i="3"/>
  <c r="DA156" i="3"/>
  <c r="DB156" i="3"/>
  <c r="DC156" i="3"/>
  <c r="A157" i="3"/>
  <c r="CY157" i="3"/>
  <c r="CZ157" i="3"/>
  <c r="DA157" i="3"/>
  <c r="DB157" i="3"/>
  <c r="DC157" i="3"/>
  <c r="A158" i="3"/>
  <c r="CY158" i="3"/>
  <c r="CZ158" i="3"/>
  <c r="DA158" i="3"/>
  <c r="DB158" i="3"/>
  <c r="DC158" i="3"/>
  <c r="A159" i="3"/>
  <c r="CY159" i="3"/>
  <c r="CZ159" i="3"/>
  <c r="DA159" i="3"/>
  <c r="DB159" i="3"/>
  <c r="DC159" i="3"/>
  <c r="A160" i="3"/>
  <c r="CY160" i="3"/>
  <c r="CZ160" i="3"/>
  <c r="DA160" i="3"/>
  <c r="DB160" i="3"/>
  <c r="DC160" i="3"/>
  <c r="A161" i="3"/>
  <c r="CY161" i="3"/>
  <c r="CZ161" i="3"/>
  <c r="DA161" i="3"/>
  <c r="DB161" i="3"/>
  <c r="DC161" i="3"/>
  <c r="A162" i="3"/>
  <c r="CY162" i="3"/>
  <c r="CZ162" i="3"/>
  <c r="DA162" i="3"/>
  <c r="DB162" i="3"/>
  <c r="DC162" i="3"/>
  <c r="A163" i="3"/>
  <c r="CY163" i="3"/>
  <c r="CZ163" i="3"/>
  <c r="DA163" i="3"/>
  <c r="DB163" i="3"/>
  <c r="DC163" i="3"/>
  <c r="A164" i="3"/>
  <c r="CY164" i="3"/>
  <c r="CZ164" i="3"/>
  <c r="DA164" i="3"/>
  <c r="DB164" i="3"/>
  <c r="DC164" i="3"/>
  <c r="A165" i="3"/>
  <c r="CY165" i="3"/>
  <c r="CZ165" i="3"/>
  <c r="DA165" i="3"/>
  <c r="DB165" i="3"/>
  <c r="DC165" i="3"/>
  <c r="A166" i="3"/>
  <c r="CY166" i="3"/>
  <c r="CZ166" i="3"/>
  <c r="DA166" i="3"/>
  <c r="DB166" i="3"/>
  <c r="DC166" i="3"/>
  <c r="A167" i="3"/>
  <c r="CY167" i="3"/>
  <c r="CZ167" i="3"/>
  <c r="DA167" i="3"/>
  <c r="DB167" i="3"/>
  <c r="DC167" i="3"/>
  <c r="A168" i="3"/>
  <c r="CY168" i="3"/>
  <c r="CZ168" i="3"/>
  <c r="DA168" i="3"/>
  <c r="DB168" i="3"/>
  <c r="DC168" i="3"/>
  <c r="A169" i="3"/>
  <c r="CY169" i="3"/>
  <c r="CZ169" i="3"/>
  <c r="DA169" i="3"/>
  <c r="DB169" i="3"/>
  <c r="DC169" i="3"/>
  <c r="A170" i="3"/>
  <c r="CY170" i="3"/>
  <c r="CZ170" i="3"/>
  <c r="DA170" i="3"/>
  <c r="DB170" i="3"/>
  <c r="DC170" i="3"/>
  <c r="A171" i="3"/>
  <c r="CY171" i="3"/>
  <c r="CZ171" i="3"/>
  <c r="DA171" i="3"/>
  <c r="DB171" i="3"/>
  <c r="DC171" i="3"/>
  <c r="A172" i="3"/>
  <c r="CY172" i="3"/>
  <c r="CZ172" i="3"/>
  <c r="DA172" i="3"/>
  <c r="DB172" i="3"/>
  <c r="DC172" i="3"/>
  <c r="A173" i="3"/>
  <c r="CY173" i="3"/>
  <c r="CZ173" i="3"/>
  <c r="DA173" i="3"/>
  <c r="DB173" i="3"/>
  <c r="DC173" i="3"/>
  <c r="A174" i="3"/>
  <c r="CY174" i="3"/>
  <c r="CZ174" i="3"/>
  <c r="DA174" i="3"/>
  <c r="DB174" i="3"/>
  <c r="DC174" i="3"/>
  <c r="A175" i="3"/>
  <c r="CY175" i="3"/>
  <c r="CZ175" i="3"/>
  <c r="DA175" i="3"/>
  <c r="DB175" i="3"/>
  <c r="DC175" i="3"/>
  <c r="A176" i="3"/>
  <c r="CY176" i="3"/>
  <c r="CZ176" i="3"/>
  <c r="DA176" i="3"/>
  <c r="DB176" i="3"/>
  <c r="DC176" i="3"/>
  <c r="A177" i="3"/>
  <c r="CY177" i="3"/>
  <c r="CZ177" i="3"/>
  <c r="DA177" i="3"/>
  <c r="DB177" i="3"/>
  <c r="DC177" i="3"/>
  <c r="A178" i="3"/>
  <c r="CY178" i="3"/>
  <c r="CZ178" i="3"/>
  <c r="DA178" i="3"/>
  <c r="DB178" i="3"/>
  <c r="DC178" i="3"/>
  <c r="A179" i="3"/>
  <c r="CY179" i="3"/>
  <c r="CZ179" i="3"/>
  <c r="DA179" i="3"/>
  <c r="DB179" i="3"/>
  <c r="DC179" i="3"/>
  <c r="A180" i="3"/>
  <c r="CY180" i="3"/>
  <c r="CZ180" i="3"/>
  <c r="DA180" i="3"/>
  <c r="DB180" i="3"/>
  <c r="DC180" i="3"/>
  <c r="A181" i="3"/>
  <c r="CY181" i="3"/>
  <c r="CZ181" i="3"/>
  <c r="DA181" i="3"/>
  <c r="DB181" i="3"/>
  <c r="DC181" i="3"/>
  <c r="A182" i="3"/>
  <c r="CY182" i="3"/>
  <c r="CZ182" i="3"/>
  <c r="DA182" i="3"/>
  <c r="DB182" i="3"/>
  <c r="DC182" i="3"/>
  <c r="A183" i="3"/>
  <c r="CY183" i="3"/>
  <c r="CZ183" i="3"/>
  <c r="DA183" i="3"/>
  <c r="DB183" i="3"/>
  <c r="DC183" i="3"/>
  <c r="A184" i="3"/>
  <c r="CY184" i="3"/>
  <c r="CZ184" i="3"/>
  <c r="DA184" i="3"/>
  <c r="DB184" i="3"/>
  <c r="DC184" i="3"/>
  <c r="A185" i="3"/>
  <c r="CY185" i="3"/>
  <c r="CZ185" i="3"/>
  <c r="DA185" i="3"/>
  <c r="DB185" i="3"/>
  <c r="DC185" i="3"/>
  <c r="A186" i="3"/>
  <c r="CY186" i="3"/>
  <c r="CZ186" i="3"/>
  <c r="DA186" i="3"/>
  <c r="DB186" i="3"/>
  <c r="DC186" i="3"/>
  <c r="A187" i="3"/>
  <c r="CY187" i="3"/>
  <c r="CZ187" i="3"/>
  <c r="DA187" i="3"/>
  <c r="DB187" i="3"/>
  <c r="DC187" i="3"/>
  <c r="A188" i="3"/>
  <c r="CY188" i="3"/>
  <c r="CZ188" i="3"/>
  <c r="DA188" i="3"/>
  <c r="DB188" i="3"/>
  <c r="DC188" i="3"/>
  <c r="A189" i="3"/>
  <c r="CY189" i="3"/>
  <c r="CZ189" i="3"/>
  <c r="DA189" i="3"/>
  <c r="DB189" i="3"/>
  <c r="DC189" i="3"/>
  <c r="A190" i="3"/>
  <c r="CY190" i="3"/>
  <c r="CZ190" i="3"/>
  <c r="DA190" i="3"/>
  <c r="DB190" i="3"/>
  <c r="DC190" i="3"/>
  <c r="A191" i="3"/>
  <c r="CY191" i="3"/>
  <c r="CZ191" i="3"/>
  <c r="DA191" i="3"/>
  <c r="DB191" i="3"/>
  <c r="DC191" i="3"/>
  <c r="A192" i="3"/>
  <c r="CY192" i="3"/>
  <c r="CZ192" i="3"/>
  <c r="DA192" i="3"/>
  <c r="DB192" i="3"/>
  <c r="DC192" i="3"/>
  <c r="A193" i="3"/>
  <c r="CY193" i="3"/>
  <c r="CZ193" i="3"/>
  <c r="DA193" i="3"/>
  <c r="DB193" i="3"/>
  <c r="DC193" i="3"/>
  <c r="A194" i="3"/>
  <c r="CY194" i="3"/>
  <c r="CZ194" i="3"/>
  <c r="DA194" i="3"/>
  <c r="DB194" i="3"/>
  <c r="DC194" i="3"/>
  <c r="A195" i="3"/>
  <c r="CY195" i="3"/>
  <c r="CZ195" i="3"/>
  <c r="DA195" i="3"/>
  <c r="DB195" i="3"/>
  <c r="DC195" i="3"/>
  <c r="A196" i="3"/>
  <c r="CY196" i="3"/>
  <c r="CZ196" i="3"/>
  <c r="DA196" i="3"/>
  <c r="DB196" i="3"/>
  <c r="DC196" i="3"/>
  <c r="A197" i="3"/>
  <c r="CY197" i="3"/>
  <c r="CZ197" i="3"/>
  <c r="DA197" i="3"/>
  <c r="DB197" i="3"/>
  <c r="DC197" i="3"/>
  <c r="A198" i="3"/>
  <c r="CY198" i="3"/>
  <c r="CZ198" i="3"/>
  <c r="DA198" i="3"/>
  <c r="DB198" i="3"/>
  <c r="DC198" i="3"/>
  <c r="A199" i="3"/>
  <c r="CY199" i="3"/>
  <c r="CZ199" i="3"/>
  <c r="DA199" i="3"/>
  <c r="DB199" i="3"/>
  <c r="DC199" i="3"/>
  <c r="A200" i="3"/>
  <c r="CY200" i="3"/>
  <c r="CZ200" i="3"/>
  <c r="DA200" i="3"/>
  <c r="DB200" i="3"/>
  <c r="DC200" i="3"/>
  <c r="A201" i="3"/>
  <c r="CY201" i="3"/>
  <c r="CZ201" i="3"/>
  <c r="DA201" i="3"/>
  <c r="DB201" i="3"/>
  <c r="DC201" i="3"/>
  <c r="A202" i="3"/>
  <c r="CY202" i="3"/>
  <c r="CZ202" i="3"/>
  <c r="DA202" i="3"/>
  <c r="DB202" i="3"/>
  <c r="DC202" i="3"/>
  <c r="A203" i="3"/>
  <c r="CY203" i="3"/>
  <c r="CZ203" i="3"/>
  <c r="DA203" i="3"/>
  <c r="DB203" i="3"/>
  <c r="DC203" i="3"/>
  <c r="A204" i="3"/>
  <c r="CY204" i="3"/>
  <c r="CZ204" i="3"/>
  <c r="DA204" i="3"/>
  <c r="DB204" i="3"/>
  <c r="DC204" i="3"/>
  <c r="A205" i="3"/>
  <c r="CY205" i="3"/>
  <c r="CZ205" i="3"/>
  <c r="DA205" i="3"/>
  <c r="DB205" i="3"/>
  <c r="DC205" i="3"/>
  <c r="A206" i="3"/>
  <c r="CY206" i="3"/>
  <c r="CZ206" i="3"/>
  <c r="DA206" i="3"/>
  <c r="DB206" i="3"/>
  <c r="DC206" i="3"/>
  <c r="A207" i="3"/>
  <c r="CY207" i="3"/>
  <c r="CZ207" i="3"/>
  <c r="DA207" i="3"/>
  <c r="DB207" i="3"/>
  <c r="DC207" i="3"/>
  <c r="A208" i="3"/>
  <c r="CY208" i="3"/>
  <c r="CZ208" i="3"/>
  <c r="DA208" i="3"/>
  <c r="DB208" i="3"/>
  <c r="DC208" i="3"/>
  <c r="A209" i="3"/>
  <c r="CY209" i="3"/>
  <c r="CZ209" i="3"/>
  <c r="DA209" i="3"/>
  <c r="DB209" i="3"/>
  <c r="DC209" i="3"/>
  <c r="A210" i="3"/>
  <c r="CY210" i="3"/>
  <c r="CZ210" i="3"/>
  <c r="DA210" i="3"/>
  <c r="DB210" i="3"/>
  <c r="DC210" i="3"/>
  <c r="A211" i="3"/>
  <c r="CY211" i="3"/>
  <c r="CZ211" i="3"/>
  <c r="DA211" i="3"/>
  <c r="DB211" i="3"/>
  <c r="DC211" i="3"/>
  <c r="A212" i="3"/>
  <c r="CY212" i="3"/>
  <c r="CZ212" i="3"/>
  <c r="DA212" i="3"/>
  <c r="DB212" i="3"/>
  <c r="DC212" i="3"/>
  <c r="A213" i="3"/>
  <c r="CY213" i="3"/>
  <c r="CZ213" i="3"/>
  <c r="DA213" i="3"/>
  <c r="DB213" i="3"/>
  <c r="DC213" i="3"/>
  <c r="A214" i="3"/>
  <c r="CY214" i="3"/>
  <c r="CZ214" i="3"/>
  <c r="DA214" i="3"/>
  <c r="DB214" i="3"/>
  <c r="DC214" i="3"/>
  <c r="A215" i="3"/>
  <c r="CY215" i="3"/>
  <c r="CZ215" i="3"/>
  <c r="DA215" i="3"/>
  <c r="DB215" i="3"/>
  <c r="DC215" i="3"/>
  <c r="A216" i="3"/>
  <c r="CY216" i="3"/>
  <c r="CZ216" i="3"/>
  <c r="DA216" i="3"/>
  <c r="DB216" i="3"/>
  <c r="DC216" i="3"/>
  <c r="A217" i="3"/>
  <c r="CY217" i="3"/>
  <c r="CZ217" i="3"/>
  <c r="DA217" i="3"/>
  <c r="DB217" i="3"/>
  <c r="DC217" i="3"/>
  <c r="A218" i="3"/>
  <c r="CY218" i="3"/>
  <c r="CZ218" i="3"/>
  <c r="DA218" i="3"/>
  <c r="DB218" i="3"/>
  <c r="DC218" i="3"/>
  <c r="A219" i="3"/>
  <c r="CY219" i="3"/>
  <c r="CZ219" i="3"/>
  <c r="DA219" i="3"/>
  <c r="DB219" i="3"/>
  <c r="DC219" i="3"/>
  <c r="A220" i="3"/>
  <c r="CY220" i="3"/>
  <c r="CZ220" i="3"/>
  <c r="DA220" i="3"/>
  <c r="DB220" i="3"/>
  <c r="DC220" i="3"/>
  <c r="A221" i="3"/>
  <c r="CY221" i="3"/>
  <c r="CZ221" i="3"/>
  <c r="DA221" i="3"/>
  <c r="DB221" i="3"/>
  <c r="DC221" i="3"/>
  <c r="A222" i="3"/>
  <c r="CY222" i="3"/>
  <c r="CZ222" i="3"/>
  <c r="DA222" i="3"/>
  <c r="DB222" i="3"/>
  <c r="DC222" i="3"/>
  <c r="A223" i="3"/>
  <c r="CY223" i="3"/>
  <c r="CZ223" i="3"/>
  <c r="DA223" i="3"/>
  <c r="DB223" i="3"/>
  <c r="DC223" i="3"/>
  <c r="A224" i="3"/>
  <c r="CY224" i="3"/>
  <c r="CZ224" i="3"/>
  <c r="DA224" i="3"/>
  <c r="DB224" i="3"/>
  <c r="DC224" i="3"/>
  <c r="A225" i="3"/>
  <c r="CY225" i="3"/>
  <c r="CZ225" i="3"/>
  <c r="DA225" i="3"/>
  <c r="DB225" i="3"/>
  <c r="DC225" i="3"/>
  <c r="A226" i="3"/>
  <c r="CY226" i="3"/>
  <c r="CZ226" i="3"/>
  <c r="DA226" i="3"/>
  <c r="DB226" i="3"/>
  <c r="DC226" i="3"/>
  <c r="A227" i="3"/>
  <c r="CY227" i="3"/>
  <c r="CZ227" i="3"/>
  <c r="DA227" i="3"/>
  <c r="DB227" i="3"/>
  <c r="DC227" i="3"/>
  <c r="A228" i="3"/>
  <c r="CY228" i="3"/>
  <c r="CZ228" i="3"/>
  <c r="DA228" i="3"/>
  <c r="DB228" i="3"/>
  <c r="DC228" i="3"/>
  <c r="A229" i="3"/>
  <c r="CY229" i="3"/>
  <c r="CZ229" i="3"/>
  <c r="DA229" i="3"/>
  <c r="DB229" i="3"/>
  <c r="DC229" i="3"/>
  <c r="A230" i="3"/>
  <c r="CY230" i="3"/>
  <c r="CZ230" i="3"/>
  <c r="DA230" i="3"/>
  <c r="DB230" i="3"/>
  <c r="DC230" i="3"/>
  <c r="A231" i="3"/>
  <c r="CY231" i="3"/>
  <c r="CZ231" i="3"/>
  <c r="DA231" i="3"/>
  <c r="DB231" i="3"/>
  <c r="DC231" i="3"/>
  <c r="A232" i="3"/>
  <c r="CY232" i="3"/>
  <c r="CZ232" i="3"/>
  <c r="DA232" i="3"/>
  <c r="DB232" i="3"/>
  <c r="DC232" i="3"/>
  <c r="A233" i="3"/>
  <c r="CY233" i="3"/>
  <c r="CZ233" i="3"/>
  <c r="DA233" i="3"/>
  <c r="DB233" i="3"/>
  <c r="DC233" i="3"/>
  <c r="A234" i="3"/>
  <c r="CY234" i="3"/>
  <c r="CZ234" i="3"/>
  <c r="DA234" i="3"/>
  <c r="DB234" i="3"/>
  <c r="DC234" i="3"/>
  <c r="A235" i="3"/>
  <c r="CY235" i="3"/>
  <c r="CZ235" i="3"/>
  <c r="DA235" i="3"/>
  <c r="DB235" i="3"/>
  <c r="DC235" i="3"/>
  <c r="A236" i="3"/>
  <c r="CY236" i="3"/>
  <c r="CZ236" i="3"/>
  <c r="DA236" i="3"/>
  <c r="DB236" i="3"/>
  <c r="DC236" i="3"/>
  <c r="A237" i="3"/>
  <c r="CY237" i="3"/>
  <c r="CZ237" i="3"/>
  <c r="DA237" i="3"/>
  <c r="DB237" i="3"/>
  <c r="DC237" i="3"/>
  <c r="A238" i="3"/>
  <c r="CY238" i="3"/>
  <c r="CZ238" i="3"/>
  <c r="DA238" i="3"/>
  <c r="DB238" i="3"/>
  <c r="DC238" i="3"/>
  <c r="A239" i="3"/>
  <c r="CY239" i="3"/>
  <c r="CZ239" i="3"/>
  <c r="DA239" i="3"/>
  <c r="DB239" i="3"/>
  <c r="DC239" i="3"/>
  <c r="A240" i="3"/>
  <c r="CY240" i="3"/>
  <c r="CZ240" i="3"/>
  <c r="DA240" i="3"/>
  <c r="DB240" i="3"/>
  <c r="DC240" i="3"/>
  <c r="A241" i="3"/>
  <c r="CY241" i="3"/>
  <c r="CZ241" i="3"/>
  <c r="DA241" i="3"/>
  <c r="DB241" i="3"/>
  <c r="DC241" i="3"/>
  <c r="A242" i="3"/>
  <c r="CY242" i="3"/>
  <c r="CZ242" i="3"/>
  <c r="DA242" i="3"/>
  <c r="DB242" i="3"/>
  <c r="DC242" i="3"/>
  <c r="A243" i="3"/>
  <c r="CY243" i="3"/>
  <c r="CZ243" i="3"/>
  <c r="DA243" i="3"/>
  <c r="DB243" i="3"/>
  <c r="DC243" i="3"/>
  <c r="A244" i="3"/>
  <c r="CY244" i="3"/>
  <c r="CZ244" i="3"/>
  <c r="DA244" i="3"/>
  <c r="DB244" i="3"/>
  <c r="DC244" i="3"/>
  <c r="A245" i="3"/>
  <c r="CY245" i="3"/>
  <c r="CZ245" i="3"/>
  <c r="DA245" i="3"/>
  <c r="DB245" i="3"/>
  <c r="DC245" i="3"/>
  <c r="A246" i="3"/>
  <c r="CY246" i="3"/>
  <c r="CZ246" i="3"/>
  <c r="DA246" i="3"/>
  <c r="DB246" i="3"/>
  <c r="DC246" i="3"/>
  <c r="A247" i="3"/>
  <c r="CY247" i="3"/>
  <c r="CZ247" i="3"/>
  <c r="DA247" i="3"/>
  <c r="DB247" i="3"/>
  <c r="DC247" i="3"/>
  <c r="A248" i="3"/>
  <c r="CY248" i="3"/>
  <c r="CZ248" i="3"/>
  <c r="DA248" i="3"/>
  <c r="DB248" i="3"/>
  <c r="DC248" i="3"/>
  <c r="A249" i="3"/>
  <c r="CY249" i="3"/>
  <c r="CZ249" i="3"/>
  <c r="DA249" i="3"/>
  <c r="DB249" i="3"/>
  <c r="DC249" i="3"/>
  <c r="A250" i="3"/>
  <c r="CY250" i="3"/>
  <c r="CZ250" i="3"/>
  <c r="DA250" i="3"/>
  <c r="DB250" i="3"/>
  <c r="DC250" i="3"/>
  <c r="A251" i="3"/>
  <c r="CY251" i="3"/>
  <c r="CZ251" i="3"/>
  <c r="DA251" i="3"/>
  <c r="DB251" i="3"/>
  <c r="DC251" i="3"/>
  <c r="A252" i="3"/>
  <c r="CY252" i="3"/>
  <c r="CZ252" i="3"/>
  <c r="DA252" i="3"/>
  <c r="DB252" i="3"/>
  <c r="DC252" i="3"/>
  <c r="A253" i="3"/>
  <c r="CY253" i="3"/>
  <c r="CZ253" i="3"/>
  <c r="DA253" i="3"/>
  <c r="DB253" i="3"/>
  <c r="DC253" i="3"/>
  <c r="A254" i="3"/>
  <c r="CY254" i="3"/>
  <c r="CZ254" i="3"/>
  <c r="DA254" i="3"/>
  <c r="DB254" i="3"/>
  <c r="DC254" i="3"/>
  <c r="A255" i="3"/>
  <c r="CY255" i="3"/>
  <c r="CZ255" i="3"/>
  <c r="DA255" i="3"/>
  <c r="DB255" i="3"/>
  <c r="DC255" i="3"/>
  <c r="A256" i="3"/>
  <c r="CY256" i="3"/>
  <c r="CZ256" i="3"/>
  <c r="DA256" i="3"/>
  <c r="DB256" i="3"/>
  <c r="DC256" i="3"/>
  <c r="A257" i="3"/>
  <c r="CY257" i="3"/>
  <c r="CZ257" i="3"/>
  <c r="DA257" i="3"/>
  <c r="DB257" i="3"/>
  <c r="DC257" i="3"/>
  <c r="A258" i="3"/>
  <c r="CY258" i="3"/>
  <c r="CZ258" i="3"/>
  <c r="DA258" i="3"/>
  <c r="DB258" i="3"/>
  <c r="DC258" i="3"/>
  <c r="A259" i="3"/>
  <c r="CY259" i="3"/>
  <c r="CZ259" i="3"/>
  <c r="DA259" i="3"/>
  <c r="DB259" i="3"/>
  <c r="DC259" i="3"/>
  <c r="A260" i="3"/>
  <c r="CY260" i="3"/>
  <c r="CZ260" i="3"/>
  <c r="DA260" i="3"/>
  <c r="DB260" i="3"/>
  <c r="DC260" i="3"/>
  <c r="A261" i="3"/>
  <c r="CY261" i="3"/>
  <c r="CZ261" i="3"/>
  <c r="DA261" i="3"/>
  <c r="DB261" i="3"/>
  <c r="DC261" i="3"/>
  <c r="A262" i="3"/>
  <c r="CY262" i="3"/>
  <c r="CZ262" i="3"/>
  <c r="DA262" i="3"/>
  <c r="DB262" i="3"/>
  <c r="DC262" i="3"/>
  <c r="A263" i="3"/>
  <c r="CY263" i="3"/>
  <c r="CZ263" i="3"/>
  <c r="DA263" i="3"/>
  <c r="DB263" i="3"/>
  <c r="DC263" i="3"/>
  <c r="A264" i="3"/>
  <c r="CY264" i="3"/>
  <c r="CZ264" i="3"/>
  <c r="DA264" i="3"/>
  <c r="DB264" i="3"/>
  <c r="DC264" i="3"/>
  <c r="A265" i="3"/>
  <c r="CY265" i="3"/>
  <c r="CZ265" i="3"/>
  <c r="DA265" i="3"/>
  <c r="DB265" i="3"/>
  <c r="DC265" i="3"/>
  <c r="A266" i="3"/>
  <c r="CY266" i="3"/>
  <c r="CZ266" i="3"/>
  <c r="DA266" i="3"/>
  <c r="DB266" i="3"/>
  <c r="DC266" i="3"/>
  <c r="A267" i="3"/>
  <c r="CY267" i="3"/>
  <c r="CZ267" i="3"/>
  <c r="DA267" i="3"/>
  <c r="DB267" i="3"/>
  <c r="DC267" i="3"/>
  <c r="A268" i="3"/>
  <c r="CY268" i="3"/>
  <c r="CZ268" i="3"/>
  <c r="DA268" i="3"/>
  <c r="DB268" i="3"/>
  <c r="DC268" i="3"/>
  <c r="A269" i="3"/>
  <c r="CY269" i="3"/>
  <c r="CZ269" i="3"/>
  <c r="DA269" i="3"/>
  <c r="DB269" i="3"/>
  <c r="DC269" i="3"/>
  <c r="A270" i="3"/>
  <c r="CY270" i="3"/>
  <c r="CZ270" i="3"/>
  <c r="DA270" i="3"/>
  <c r="DB270" i="3"/>
  <c r="DC270" i="3"/>
  <c r="A271" i="3"/>
  <c r="CY271" i="3"/>
  <c r="CZ271" i="3"/>
  <c r="DA271" i="3"/>
  <c r="DB271" i="3"/>
  <c r="DC271" i="3"/>
  <c r="A272" i="3"/>
  <c r="CY272" i="3"/>
  <c r="CZ272" i="3"/>
  <c r="DA272" i="3"/>
  <c r="DB272" i="3"/>
  <c r="DC272" i="3"/>
  <c r="A273" i="3"/>
  <c r="CY273" i="3"/>
  <c r="CZ273" i="3"/>
  <c r="DA273" i="3"/>
  <c r="DB273" i="3"/>
  <c r="DC273" i="3"/>
  <c r="A274" i="3"/>
  <c r="CY274" i="3"/>
  <c r="CZ274" i="3"/>
  <c r="DA274" i="3"/>
  <c r="DB274" i="3"/>
  <c r="DC274" i="3"/>
  <c r="A275" i="3"/>
  <c r="CY275" i="3"/>
  <c r="CZ275" i="3"/>
  <c r="DA275" i="3"/>
  <c r="DB275" i="3"/>
  <c r="DC275" i="3"/>
  <c r="A276" i="3"/>
  <c r="CY276" i="3"/>
  <c r="CZ276" i="3"/>
  <c r="DA276" i="3"/>
  <c r="DB276" i="3"/>
  <c r="DC276" i="3"/>
  <c r="A277" i="3"/>
  <c r="CY277" i="3"/>
  <c r="CZ277" i="3"/>
  <c r="DA277" i="3"/>
  <c r="DB277" i="3"/>
  <c r="DC277" i="3"/>
  <c r="A278" i="3"/>
  <c r="CY278" i="3"/>
  <c r="CZ278" i="3"/>
  <c r="DA278" i="3"/>
  <c r="DB278" i="3"/>
  <c r="DC278" i="3"/>
  <c r="A279" i="3"/>
  <c r="CY279" i="3"/>
  <c r="CZ279" i="3"/>
  <c r="DA279" i="3"/>
  <c r="DB279" i="3"/>
  <c r="DC279" i="3"/>
  <c r="A280" i="3"/>
  <c r="CY280" i="3"/>
  <c r="CZ280" i="3"/>
  <c r="DA280" i="3"/>
  <c r="DB280" i="3"/>
  <c r="DC280" i="3"/>
  <c r="A281" i="3"/>
  <c r="CY281" i="3"/>
  <c r="CZ281" i="3"/>
  <c r="DA281" i="3"/>
  <c r="DB281" i="3"/>
  <c r="DC281" i="3"/>
  <c r="A282" i="3"/>
  <c r="CY282" i="3"/>
  <c r="CZ282" i="3"/>
  <c r="DA282" i="3"/>
  <c r="DB282" i="3"/>
  <c r="DC282" i="3"/>
  <c r="A283" i="3"/>
  <c r="CY283" i="3"/>
  <c r="CZ283" i="3"/>
  <c r="DA283" i="3"/>
  <c r="DB283" i="3"/>
  <c r="DC283" i="3"/>
  <c r="A284" i="3"/>
  <c r="CY284" i="3"/>
  <c r="CZ284" i="3"/>
  <c r="DA284" i="3"/>
  <c r="DB284" i="3"/>
  <c r="DC284" i="3"/>
  <c r="A285" i="3"/>
  <c r="CY285" i="3"/>
  <c r="CZ285" i="3"/>
  <c r="DA285" i="3"/>
  <c r="DB285" i="3"/>
  <c r="DC285" i="3"/>
  <c r="A286" i="3"/>
  <c r="CY286" i="3"/>
  <c r="CZ286" i="3"/>
  <c r="DA286" i="3"/>
  <c r="DB286" i="3"/>
  <c r="DC286" i="3"/>
  <c r="A287" i="3"/>
  <c r="CY287" i="3"/>
  <c r="CZ287" i="3"/>
  <c r="DA287" i="3"/>
  <c r="DB287" i="3"/>
  <c r="DC287" i="3"/>
  <c r="A288" i="3"/>
  <c r="CY288" i="3"/>
  <c r="CZ288" i="3"/>
  <c r="DA288" i="3"/>
  <c r="DB288" i="3"/>
  <c r="DC288" i="3"/>
  <c r="A289" i="3"/>
  <c r="CY289" i="3"/>
  <c r="CZ289" i="3"/>
  <c r="DA289" i="3"/>
  <c r="DB289" i="3"/>
  <c r="DC289" i="3"/>
  <c r="A290" i="3"/>
  <c r="CY290" i="3"/>
  <c r="CZ290" i="3"/>
  <c r="DA290" i="3"/>
  <c r="DB290" i="3"/>
  <c r="DC290" i="3"/>
  <c r="A291" i="3"/>
  <c r="CY291" i="3"/>
  <c r="CZ291" i="3"/>
  <c r="DA291" i="3"/>
  <c r="DB291" i="3"/>
  <c r="DC291" i="3"/>
  <c r="A292" i="3"/>
  <c r="CY292" i="3"/>
  <c r="CZ292" i="3"/>
  <c r="DA292" i="3"/>
  <c r="DB292" i="3"/>
  <c r="DC292" i="3"/>
  <c r="A293" i="3"/>
  <c r="CY293" i="3"/>
  <c r="CZ293" i="3"/>
  <c r="DA293" i="3"/>
  <c r="DB293" i="3"/>
  <c r="DC293" i="3"/>
  <c r="A294" i="3"/>
  <c r="CY294" i="3"/>
  <c r="CZ294" i="3"/>
  <c r="DA294" i="3"/>
  <c r="DB294" i="3"/>
  <c r="DC294" i="3"/>
  <c r="A295" i="3"/>
  <c r="CY295" i="3"/>
  <c r="CZ295" i="3"/>
  <c r="DA295" i="3"/>
  <c r="DB295" i="3"/>
  <c r="DC295" i="3"/>
  <c r="A296" i="3"/>
  <c r="CY296" i="3"/>
  <c r="CZ296" i="3"/>
  <c r="DA296" i="3"/>
  <c r="DB296" i="3"/>
  <c r="DC296" i="3"/>
  <c r="A297" i="3"/>
  <c r="CY297" i="3"/>
  <c r="CZ297" i="3"/>
  <c r="DA297" i="3"/>
  <c r="DB297" i="3"/>
  <c r="DC297" i="3"/>
  <c r="A298" i="3"/>
  <c r="CY298" i="3"/>
  <c r="CZ298" i="3"/>
  <c r="DA298" i="3"/>
  <c r="DB298" i="3"/>
  <c r="DC298" i="3"/>
  <c r="A299" i="3"/>
  <c r="CY299" i="3"/>
  <c r="CZ299" i="3"/>
  <c r="DA299" i="3"/>
  <c r="DB299" i="3"/>
  <c r="DC299" i="3"/>
  <c r="A300" i="3"/>
  <c r="CY300" i="3"/>
  <c r="CZ300" i="3"/>
  <c r="DA300" i="3"/>
  <c r="DB300" i="3"/>
  <c r="DC300" i="3"/>
  <c r="A301" i="3"/>
  <c r="CY301" i="3"/>
  <c r="CZ301" i="3"/>
  <c r="DA301" i="3"/>
  <c r="DB301" i="3"/>
  <c r="DC301" i="3"/>
  <c r="A302" i="3"/>
  <c r="CY302" i="3"/>
  <c r="CZ302" i="3"/>
  <c r="DA302" i="3"/>
  <c r="DB302" i="3"/>
  <c r="DC302" i="3"/>
  <c r="A303" i="3"/>
  <c r="CY303" i="3"/>
  <c r="CZ303" i="3"/>
  <c r="DA303" i="3"/>
  <c r="DB303" i="3"/>
  <c r="DC303" i="3"/>
  <c r="A304" i="3"/>
  <c r="CY304" i="3"/>
  <c r="CZ304" i="3"/>
  <c r="DA304" i="3"/>
  <c r="DB304" i="3"/>
  <c r="DC304" i="3"/>
  <c r="A305" i="3"/>
  <c r="CY305" i="3"/>
  <c r="CZ305" i="3"/>
  <c r="DA305" i="3"/>
  <c r="DB305" i="3"/>
  <c r="DC305" i="3"/>
  <c r="A306" i="3"/>
  <c r="CY306" i="3"/>
  <c r="CZ306" i="3"/>
  <c r="DA306" i="3"/>
  <c r="DB306" i="3"/>
  <c r="DC306" i="3"/>
  <c r="A307" i="3"/>
  <c r="CY307" i="3"/>
  <c r="CZ307" i="3"/>
  <c r="DA307" i="3"/>
  <c r="DB307" i="3"/>
  <c r="DC307" i="3"/>
  <c r="A308" i="3"/>
  <c r="CY308" i="3"/>
  <c r="CZ308" i="3"/>
  <c r="DA308" i="3"/>
  <c r="DB308" i="3"/>
  <c r="DC308" i="3"/>
  <c r="A309" i="3"/>
  <c r="CY309" i="3"/>
  <c r="CZ309" i="3"/>
  <c r="DA309" i="3"/>
  <c r="DB309" i="3"/>
  <c r="DC309" i="3"/>
  <c r="A310" i="3"/>
  <c r="CY310" i="3"/>
  <c r="CZ310" i="3"/>
  <c r="DA310" i="3"/>
  <c r="DB310" i="3"/>
  <c r="DC310" i="3"/>
  <c r="A311" i="3"/>
  <c r="CY311" i="3"/>
  <c r="CZ311" i="3"/>
  <c r="DA311" i="3"/>
  <c r="DB311" i="3"/>
  <c r="DC311" i="3"/>
  <c r="A312" i="3"/>
  <c r="CY312" i="3"/>
  <c r="CZ312" i="3"/>
  <c r="DA312" i="3"/>
  <c r="DB312" i="3"/>
  <c r="DC312" i="3"/>
  <c r="A313" i="3"/>
  <c r="CY313" i="3"/>
  <c r="CZ313" i="3"/>
  <c r="DA313" i="3"/>
  <c r="DB313" i="3"/>
  <c r="DC313" i="3"/>
  <c r="A314" i="3"/>
  <c r="CY314" i="3"/>
  <c r="CZ314" i="3"/>
  <c r="DA314" i="3"/>
  <c r="DB314" i="3"/>
  <c r="DC314" i="3"/>
  <c r="A315" i="3"/>
  <c r="CY315" i="3"/>
  <c r="CZ315" i="3"/>
  <c r="DA315" i="3"/>
  <c r="DB315" i="3"/>
  <c r="DC315" i="3"/>
  <c r="A316" i="3"/>
  <c r="CY316" i="3"/>
  <c r="CZ316" i="3"/>
  <c r="DA316" i="3"/>
  <c r="DB316" i="3"/>
  <c r="DC316" i="3"/>
  <c r="A317" i="3"/>
  <c r="CY317" i="3"/>
  <c r="CZ317" i="3"/>
  <c r="DA317" i="3"/>
  <c r="DB317" i="3"/>
  <c r="DC317" i="3"/>
  <c r="A318" i="3"/>
  <c r="CY318" i="3"/>
  <c r="CZ318" i="3"/>
  <c r="DA318" i="3"/>
  <c r="DB318" i="3"/>
  <c r="DC318" i="3"/>
  <c r="A319" i="3"/>
  <c r="CY319" i="3"/>
  <c r="CZ319" i="3"/>
  <c r="DA319" i="3"/>
  <c r="DB319" i="3"/>
  <c r="DC319" i="3"/>
  <c r="A320" i="3"/>
  <c r="CY320" i="3"/>
  <c r="CZ320" i="3"/>
  <c r="DA320" i="3"/>
  <c r="DB320" i="3"/>
  <c r="DC320" i="3"/>
  <c r="A321" i="3"/>
  <c r="CY321" i="3"/>
  <c r="CZ321" i="3"/>
  <c r="DA321" i="3"/>
  <c r="DB321" i="3"/>
  <c r="DC321" i="3"/>
  <c r="A322" i="3"/>
  <c r="CY322" i="3"/>
  <c r="CZ322" i="3"/>
  <c r="DA322" i="3"/>
  <c r="DB322" i="3"/>
  <c r="DC322" i="3"/>
  <c r="A323" i="3"/>
  <c r="CY323" i="3"/>
  <c r="CZ323" i="3"/>
  <c r="DA323" i="3"/>
  <c r="DB323" i="3"/>
  <c r="DC323" i="3"/>
  <c r="A324" i="3"/>
  <c r="CY324" i="3"/>
  <c r="CZ324" i="3"/>
  <c r="DA324" i="3"/>
  <c r="DB324" i="3"/>
  <c r="DC324" i="3"/>
  <c r="A325" i="3"/>
  <c r="CY325" i="3"/>
  <c r="CZ325" i="3"/>
  <c r="DA325" i="3"/>
  <c r="DB325" i="3"/>
  <c r="DC325" i="3"/>
  <c r="A326" i="3"/>
  <c r="CY326" i="3"/>
  <c r="CZ326" i="3"/>
  <c r="DA326" i="3"/>
  <c r="DB326" i="3"/>
  <c r="DC326" i="3"/>
  <c r="A327" i="3"/>
  <c r="CY327" i="3"/>
  <c r="CZ327" i="3"/>
  <c r="DA327" i="3"/>
  <c r="DB327" i="3"/>
  <c r="DC327" i="3"/>
  <c r="A328" i="3"/>
  <c r="CY328" i="3"/>
  <c r="CZ328" i="3"/>
  <c r="DA328" i="3"/>
  <c r="DB328" i="3"/>
  <c r="DC328" i="3"/>
  <c r="A329" i="3"/>
  <c r="CY329" i="3"/>
  <c r="CZ329" i="3"/>
  <c r="DA329" i="3"/>
  <c r="DB329" i="3"/>
  <c r="DC329" i="3"/>
  <c r="A330" i="3"/>
  <c r="CY330" i="3"/>
  <c r="CZ330" i="3"/>
  <c r="DA330" i="3"/>
  <c r="DB330" i="3"/>
  <c r="DC330" i="3"/>
  <c r="A331" i="3"/>
  <c r="CY331" i="3"/>
  <c r="CZ331" i="3"/>
  <c r="DA331" i="3"/>
  <c r="DB331" i="3"/>
  <c r="DC331" i="3"/>
  <c r="A332" i="3"/>
  <c r="CY332" i="3"/>
  <c r="CZ332" i="3"/>
  <c r="DA332" i="3"/>
  <c r="DB332" i="3"/>
  <c r="DC332" i="3"/>
  <c r="A333" i="3"/>
  <c r="CY333" i="3"/>
  <c r="CZ333" i="3"/>
  <c r="DA333" i="3"/>
  <c r="DB333" i="3"/>
  <c r="DC333" i="3"/>
  <c r="A334" i="3"/>
  <c r="CY334" i="3"/>
  <c r="CZ334" i="3"/>
  <c r="DA334" i="3"/>
  <c r="DB334" i="3"/>
  <c r="DC334" i="3"/>
  <c r="A335" i="3"/>
  <c r="CY335" i="3"/>
  <c r="CZ335" i="3"/>
  <c r="DA335" i="3"/>
  <c r="DB335" i="3"/>
  <c r="DC335" i="3"/>
  <c r="A336" i="3"/>
  <c r="CY336" i="3"/>
  <c r="CZ336" i="3"/>
  <c r="DA336" i="3"/>
  <c r="DB336" i="3"/>
  <c r="DC336" i="3"/>
  <c r="A337" i="3"/>
  <c r="CY337" i="3"/>
  <c r="CZ337" i="3"/>
  <c r="DA337" i="3"/>
  <c r="DB337" i="3"/>
  <c r="DC337" i="3"/>
  <c r="A338" i="3"/>
  <c r="CY338" i="3"/>
  <c r="CZ338" i="3"/>
  <c r="DA338" i="3"/>
  <c r="DB338" i="3"/>
  <c r="DC338" i="3"/>
  <c r="A339" i="3"/>
  <c r="CY339" i="3"/>
  <c r="CZ339" i="3"/>
  <c r="DA339" i="3"/>
  <c r="DB339" i="3"/>
  <c r="DC339" i="3"/>
  <c r="A340" i="3"/>
  <c r="CY340" i="3"/>
  <c r="CZ340" i="3"/>
  <c r="DA340" i="3"/>
  <c r="DB340" i="3"/>
  <c r="DC340" i="3"/>
  <c r="A341" i="3"/>
  <c r="CY341" i="3"/>
  <c r="CZ341" i="3"/>
  <c r="DA341" i="3"/>
  <c r="DB341" i="3"/>
  <c r="DC341" i="3"/>
  <c r="A342" i="3"/>
  <c r="CY342" i="3"/>
  <c r="CZ342" i="3"/>
  <c r="DA342" i="3"/>
  <c r="DB342" i="3"/>
  <c r="DC342" i="3"/>
  <c r="A343" i="3"/>
  <c r="CY343" i="3"/>
  <c r="CZ343" i="3"/>
  <c r="DA343" i="3"/>
  <c r="DB343" i="3"/>
  <c r="DC343" i="3"/>
  <c r="A344" i="3"/>
  <c r="CY344" i="3"/>
  <c r="CZ344" i="3"/>
  <c r="DA344" i="3"/>
  <c r="DB344" i="3"/>
  <c r="DC344" i="3"/>
  <c r="A345" i="3"/>
  <c r="CY345" i="3"/>
  <c r="CZ345" i="3"/>
  <c r="DA345" i="3"/>
  <c r="DB345" i="3"/>
  <c r="DC345" i="3"/>
  <c r="A346" i="3"/>
  <c r="CY346" i="3"/>
  <c r="CZ346" i="3"/>
  <c r="DA346" i="3"/>
  <c r="DB346" i="3"/>
  <c r="DC346" i="3"/>
  <c r="A347" i="3"/>
  <c r="CY347" i="3"/>
  <c r="CZ347" i="3"/>
  <c r="DA347" i="3"/>
  <c r="DB347" i="3"/>
  <c r="DC347" i="3"/>
  <c r="A348" i="3"/>
  <c r="CY348" i="3"/>
  <c r="CZ348" i="3"/>
  <c r="DA348" i="3"/>
  <c r="DB348" i="3"/>
  <c r="DC348" i="3"/>
  <c r="A349" i="3"/>
  <c r="CY349" i="3"/>
  <c r="CZ349" i="3"/>
  <c r="DA349" i="3"/>
  <c r="DB349" i="3"/>
  <c r="DC349" i="3"/>
  <c r="A350" i="3"/>
  <c r="CY350" i="3"/>
  <c r="CZ350" i="3"/>
  <c r="DA350" i="3"/>
  <c r="DB350" i="3"/>
  <c r="DC350" i="3"/>
  <c r="A351" i="3"/>
  <c r="CY351" i="3"/>
  <c r="CZ351" i="3"/>
  <c r="DA351" i="3"/>
  <c r="DB351" i="3"/>
  <c r="DC351" i="3"/>
  <c r="A352" i="3"/>
  <c r="CY352" i="3"/>
  <c r="CZ352" i="3"/>
  <c r="DA352" i="3"/>
  <c r="DB352" i="3"/>
  <c r="DC352" i="3"/>
  <c r="A353" i="3"/>
  <c r="CY353" i="3"/>
  <c r="CZ353" i="3"/>
  <c r="DA353" i="3"/>
  <c r="DB353" i="3"/>
  <c r="DC353" i="3"/>
  <c r="A354" i="3"/>
  <c r="CY354" i="3"/>
  <c r="CZ354" i="3"/>
  <c r="DA354" i="3"/>
  <c r="DB354" i="3"/>
  <c r="DC354" i="3"/>
  <c r="A355" i="3"/>
  <c r="CY355" i="3"/>
  <c r="CZ355" i="3"/>
  <c r="DA355" i="3"/>
  <c r="DB355" i="3"/>
  <c r="DC355" i="3"/>
  <c r="A356" i="3"/>
  <c r="CY356" i="3"/>
  <c r="CZ356" i="3"/>
  <c r="DA356" i="3"/>
  <c r="DB356" i="3"/>
  <c r="DC356" i="3"/>
  <c r="A357" i="3"/>
  <c r="CY357" i="3"/>
  <c r="CZ357" i="3"/>
  <c r="DA357" i="3"/>
  <c r="DB357" i="3"/>
  <c r="DC357" i="3"/>
  <c r="A358" i="3"/>
  <c r="CY358" i="3"/>
  <c r="CZ358" i="3"/>
  <c r="DA358" i="3"/>
  <c r="DB358" i="3"/>
  <c r="DC358" i="3"/>
  <c r="A359" i="3"/>
  <c r="CY359" i="3"/>
  <c r="CZ359" i="3"/>
  <c r="DA359" i="3"/>
  <c r="DB359" i="3"/>
  <c r="DC359" i="3"/>
  <c r="A360" i="3"/>
  <c r="CY360" i="3"/>
  <c r="CZ360" i="3"/>
  <c r="DA360" i="3"/>
  <c r="DB360" i="3"/>
  <c r="DC360" i="3"/>
  <c r="A361" i="3"/>
  <c r="CY361" i="3"/>
  <c r="CZ361" i="3"/>
  <c r="DA361" i="3"/>
  <c r="DB361" i="3"/>
  <c r="DC361" i="3"/>
  <c r="A362" i="3"/>
  <c r="CY362" i="3"/>
  <c r="CZ362" i="3"/>
  <c r="DA362" i="3"/>
  <c r="DB362" i="3"/>
  <c r="DC362" i="3"/>
  <c r="A363" i="3"/>
  <c r="CY363" i="3"/>
  <c r="CZ363" i="3"/>
  <c r="DA363" i="3"/>
  <c r="DB363" i="3"/>
  <c r="DC363" i="3"/>
  <c r="A364" i="3"/>
  <c r="CY364" i="3"/>
  <c r="CZ364" i="3"/>
  <c r="DA364" i="3"/>
  <c r="DB364" i="3"/>
  <c r="DC364" i="3"/>
  <c r="A365" i="3"/>
  <c r="CY365" i="3"/>
  <c r="CZ365" i="3"/>
  <c r="DA365" i="3"/>
  <c r="DB365" i="3"/>
  <c r="DC365" i="3"/>
  <c r="A366" i="3"/>
  <c r="CY366" i="3"/>
  <c r="CZ366" i="3"/>
  <c r="DA366" i="3"/>
  <c r="DB366" i="3"/>
  <c r="DC366" i="3"/>
  <c r="A367" i="3"/>
  <c r="CY367" i="3"/>
  <c r="CZ367" i="3"/>
  <c r="DA367" i="3"/>
  <c r="DB367" i="3"/>
  <c r="DC367" i="3"/>
  <c r="A368" i="3"/>
  <c r="CY368" i="3"/>
  <c r="CZ368" i="3"/>
  <c r="DA368" i="3"/>
  <c r="DB368" i="3"/>
  <c r="DC368" i="3"/>
  <c r="A369" i="3"/>
  <c r="CY369" i="3"/>
  <c r="CZ369" i="3"/>
  <c r="DA369" i="3"/>
  <c r="DB369" i="3"/>
  <c r="DC369" i="3"/>
  <c r="A370" i="3"/>
  <c r="CY370" i="3"/>
  <c r="CZ370" i="3"/>
  <c r="DA370" i="3"/>
  <c r="DB370" i="3"/>
  <c r="DC370" i="3"/>
  <c r="A371" i="3"/>
  <c r="CY371" i="3"/>
  <c r="CZ371" i="3"/>
  <c r="DA371" i="3"/>
  <c r="DB371" i="3"/>
  <c r="DC371" i="3"/>
  <c r="A372" i="3"/>
  <c r="CY372" i="3"/>
  <c r="CZ372" i="3"/>
  <c r="DA372" i="3"/>
  <c r="DB372" i="3"/>
  <c r="DC372" i="3"/>
  <c r="A373" i="3"/>
  <c r="CY373" i="3"/>
  <c r="CZ373" i="3"/>
  <c r="DA373" i="3"/>
  <c r="DB373" i="3"/>
  <c r="DC373" i="3"/>
  <c r="A374" i="3"/>
  <c r="CY374" i="3"/>
  <c r="CZ374" i="3"/>
  <c r="DA374" i="3"/>
  <c r="DB374" i="3"/>
  <c r="DC374" i="3"/>
  <c r="A375" i="3"/>
  <c r="CY375" i="3"/>
  <c r="CZ375" i="3"/>
  <c r="DA375" i="3"/>
  <c r="DB375" i="3"/>
  <c r="DC375" i="3"/>
  <c r="A376" i="3"/>
  <c r="CY376" i="3"/>
  <c r="CZ376" i="3"/>
  <c r="DA376" i="3"/>
  <c r="DB376" i="3"/>
  <c r="DC376" i="3"/>
  <c r="A377" i="3"/>
  <c r="CY377" i="3"/>
  <c r="CZ377" i="3"/>
  <c r="DA377" i="3"/>
  <c r="DB377" i="3"/>
  <c r="DC377" i="3"/>
  <c r="A378" i="3"/>
  <c r="CY378" i="3"/>
  <c r="CZ378" i="3"/>
  <c r="DA378" i="3"/>
  <c r="DB378" i="3"/>
  <c r="DC378" i="3"/>
  <c r="A379" i="3"/>
  <c r="CY379" i="3"/>
  <c r="CZ379" i="3"/>
  <c r="DA379" i="3"/>
  <c r="DB379" i="3"/>
  <c r="DC379" i="3"/>
  <c r="A380" i="3"/>
  <c r="CY380" i="3"/>
  <c r="CZ380" i="3"/>
  <c r="DA380" i="3"/>
  <c r="DB380" i="3"/>
  <c r="DC380" i="3"/>
  <c r="A381" i="3"/>
  <c r="CY381" i="3"/>
  <c r="CZ381" i="3"/>
  <c r="DA381" i="3"/>
  <c r="DB381" i="3"/>
  <c r="DC381" i="3"/>
  <c r="A382" i="3"/>
  <c r="CY382" i="3"/>
  <c r="CZ382" i="3"/>
  <c r="DA382" i="3"/>
  <c r="DB382" i="3"/>
  <c r="DC382" i="3"/>
  <c r="A383" i="3"/>
  <c r="CY383" i="3"/>
  <c r="CZ383" i="3"/>
  <c r="DA383" i="3"/>
  <c r="DB383" i="3"/>
  <c r="DC383" i="3"/>
  <c r="A384" i="3"/>
  <c r="CY384" i="3"/>
  <c r="CZ384" i="3"/>
  <c r="DA384" i="3"/>
  <c r="DB384" i="3"/>
  <c r="DC384" i="3"/>
  <c r="A385" i="3"/>
  <c r="CY385" i="3"/>
  <c r="CZ385" i="3"/>
  <c r="DA385" i="3"/>
  <c r="DB385" i="3"/>
  <c r="DC385" i="3"/>
  <c r="A386" i="3"/>
  <c r="CY386" i="3"/>
  <c r="CZ386" i="3"/>
  <c r="DA386" i="3"/>
  <c r="DB386" i="3"/>
  <c r="DC386" i="3"/>
  <c r="A387" i="3"/>
  <c r="CY387" i="3"/>
  <c r="CZ387" i="3"/>
  <c r="DA387" i="3"/>
  <c r="DB387" i="3"/>
  <c r="DC387" i="3"/>
  <c r="A388" i="3"/>
  <c r="CY388" i="3"/>
  <c r="CZ388" i="3"/>
  <c r="DA388" i="3"/>
  <c r="DB388" i="3"/>
  <c r="DC388" i="3"/>
  <c r="A389" i="3"/>
  <c r="CY389" i="3"/>
  <c r="CZ389" i="3"/>
  <c r="DA389" i="3"/>
  <c r="DB389" i="3"/>
  <c r="DC389" i="3"/>
  <c r="A390" i="3"/>
  <c r="CY390" i="3"/>
  <c r="CZ390" i="3"/>
  <c r="DA390" i="3"/>
  <c r="DB390" i="3"/>
  <c r="DC390" i="3"/>
  <c r="A391" i="3"/>
  <c r="CY391" i="3"/>
  <c r="CZ391" i="3"/>
  <c r="DA391" i="3"/>
  <c r="DB391" i="3"/>
  <c r="DC391" i="3"/>
  <c r="A392" i="3"/>
  <c r="CY392" i="3"/>
  <c r="CZ392" i="3"/>
  <c r="DA392" i="3"/>
  <c r="DB392" i="3"/>
  <c r="DC392" i="3"/>
  <c r="A393" i="3"/>
  <c r="CY393" i="3"/>
  <c r="CZ393" i="3"/>
  <c r="DA393" i="3"/>
  <c r="DB393" i="3"/>
  <c r="DC393" i="3"/>
  <c r="A394" i="3"/>
  <c r="CY394" i="3"/>
  <c r="CZ394" i="3"/>
  <c r="DA394" i="3"/>
  <c r="DB394" i="3"/>
  <c r="DC394" i="3"/>
  <c r="A395" i="3"/>
  <c r="CY395" i="3"/>
  <c r="CZ395" i="3"/>
  <c r="DA395" i="3"/>
  <c r="DB395" i="3"/>
  <c r="DC395" i="3"/>
  <c r="A396" i="3"/>
  <c r="CY396" i="3"/>
  <c r="CZ396" i="3"/>
  <c r="DA396" i="3"/>
  <c r="DB396" i="3"/>
  <c r="DC396" i="3"/>
  <c r="A397" i="3"/>
  <c r="CY397" i="3"/>
  <c r="CZ397" i="3"/>
  <c r="DA397" i="3"/>
  <c r="DB397" i="3"/>
  <c r="DC397" i="3"/>
  <c r="A398" i="3"/>
  <c r="CY398" i="3"/>
  <c r="CZ398" i="3"/>
  <c r="DA398" i="3"/>
  <c r="DB398" i="3"/>
  <c r="DC398" i="3"/>
  <c r="A399" i="3"/>
  <c r="CY399" i="3"/>
  <c r="CZ399" i="3"/>
  <c r="DA399" i="3"/>
  <c r="DB399" i="3"/>
  <c r="DC399" i="3"/>
  <c r="A400" i="3"/>
  <c r="CY400" i="3"/>
  <c r="CZ400" i="3"/>
  <c r="DA400" i="3"/>
  <c r="DB400" i="3"/>
  <c r="DC400" i="3"/>
  <c r="A401" i="3"/>
  <c r="CY401" i="3"/>
  <c r="CZ401" i="3"/>
  <c r="DA401" i="3"/>
  <c r="DB401" i="3"/>
  <c r="DC401" i="3"/>
  <c r="A402" i="3"/>
  <c r="CY402" i="3"/>
  <c r="CZ402" i="3"/>
  <c r="DA402" i="3"/>
  <c r="DB402" i="3"/>
  <c r="DC402" i="3"/>
  <c r="A403" i="3"/>
  <c r="CY403" i="3"/>
  <c r="CZ403" i="3"/>
  <c r="DA403" i="3"/>
  <c r="DB403" i="3"/>
  <c r="DC403" i="3"/>
  <c r="A404" i="3"/>
  <c r="CY404" i="3"/>
  <c r="CZ404" i="3"/>
  <c r="DA404" i="3"/>
  <c r="DB404" i="3"/>
  <c r="DC404" i="3"/>
  <c r="A405" i="3"/>
  <c r="CY405" i="3"/>
  <c r="CZ405" i="3"/>
  <c r="DA405" i="3"/>
  <c r="DB405" i="3"/>
  <c r="DC405" i="3"/>
  <c r="A406" i="3"/>
  <c r="CY406" i="3"/>
  <c r="CZ406" i="3"/>
  <c r="DA406" i="3"/>
  <c r="DB406" i="3"/>
  <c r="DC406" i="3"/>
  <c r="A407" i="3"/>
  <c r="CY407" i="3"/>
  <c r="CZ407" i="3"/>
  <c r="DA407" i="3"/>
  <c r="DB407" i="3"/>
  <c r="DC407" i="3"/>
  <c r="A408" i="3"/>
  <c r="CY408" i="3"/>
  <c r="CZ408" i="3"/>
  <c r="DA408" i="3"/>
  <c r="DB408" i="3"/>
  <c r="DC408" i="3"/>
  <c r="A409" i="3"/>
  <c r="CY409" i="3"/>
  <c r="CZ409" i="3"/>
  <c r="DA409" i="3"/>
  <c r="DB409" i="3"/>
  <c r="DC409" i="3"/>
  <c r="A410" i="3"/>
  <c r="CY410" i="3"/>
  <c r="CZ410" i="3"/>
  <c r="DA410" i="3"/>
  <c r="DB410" i="3"/>
  <c r="DC410" i="3"/>
  <c r="A411" i="3"/>
  <c r="CY411" i="3"/>
  <c r="CZ411" i="3"/>
  <c r="DA411" i="3"/>
  <c r="DB411" i="3"/>
  <c r="DC411" i="3"/>
  <c r="A412" i="3"/>
  <c r="CY412" i="3"/>
  <c r="CZ412" i="3"/>
  <c r="DA412" i="3"/>
  <c r="DB412" i="3"/>
  <c r="DC412" i="3"/>
  <c r="A413" i="3"/>
  <c r="CY413" i="3"/>
  <c r="CZ413" i="3"/>
  <c r="DA413" i="3"/>
  <c r="DB413" i="3"/>
  <c r="DC413" i="3"/>
  <c r="A414" i="3"/>
  <c r="CY414" i="3"/>
  <c r="CZ414" i="3"/>
  <c r="DA414" i="3"/>
  <c r="DB414" i="3"/>
  <c r="DC414" i="3"/>
  <c r="A415" i="3"/>
  <c r="CY415" i="3"/>
  <c r="CZ415" i="3"/>
  <c r="DA415" i="3"/>
  <c r="DB415" i="3"/>
  <c r="DC415" i="3"/>
  <c r="A416" i="3"/>
  <c r="CY416" i="3"/>
  <c r="CZ416" i="3"/>
  <c r="DA416" i="3"/>
  <c r="DB416" i="3"/>
  <c r="DC416" i="3"/>
  <c r="A417" i="3"/>
  <c r="CY417" i="3"/>
  <c r="CZ417" i="3"/>
  <c r="DA417" i="3"/>
  <c r="DB417" i="3"/>
  <c r="DC417" i="3"/>
  <c r="A418" i="3"/>
  <c r="CY418" i="3"/>
  <c r="CZ418" i="3"/>
  <c r="DA418" i="3"/>
  <c r="DB418" i="3"/>
  <c r="DC418" i="3"/>
  <c r="A419" i="3"/>
  <c r="CY419" i="3"/>
  <c r="CZ419" i="3"/>
  <c r="DA419" i="3"/>
  <c r="DB419" i="3"/>
  <c r="DC419" i="3"/>
  <c r="A420" i="3"/>
  <c r="CY420" i="3"/>
  <c r="CZ420" i="3"/>
  <c r="DA420" i="3"/>
  <c r="DB420" i="3"/>
  <c r="DC420" i="3"/>
  <c r="A421" i="3"/>
  <c r="CY421" i="3"/>
  <c r="CZ421" i="3"/>
  <c r="DA421" i="3"/>
  <c r="DB421" i="3"/>
  <c r="DC421" i="3"/>
  <c r="A422" i="3"/>
  <c r="CY422" i="3"/>
  <c r="CZ422" i="3"/>
  <c r="DA422" i="3"/>
  <c r="DB422" i="3"/>
  <c r="DC422" i="3"/>
  <c r="A423" i="3"/>
  <c r="CY423" i="3"/>
  <c r="CZ423" i="3"/>
  <c r="DA423" i="3"/>
  <c r="DB423" i="3"/>
  <c r="DC423" i="3"/>
  <c r="A424" i="3"/>
  <c r="CY424" i="3"/>
  <c r="CZ424" i="3"/>
  <c r="DA424" i="3"/>
  <c r="DB424" i="3"/>
  <c r="DC424" i="3"/>
  <c r="A425" i="3"/>
  <c r="CY425" i="3"/>
  <c r="CZ425" i="3"/>
  <c r="DA425" i="3"/>
  <c r="DB425" i="3"/>
  <c r="DC425" i="3"/>
  <c r="A426" i="3"/>
  <c r="CY426" i="3"/>
  <c r="CZ426" i="3"/>
  <c r="DA426" i="3"/>
  <c r="DB426" i="3"/>
  <c r="DC426" i="3"/>
  <c r="A427" i="3"/>
  <c r="CY427" i="3"/>
  <c r="CZ427" i="3"/>
  <c r="DA427" i="3"/>
  <c r="DB427" i="3"/>
  <c r="DC427" i="3"/>
  <c r="A428" i="3"/>
  <c r="CY428" i="3"/>
  <c r="CZ428" i="3"/>
  <c r="DA428" i="3"/>
  <c r="DB428" i="3"/>
  <c r="DC428" i="3"/>
  <c r="A429" i="3"/>
  <c r="CY429" i="3"/>
  <c r="CZ429" i="3"/>
  <c r="DA429" i="3"/>
  <c r="DB429" i="3"/>
  <c r="DC429" i="3"/>
  <c r="A430" i="3"/>
  <c r="CY430" i="3"/>
  <c r="CZ430" i="3"/>
  <c r="DA430" i="3"/>
  <c r="DB430" i="3"/>
  <c r="DC430" i="3"/>
  <c r="A431" i="3"/>
  <c r="CY431" i="3"/>
  <c r="CZ431" i="3"/>
  <c r="DA431" i="3"/>
  <c r="DB431" i="3"/>
  <c r="DC431" i="3"/>
  <c r="A432" i="3"/>
  <c r="CY432" i="3"/>
  <c r="CZ432" i="3"/>
  <c r="DA432" i="3"/>
  <c r="DB432" i="3"/>
  <c r="DC432" i="3"/>
  <c r="A433" i="3"/>
  <c r="CY433" i="3"/>
  <c r="CZ433" i="3"/>
  <c r="DA433" i="3"/>
  <c r="DB433" i="3"/>
  <c r="DC433" i="3"/>
  <c r="A434" i="3"/>
  <c r="CY434" i="3"/>
  <c r="CZ434" i="3"/>
  <c r="DA434" i="3"/>
  <c r="DB434" i="3"/>
  <c r="DC434" i="3"/>
  <c r="A435" i="3"/>
  <c r="CY435" i="3"/>
  <c r="CZ435" i="3"/>
  <c r="DA435" i="3"/>
  <c r="DB435" i="3"/>
  <c r="DC435" i="3"/>
  <c r="A436" i="3"/>
  <c r="CY436" i="3"/>
  <c r="CZ436" i="3"/>
  <c r="DA436" i="3"/>
  <c r="DB436" i="3"/>
  <c r="DC436" i="3"/>
  <c r="A437" i="3"/>
  <c r="CY437" i="3"/>
  <c r="CZ437" i="3"/>
  <c r="DA437" i="3"/>
  <c r="DB437" i="3"/>
  <c r="DC437" i="3"/>
  <c r="A438" i="3"/>
  <c r="CY438" i="3"/>
  <c r="CZ438" i="3"/>
  <c r="DA438" i="3"/>
  <c r="DB438" i="3"/>
  <c r="DC438" i="3"/>
  <c r="A439" i="3"/>
  <c r="CY439" i="3"/>
  <c r="CZ439" i="3"/>
  <c r="DA439" i="3"/>
  <c r="DB439" i="3"/>
  <c r="DC439" i="3"/>
  <c r="A440" i="3"/>
  <c r="CY440" i="3"/>
  <c r="CZ440" i="3"/>
  <c r="DA440" i="3"/>
  <c r="DB440" i="3"/>
  <c r="DC440" i="3"/>
  <c r="A441" i="3"/>
  <c r="CY441" i="3"/>
  <c r="CZ441" i="3"/>
  <c r="DA441" i="3"/>
  <c r="DB441" i="3"/>
  <c r="DC441" i="3"/>
  <c r="A442" i="3"/>
  <c r="CY442" i="3"/>
  <c r="CZ442" i="3"/>
  <c r="DA442" i="3"/>
  <c r="DB442" i="3"/>
  <c r="DC442" i="3"/>
  <c r="A443" i="3"/>
  <c r="CY443" i="3"/>
  <c r="CZ443" i="3"/>
  <c r="DA443" i="3"/>
  <c r="DB443" i="3"/>
  <c r="DC443" i="3"/>
  <c r="A444" i="3"/>
  <c r="CY444" i="3"/>
  <c r="CZ444" i="3"/>
  <c r="DA444" i="3"/>
  <c r="DB444" i="3"/>
  <c r="DC444" i="3"/>
  <c r="A445" i="3"/>
  <c r="CY445" i="3"/>
  <c r="CZ445" i="3"/>
  <c r="DA445" i="3"/>
  <c r="DB445" i="3"/>
  <c r="DC445" i="3"/>
  <c r="A446" i="3"/>
  <c r="CY446" i="3"/>
  <c r="CZ446" i="3"/>
  <c r="DA446" i="3"/>
  <c r="DB446" i="3"/>
  <c r="DC446" i="3"/>
  <c r="A447" i="3"/>
  <c r="CY447" i="3"/>
  <c r="CZ447" i="3"/>
  <c r="DA447" i="3"/>
  <c r="DB447" i="3"/>
  <c r="DC447" i="3"/>
  <c r="A448" i="3"/>
  <c r="CY448" i="3"/>
  <c r="CZ448" i="3"/>
  <c r="DA448" i="3"/>
  <c r="DB448" i="3"/>
  <c r="DC448" i="3"/>
  <c r="A449" i="3"/>
  <c r="CY449" i="3"/>
  <c r="CZ449" i="3"/>
  <c r="DA449" i="3"/>
  <c r="DB449" i="3"/>
  <c r="DC449" i="3"/>
  <c r="A450" i="3"/>
  <c r="CY450" i="3"/>
  <c r="CZ450" i="3"/>
  <c r="DA450" i="3"/>
  <c r="DB450" i="3"/>
  <c r="DC450" i="3"/>
  <c r="A451" i="3"/>
  <c r="CY451" i="3"/>
  <c r="CZ451" i="3"/>
  <c r="DA451" i="3"/>
  <c r="DB451" i="3"/>
  <c r="DC451" i="3"/>
  <c r="A452" i="3"/>
  <c r="CY452" i="3"/>
  <c r="CZ452" i="3"/>
  <c r="DA452" i="3"/>
  <c r="DB452" i="3"/>
  <c r="DC452" i="3"/>
  <c r="A453" i="3"/>
  <c r="CY453" i="3"/>
  <c r="CZ453" i="3"/>
  <c r="DA453" i="3"/>
  <c r="DB453" i="3"/>
  <c r="DC453" i="3"/>
  <c r="A454" i="3"/>
  <c r="CY454" i="3"/>
  <c r="CZ454" i="3"/>
  <c r="DA454" i="3"/>
  <c r="DB454" i="3"/>
  <c r="DC454" i="3"/>
  <c r="A455" i="3"/>
  <c r="CY455" i="3"/>
  <c r="CZ455" i="3"/>
  <c r="DA455" i="3"/>
  <c r="DB455" i="3"/>
  <c r="DC455" i="3"/>
  <c r="A456" i="3"/>
  <c r="CY456" i="3"/>
  <c r="CZ456" i="3"/>
  <c r="DA456" i="3"/>
  <c r="DB456" i="3"/>
  <c r="DC456" i="3"/>
  <c r="A457" i="3"/>
  <c r="CY457" i="3"/>
  <c r="CZ457" i="3"/>
  <c r="DA457" i="3"/>
  <c r="DB457" i="3"/>
  <c r="DC457" i="3"/>
  <c r="A458" i="3"/>
  <c r="CY458" i="3"/>
  <c r="CZ458" i="3"/>
  <c r="DA458" i="3"/>
  <c r="DB458" i="3"/>
  <c r="DC458" i="3"/>
  <c r="A459" i="3"/>
  <c r="CY459" i="3"/>
  <c r="CZ459" i="3"/>
  <c r="DA459" i="3"/>
  <c r="DB459" i="3"/>
  <c r="DC459" i="3"/>
  <c r="A460" i="3"/>
  <c r="CY460" i="3"/>
  <c r="CZ460" i="3"/>
  <c r="DA460" i="3"/>
  <c r="DB460" i="3"/>
  <c r="DC460" i="3"/>
  <c r="A461" i="3"/>
  <c r="CY461" i="3"/>
  <c r="CZ461" i="3"/>
  <c r="DA461" i="3"/>
  <c r="DB461" i="3"/>
  <c r="DC461" i="3"/>
  <c r="A462" i="3"/>
  <c r="CY462" i="3"/>
  <c r="CZ462" i="3"/>
  <c r="DA462" i="3"/>
  <c r="DB462" i="3"/>
  <c r="DC462" i="3"/>
  <c r="A463" i="3"/>
  <c r="CY463" i="3"/>
  <c r="CZ463" i="3"/>
  <c r="DA463" i="3"/>
  <c r="DB463" i="3"/>
  <c r="DC463" i="3"/>
  <c r="A464" i="3"/>
  <c r="CY464" i="3"/>
  <c r="CZ464" i="3"/>
  <c r="DA464" i="3"/>
  <c r="DB464" i="3"/>
  <c r="DC464" i="3"/>
  <c r="A465" i="3"/>
  <c r="CY465" i="3"/>
  <c r="CZ465" i="3"/>
  <c r="DA465" i="3"/>
  <c r="DB465" i="3"/>
  <c r="DC465" i="3"/>
  <c r="A466" i="3"/>
  <c r="CY466" i="3"/>
  <c r="CZ466" i="3"/>
  <c r="DA466" i="3"/>
  <c r="DB466" i="3"/>
  <c r="DC466" i="3"/>
  <c r="A467" i="3"/>
  <c r="CY467" i="3"/>
  <c r="CZ467" i="3"/>
  <c r="DA467" i="3"/>
  <c r="DB467" i="3"/>
  <c r="DC467" i="3"/>
  <c r="A468" i="3"/>
  <c r="CY468" i="3"/>
  <c r="CZ468" i="3"/>
  <c r="DA468" i="3"/>
  <c r="DB468" i="3"/>
  <c r="DC468" i="3"/>
  <c r="A469" i="3"/>
  <c r="CY469" i="3"/>
  <c r="CZ469" i="3"/>
  <c r="DA469" i="3"/>
  <c r="DB469" i="3"/>
  <c r="DC469" i="3"/>
  <c r="A470" i="3"/>
  <c r="CY470" i="3"/>
  <c r="CZ470" i="3"/>
  <c r="DA470" i="3"/>
  <c r="DB470" i="3"/>
  <c r="DC470" i="3"/>
  <c r="A471" i="3"/>
  <c r="CY471" i="3"/>
  <c r="CZ471" i="3"/>
  <c r="DA471" i="3"/>
  <c r="DB471" i="3"/>
  <c r="DC471" i="3"/>
  <c r="A472" i="3"/>
  <c r="CY472" i="3"/>
  <c r="CZ472" i="3"/>
  <c r="DA472" i="3"/>
  <c r="DB472" i="3"/>
  <c r="DC472" i="3"/>
  <c r="A473" i="3"/>
  <c r="CY473" i="3"/>
  <c r="CZ473" i="3"/>
  <c r="DA473" i="3"/>
  <c r="DB473" i="3"/>
  <c r="DC473" i="3"/>
  <c r="A474" i="3"/>
  <c r="CY474" i="3"/>
  <c r="CZ474" i="3"/>
  <c r="DA474" i="3"/>
  <c r="DB474" i="3"/>
  <c r="DC474" i="3"/>
  <c r="A475" i="3"/>
  <c r="CY475" i="3"/>
  <c r="CZ475" i="3"/>
  <c r="DA475" i="3"/>
  <c r="DB475" i="3"/>
  <c r="DC475" i="3"/>
  <c r="A476" i="3"/>
  <c r="CY476" i="3"/>
  <c r="CZ476" i="3"/>
  <c r="DA476" i="3"/>
  <c r="DB476" i="3"/>
  <c r="DC476" i="3"/>
  <c r="A477" i="3"/>
  <c r="CY477" i="3"/>
  <c r="CZ477" i="3"/>
  <c r="DA477" i="3"/>
  <c r="DB477" i="3"/>
  <c r="DC477" i="3"/>
  <c r="A478" i="3"/>
  <c r="CY478" i="3"/>
  <c r="CZ478" i="3"/>
  <c r="DA478" i="3"/>
  <c r="DB478" i="3"/>
  <c r="DC478" i="3"/>
  <c r="A479" i="3"/>
  <c r="CY479" i="3"/>
  <c r="CZ479" i="3"/>
  <c r="DA479" i="3"/>
  <c r="DB479" i="3"/>
  <c r="DC479" i="3"/>
  <c r="A480" i="3"/>
  <c r="CY480" i="3"/>
  <c r="CZ480" i="3"/>
  <c r="DA480" i="3"/>
  <c r="DB480" i="3"/>
  <c r="DC480" i="3"/>
  <c r="A481" i="3"/>
  <c r="CY481" i="3"/>
  <c r="CZ481" i="3"/>
  <c r="DA481" i="3"/>
  <c r="DB481" i="3"/>
  <c r="DC481" i="3"/>
  <c r="A482" i="3"/>
  <c r="CY482" i="3"/>
  <c r="CZ482" i="3"/>
  <c r="DA482" i="3"/>
  <c r="DB482" i="3"/>
  <c r="DC482" i="3"/>
  <c r="A483" i="3"/>
  <c r="CY483" i="3"/>
  <c r="CZ483" i="3"/>
  <c r="DA483" i="3"/>
  <c r="DB483" i="3"/>
  <c r="DC483" i="3"/>
  <c r="A484" i="3"/>
  <c r="CY484" i="3"/>
  <c r="CZ484" i="3"/>
  <c r="DA484" i="3"/>
  <c r="DB484" i="3"/>
  <c r="DC484" i="3"/>
  <c r="A485" i="3"/>
  <c r="CY485" i="3"/>
  <c r="CZ485" i="3"/>
  <c r="DA485" i="3"/>
  <c r="DB485" i="3"/>
  <c r="DC485" i="3"/>
  <c r="A486" i="3"/>
  <c r="CY486" i="3"/>
  <c r="CZ486" i="3"/>
  <c r="DA486" i="3"/>
  <c r="DB486" i="3"/>
  <c r="DC486" i="3"/>
  <c r="A487" i="3"/>
  <c r="CY487" i="3"/>
  <c r="CZ487" i="3"/>
  <c r="DA487" i="3"/>
  <c r="DB487" i="3"/>
  <c r="DC487" i="3"/>
  <c r="A488" i="3"/>
  <c r="CY488" i="3"/>
  <c r="CZ488" i="3"/>
  <c r="DA488" i="3"/>
  <c r="DB488" i="3"/>
  <c r="DC488" i="3"/>
  <c r="A489" i="3"/>
  <c r="CY489" i="3"/>
  <c r="CZ489" i="3"/>
  <c r="DA489" i="3"/>
  <c r="DB489" i="3"/>
  <c r="DC489" i="3"/>
  <c r="A490" i="3"/>
  <c r="CY490" i="3"/>
  <c r="CZ490" i="3"/>
  <c r="DA490" i="3"/>
  <c r="DB490" i="3"/>
  <c r="DC490" i="3"/>
  <c r="A491" i="3"/>
  <c r="CY491" i="3"/>
  <c r="CZ491" i="3"/>
  <c r="DA491" i="3"/>
  <c r="DB491" i="3"/>
  <c r="DC491" i="3"/>
  <c r="A492" i="3"/>
  <c r="CY492" i="3"/>
  <c r="CZ492" i="3"/>
  <c r="DA492" i="3"/>
  <c r="DB492" i="3"/>
  <c r="DC492" i="3"/>
  <c r="A493" i="3"/>
  <c r="CY493" i="3"/>
  <c r="CZ493" i="3"/>
  <c r="DA493" i="3"/>
  <c r="DB493" i="3"/>
  <c r="DC493" i="3"/>
  <c r="A494" i="3"/>
  <c r="CY494" i="3"/>
  <c r="CZ494" i="3"/>
  <c r="DA494" i="3"/>
  <c r="DB494" i="3"/>
  <c r="DC494" i="3"/>
  <c r="A495" i="3"/>
  <c r="CY495" i="3"/>
  <c r="CZ495" i="3"/>
  <c r="DA495" i="3"/>
  <c r="DB495" i="3"/>
  <c r="DC495" i="3"/>
  <c r="A496" i="3"/>
  <c r="CY496" i="3"/>
  <c r="CZ496" i="3"/>
  <c r="DA496" i="3"/>
  <c r="DB496" i="3"/>
  <c r="DC496" i="3"/>
  <c r="A497" i="3"/>
  <c r="CY497" i="3"/>
  <c r="CZ497" i="3"/>
  <c r="DA497" i="3"/>
  <c r="DB497" i="3"/>
  <c r="DC497" i="3"/>
  <c r="A498" i="3"/>
  <c r="CY498" i="3"/>
  <c r="CZ498" i="3"/>
  <c r="DA498" i="3"/>
  <c r="DB498" i="3"/>
  <c r="DC498" i="3"/>
  <c r="A499" i="3"/>
  <c r="CY499" i="3"/>
  <c r="CZ499" i="3"/>
  <c r="DA499" i="3"/>
  <c r="DB499" i="3"/>
  <c r="DC499" i="3"/>
  <c r="A500" i="3"/>
  <c r="CY500" i="3"/>
  <c r="CZ500" i="3"/>
  <c r="DA500" i="3"/>
  <c r="DB500" i="3"/>
  <c r="DC500" i="3"/>
  <c r="A501" i="3"/>
  <c r="CY501" i="3"/>
  <c r="CZ501" i="3"/>
  <c r="DA501" i="3"/>
  <c r="DB501" i="3"/>
  <c r="DC501" i="3"/>
  <c r="A502" i="3"/>
  <c r="CY502" i="3"/>
  <c r="CZ502" i="3"/>
  <c r="DA502" i="3"/>
  <c r="DB502" i="3"/>
  <c r="DC502" i="3"/>
  <c r="A503" i="3"/>
  <c r="CY503" i="3"/>
  <c r="CZ503" i="3"/>
  <c r="DA503" i="3"/>
  <c r="DB503" i="3"/>
  <c r="DC503" i="3"/>
  <c r="A504" i="3"/>
  <c r="CY504" i="3"/>
  <c r="CZ504" i="3"/>
  <c r="DA504" i="3"/>
  <c r="DB504" i="3"/>
  <c r="DC504" i="3"/>
  <c r="A505" i="3"/>
  <c r="CY505" i="3"/>
  <c r="CZ505" i="3"/>
  <c r="DA505" i="3"/>
  <c r="DB505" i="3"/>
  <c r="DC505" i="3"/>
  <c r="A506" i="3"/>
  <c r="CY506" i="3"/>
  <c r="CZ506" i="3"/>
  <c r="DA506" i="3"/>
  <c r="DB506" i="3"/>
  <c r="DC506" i="3"/>
  <c r="A507" i="3"/>
  <c r="CY507" i="3"/>
  <c r="CZ507" i="3"/>
  <c r="DA507" i="3"/>
  <c r="DB507" i="3"/>
  <c r="DC507" i="3"/>
  <c r="A508" i="3"/>
  <c r="CY508" i="3"/>
  <c r="CZ508" i="3"/>
  <c r="DA508" i="3"/>
  <c r="DB508" i="3"/>
  <c r="DC508" i="3"/>
  <c r="A509" i="3"/>
  <c r="CY509" i="3"/>
  <c r="CZ509" i="3"/>
  <c r="DA509" i="3"/>
  <c r="DB509" i="3"/>
  <c r="DC509" i="3"/>
  <c r="A510" i="3"/>
  <c r="CY510" i="3"/>
  <c r="CZ510" i="3"/>
  <c r="DA510" i="3"/>
  <c r="DB510" i="3"/>
  <c r="DC510" i="3"/>
  <c r="A511" i="3"/>
  <c r="CY511" i="3"/>
  <c r="CZ511" i="3"/>
  <c r="DA511" i="3"/>
  <c r="DB511" i="3"/>
  <c r="DC511" i="3"/>
  <c r="A512" i="3"/>
  <c r="CY512" i="3"/>
  <c r="CZ512" i="3"/>
  <c r="DA512" i="3"/>
  <c r="DB512" i="3"/>
  <c r="DC512" i="3"/>
  <c r="A513" i="3"/>
  <c r="CY513" i="3"/>
  <c r="CZ513" i="3"/>
  <c r="DA513" i="3"/>
  <c r="DB513" i="3"/>
  <c r="DC513" i="3"/>
  <c r="A514" i="3"/>
  <c r="CY514" i="3"/>
  <c r="CZ514" i="3"/>
  <c r="DA514" i="3"/>
  <c r="DB514" i="3"/>
  <c r="DC514" i="3"/>
  <c r="A515" i="3"/>
  <c r="CY515" i="3"/>
  <c r="CZ515" i="3"/>
  <c r="DA515" i="3"/>
  <c r="DB515" i="3"/>
  <c r="DC515" i="3"/>
  <c r="A516" i="3"/>
  <c r="CY516" i="3"/>
  <c r="CZ516" i="3"/>
  <c r="DA516" i="3"/>
  <c r="DB516" i="3"/>
  <c r="DC516" i="3"/>
  <c r="A517" i="3"/>
  <c r="CY517" i="3"/>
  <c r="CZ517" i="3"/>
  <c r="DA517" i="3"/>
  <c r="DB517" i="3"/>
  <c r="DC517" i="3"/>
  <c r="A518" i="3"/>
  <c r="CY518" i="3"/>
  <c r="CZ518" i="3"/>
  <c r="DA518" i="3"/>
  <c r="DB518" i="3"/>
  <c r="DC518" i="3"/>
  <c r="A519" i="3"/>
  <c r="CY519" i="3"/>
  <c r="CZ519" i="3"/>
  <c r="DA519" i="3"/>
  <c r="DB519" i="3"/>
  <c r="DC519" i="3"/>
  <c r="A520" i="3"/>
  <c r="CY520" i="3"/>
  <c r="CZ520" i="3"/>
  <c r="DA520" i="3"/>
  <c r="DB520" i="3"/>
  <c r="DC520" i="3"/>
  <c r="A521" i="3"/>
  <c r="CY521" i="3"/>
  <c r="CZ521" i="3"/>
  <c r="DA521" i="3"/>
  <c r="DB521" i="3"/>
  <c r="DC521" i="3"/>
  <c r="A522" i="3"/>
  <c r="CY522" i="3"/>
  <c r="CZ522" i="3"/>
  <c r="DA522" i="3"/>
  <c r="DB522" i="3"/>
  <c r="DC522" i="3"/>
  <c r="A523" i="3"/>
  <c r="CY523" i="3"/>
  <c r="CZ523" i="3"/>
  <c r="DA523" i="3"/>
  <c r="DB523" i="3"/>
  <c r="DC523" i="3"/>
  <c r="A524" i="3"/>
  <c r="CY524" i="3"/>
  <c r="CZ524" i="3"/>
  <c r="DA524" i="3"/>
  <c r="DB524" i="3"/>
  <c r="DC524" i="3"/>
  <c r="A525" i="3"/>
  <c r="CY525" i="3"/>
  <c r="CZ525" i="3"/>
  <c r="DA525" i="3"/>
  <c r="DB525" i="3"/>
  <c r="DC525" i="3"/>
  <c r="A526" i="3"/>
  <c r="CY526" i="3"/>
  <c r="CZ526" i="3"/>
  <c r="DA526" i="3"/>
  <c r="DB526" i="3"/>
  <c r="DC526" i="3"/>
  <c r="A527" i="3"/>
  <c r="CY527" i="3"/>
  <c r="CZ527" i="3"/>
  <c r="DA527" i="3"/>
  <c r="DB527" i="3"/>
  <c r="DC527" i="3"/>
  <c r="A528" i="3"/>
  <c r="CY528" i="3"/>
  <c r="CZ528" i="3"/>
  <c r="DA528" i="3"/>
  <c r="DB528" i="3"/>
  <c r="DC528" i="3"/>
  <c r="A529" i="3"/>
  <c r="CY529" i="3"/>
  <c r="CZ529" i="3"/>
  <c r="DA529" i="3"/>
  <c r="DB529" i="3"/>
  <c r="DC529" i="3"/>
  <c r="A530" i="3"/>
  <c r="CY530" i="3"/>
  <c r="CZ530" i="3"/>
  <c r="DA530" i="3"/>
  <c r="DB530" i="3"/>
  <c r="DC530" i="3"/>
  <c r="A531" i="3"/>
  <c r="CY531" i="3"/>
  <c r="CZ531" i="3"/>
  <c r="DA531" i="3"/>
  <c r="DB531" i="3"/>
  <c r="DC531" i="3"/>
  <c r="A532" i="3"/>
  <c r="CY532" i="3"/>
  <c r="CZ532" i="3"/>
  <c r="DA532" i="3"/>
  <c r="DB532" i="3"/>
  <c r="DC532" i="3"/>
  <c r="A533" i="3"/>
  <c r="CY533" i="3"/>
  <c r="CZ533" i="3"/>
  <c r="DA533" i="3"/>
  <c r="DB533" i="3"/>
  <c r="DC533" i="3"/>
  <c r="A534" i="3"/>
  <c r="CY534" i="3"/>
  <c r="CZ534" i="3"/>
  <c r="DA534" i="3"/>
  <c r="DB534" i="3"/>
  <c r="DC534" i="3"/>
  <c r="A535" i="3"/>
  <c r="CY535" i="3"/>
  <c r="CZ535" i="3"/>
  <c r="DA535" i="3"/>
  <c r="DB535" i="3"/>
  <c r="DC535" i="3"/>
  <c r="A536" i="3"/>
  <c r="CY536" i="3"/>
  <c r="CZ536" i="3"/>
  <c r="DA536" i="3"/>
  <c r="DB536" i="3"/>
  <c r="DC536" i="3"/>
  <c r="A537" i="3"/>
  <c r="CY537" i="3"/>
  <c r="CZ537" i="3"/>
  <c r="DA537" i="3"/>
  <c r="DB537" i="3"/>
  <c r="DC537" i="3"/>
  <c r="A538" i="3"/>
  <c r="CY538" i="3"/>
  <c r="CZ538" i="3"/>
  <c r="DA538" i="3"/>
  <c r="DB538" i="3"/>
  <c r="DC538" i="3"/>
  <c r="A539" i="3"/>
  <c r="CY539" i="3"/>
  <c r="CZ539" i="3"/>
  <c r="DA539" i="3"/>
  <c r="DB539" i="3"/>
  <c r="DC539" i="3"/>
  <c r="A540" i="3"/>
  <c r="CY540" i="3"/>
  <c r="CZ540" i="3"/>
  <c r="DA540" i="3"/>
  <c r="DB540" i="3"/>
  <c r="DC540" i="3"/>
  <c r="A541" i="3"/>
  <c r="CY541" i="3"/>
  <c r="CZ541" i="3"/>
  <c r="DA541" i="3"/>
  <c r="DB541" i="3"/>
  <c r="DC541" i="3"/>
  <c r="A542" i="3"/>
  <c r="CY542" i="3"/>
  <c r="CZ542" i="3"/>
  <c r="DA542" i="3"/>
  <c r="DB542" i="3"/>
  <c r="DC542" i="3"/>
  <c r="A543" i="3"/>
  <c r="CY543" i="3"/>
  <c r="CZ543" i="3"/>
  <c r="DA543" i="3"/>
  <c r="DB543" i="3"/>
  <c r="DC543" i="3"/>
  <c r="A544" i="3"/>
  <c r="CY544" i="3"/>
  <c r="CZ544" i="3"/>
  <c r="DA544" i="3"/>
  <c r="DB544" i="3"/>
  <c r="DC544" i="3"/>
  <c r="A545" i="3"/>
  <c r="CY545" i="3"/>
  <c r="CZ545" i="3"/>
  <c r="DA545" i="3"/>
  <c r="DB545" i="3"/>
  <c r="DC545" i="3"/>
  <c r="A546" i="3"/>
  <c r="CY546" i="3"/>
  <c r="CZ546" i="3"/>
  <c r="DA546" i="3"/>
  <c r="DB546" i="3"/>
  <c r="DC546" i="3"/>
  <c r="A547" i="3"/>
  <c r="CY547" i="3"/>
  <c r="CZ547" i="3"/>
  <c r="DA547" i="3"/>
  <c r="DB547" i="3"/>
  <c r="DC547" i="3"/>
  <c r="A548" i="3"/>
  <c r="CY548" i="3"/>
  <c r="CZ548" i="3"/>
  <c r="DA548" i="3"/>
  <c r="DB548" i="3"/>
  <c r="DC548" i="3"/>
  <c r="A549" i="3"/>
  <c r="CY549" i="3"/>
  <c r="CZ549" i="3"/>
  <c r="DA549" i="3"/>
  <c r="DB549" i="3"/>
  <c r="DC549" i="3"/>
  <c r="A550" i="3"/>
  <c r="CY550" i="3"/>
  <c r="CZ550" i="3"/>
  <c r="DA550" i="3"/>
  <c r="DB550" i="3"/>
  <c r="DC550" i="3"/>
  <c r="A551" i="3"/>
  <c r="CY551" i="3"/>
  <c r="CZ551" i="3"/>
  <c r="DA551" i="3"/>
  <c r="DB551" i="3"/>
  <c r="DC551" i="3"/>
  <c r="A552" i="3"/>
  <c r="CY552" i="3"/>
  <c r="CZ552" i="3"/>
  <c r="DA552" i="3"/>
  <c r="DB552" i="3"/>
  <c r="DC552" i="3"/>
  <c r="A553" i="3"/>
  <c r="CY553" i="3"/>
  <c r="CZ553" i="3"/>
  <c r="DA553" i="3"/>
  <c r="DB553" i="3"/>
  <c r="DC553" i="3"/>
  <c r="A554" i="3"/>
  <c r="CY554" i="3"/>
  <c r="CZ554" i="3"/>
  <c r="DA554" i="3"/>
  <c r="DB554" i="3"/>
  <c r="DC554" i="3"/>
  <c r="A555" i="3"/>
  <c r="CY555" i="3"/>
  <c r="CZ555" i="3"/>
  <c r="DA555" i="3"/>
  <c r="DB555" i="3"/>
  <c r="DC555" i="3"/>
  <c r="A556" i="3"/>
  <c r="CY556" i="3"/>
  <c r="CZ556" i="3"/>
  <c r="DA556" i="3"/>
  <c r="DB556" i="3"/>
  <c r="DC556" i="3"/>
  <c r="A557" i="3"/>
  <c r="CY557" i="3"/>
  <c r="CZ557" i="3"/>
  <c r="DA557" i="3"/>
  <c r="DB557" i="3"/>
  <c r="DC557" i="3"/>
  <c r="A558" i="3"/>
  <c r="CY558" i="3"/>
  <c r="CZ558" i="3"/>
  <c r="DA558" i="3"/>
  <c r="DB558" i="3"/>
  <c r="DC558" i="3"/>
  <c r="A559" i="3"/>
  <c r="CY559" i="3"/>
  <c r="CZ559" i="3"/>
  <c r="DA559" i="3"/>
  <c r="DB559" i="3"/>
  <c r="DC559" i="3"/>
  <c r="A560" i="3"/>
  <c r="CY560" i="3"/>
  <c r="CZ560" i="3"/>
  <c r="DA560" i="3"/>
  <c r="DB560" i="3"/>
  <c r="DC560" i="3"/>
  <c r="A561" i="3"/>
  <c r="CY561" i="3"/>
  <c r="CZ561" i="3"/>
  <c r="DA561" i="3"/>
  <c r="DB561" i="3"/>
  <c r="DC561" i="3"/>
  <c r="A562" i="3"/>
  <c r="CY562" i="3"/>
  <c r="CZ562" i="3"/>
  <c r="DA562" i="3"/>
  <c r="DB562" i="3"/>
  <c r="DC562" i="3"/>
  <c r="A563" i="3"/>
  <c r="CY563" i="3"/>
  <c r="CZ563" i="3"/>
  <c r="DA563" i="3"/>
  <c r="DB563" i="3"/>
  <c r="DC563" i="3"/>
  <c r="A564" i="3"/>
  <c r="CY564" i="3"/>
  <c r="CZ564" i="3"/>
  <c r="DA564" i="3"/>
  <c r="DB564" i="3"/>
  <c r="DC564" i="3"/>
  <c r="A565" i="3"/>
  <c r="CY565" i="3"/>
  <c r="CZ565" i="3"/>
  <c r="DA565" i="3"/>
  <c r="DB565" i="3"/>
  <c r="DC565" i="3"/>
  <c r="A566" i="3"/>
  <c r="CY566" i="3"/>
  <c r="CZ566" i="3"/>
  <c r="DA566" i="3"/>
  <c r="DB566" i="3"/>
  <c r="DC566" i="3"/>
  <c r="A567" i="3"/>
  <c r="CY567" i="3"/>
  <c r="CZ567" i="3"/>
  <c r="DA567" i="3"/>
  <c r="DB567" i="3"/>
  <c r="DC567" i="3"/>
  <c r="A568" i="3"/>
  <c r="CY568" i="3"/>
  <c r="CZ568" i="3"/>
  <c r="DA568" i="3"/>
  <c r="DB568" i="3"/>
  <c r="DC568" i="3"/>
  <c r="A569" i="3"/>
  <c r="CY569" i="3"/>
  <c r="CZ569" i="3"/>
  <c r="DA569" i="3"/>
  <c r="DB569" i="3"/>
  <c r="DC569" i="3"/>
  <c r="A570" i="3"/>
  <c r="CY570" i="3"/>
  <c r="CZ570" i="3"/>
  <c r="DA570" i="3"/>
  <c r="DB570" i="3"/>
  <c r="DC570" i="3"/>
  <c r="A571" i="3"/>
  <c r="CY571" i="3"/>
  <c r="CZ571" i="3"/>
  <c r="DA571" i="3"/>
  <c r="DB571" i="3"/>
  <c r="DC571" i="3"/>
  <c r="A572" i="3"/>
  <c r="CY572" i="3"/>
  <c r="CZ572" i="3"/>
  <c r="DA572" i="3"/>
  <c r="DB572" i="3"/>
  <c r="DC572" i="3"/>
  <c r="A573" i="3"/>
  <c r="CY573" i="3"/>
  <c r="CZ573" i="3"/>
  <c r="DA573" i="3"/>
  <c r="DB573" i="3"/>
  <c r="DC573" i="3"/>
  <c r="A574" i="3"/>
  <c r="CY574" i="3"/>
  <c r="CZ574" i="3"/>
  <c r="DA574" i="3"/>
  <c r="DB574" i="3"/>
  <c r="DC574" i="3"/>
  <c r="A575" i="3"/>
  <c r="CY575" i="3"/>
  <c r="CZ575" i="3"/>
  <c r="DA575" i="3"/>
  <c r="DB575" i="3"/>
  <c r="DC575" i="3"/>
  <c r="A576" i="3"/>
  <c r="CY576" i="3"/>
  <c r="CZ576" i="3"/>
  <c r="DA576" i="3"/>
  <c r="DB576" i="3"/>
  <c r="DC576" i="3"/>
  <c r="A577" i="3"/>
  <c r="CY577" i="3"/>
  <c r="CZ577" i="3"/>
  <c r="DA577" i="3"/>
  <c r="DB577" i="3"/>
  <c r="DC577" i="3"/>
  <c r="A578" i="3"/>
  <c r="CY578" i="3"/>
  <c r="CZ578" i="3"/>
  <c r="DA578" i="3"/>
  <c r="DB578" i="3"/>
  <c r="DC578" i="3"/>
  <c r="A579" i="3"/>
  <c r="CY579" i="3"/>
  <c r="CZ579" i="3"/>
  <c r="DA579" i="3"/>
  <c r="DB579" i="3"/>
  <c r="DC579" i="3"/>
  <c r="A580" i="3"/>
  <c r="CY580" i="3"/>
  <c r="CZ580" i="3"/>
  <c r="DA580" i="3"/>
  <c r="DB580" i="3"/>
  <c r="DC580" i="3"/>
  <c r="A581" i="3"/>
  <c r="CY581" i="3"/>
  <c r="CZ581" i="3"/>
  <c r="DA581" i="3"/>
  <c r="DB581" i="3"/>
  <c r="DC581" i="3"/>
  <c r="A582" i="3"/>
  <c r="CY582" i="3"/>
  <c r="CZ582" i="3"/>
  <c r="DA582" i="3"/>
  <c r="DB582" i="3"/>
  <c r="DC582" i="3"/>
  <c r="A583" i="3"/>
  <c r="CY583" i="3"/>
  <c r="CZ583" i="3"/>
  <c r="DA583" i="3"/>
  <c r="DB583" i="3"/>
  <c r="DC583" i="3"/>
  <c r="A584" i="3"/>
  <c r="CY584" i="3"/>
  <c r="CZ584" i="3"/>
  <c r="DA584" i="3"/>
  <c r="DB584" i="3"/>
  <c r="DC584" i="3"/>
  <c r="A585" i="3"/>
  <c r="CY585" i="3"/>
  <c r="CZ585" i="3"/>
  <c r="DA585" i="3"/>
  <c r="DB585" i="3"/>
  <c r="DC585" i="3"/>
  <c r="A586" i="3"/>
  <c r="CY586" i="3"/>
  <c r="CZ586" i="3"/>
  <c r="DA586" i="3"/>
  <c r="DB586" i="3"/>
  <c r="DC586" i="3"/>
  <c r="A587" i="3"/>
  <c r="CY587" i="3"/>
  <c r="CZ587" i="3"/>
  <c r="DA587" i="3"/>
  <c r="DB587" i="3"/>
  <c r="DC587" i="3"/>
  <c r="A588" i="3"/>
  <c r="CY588" i="3"/>
  <c r="CZ588" i="3"/>
  <c r="DA588" i="3"/>
  <c r="DB588" i="3"/>
  <c r="DC588" i="3"/>
  <c r="A589" i="3"/>
  <c r="CY589" i="3"/>
  <c r="CZ589" i="3"/>
  <c r="DA589" i="3"/>
  <c r="DB589" i="3"/>
  <c r="DC589" i="3"/>
  <c r="A590" i="3"/>
  <c r="CY590" i="3"/>
  <c r="CZ590" i="3"/>
  <c r="DA590" i="3"/>
  <c r="DB590" i="3"/>
  <c r="DC590" i="3"/>
  <c r="A591" i="3"/>
  <c r="CY591" i="3"/>
  <c r="CZ591" i="3"/>
  <c r="DA591" i="3"/>
  <c r="DB591" i="3"/>
  <c r="DC591" i="3"/>
  <c r="A592" i="3"/>
  <c r="CY592" i="3"/>
  <c r="CZ592" i="3"/>
  <c r="DA592" i="3"/>
  <c r="DB592" i="3"/>
  <c r="DC592" i="3"/>
  <c r="A593" i="3"/>
  <c r="CY593" i="3"/>
  <c r="CZ593" i="3"/>
  <c r="DA593" i="3"/>
  <c r="DB593" i="3"/>
  <c r="DC593" i="3"/>
  <c r="A594" i="3"/>
  <c r="CY594" i="3"/>
  <c r="CZ594" i="3"/>
  <c r="DA594" i="3"/>
  <c r="DB594" i="3"/>
  <c r="DC594" i="3"/>
  <c r="A595" i="3"/>
  <c r="CY595" i="3"/>
  <c r="CZ595" i="3"/>
  <c r="DA595" i="3"/>
  <c r="DB595" i="3"/>
  <c r="DC595" i="3"/>
  <c r="A596" i="3"/>
  <c r="CY596" i="3"/>
  <c r="CZ596" i="3"/>
  <c r="DA596" i="3"/>
  <c r="DB596" i="3"/>
  <c r="DC596" i="3"/>
  <c r="A597" i="3"/>
  <c r="CY597" i="3"/>
  <c r="CZ597" i="3"/>
  <c r="DA597" i="3"/>
  <c r="DB597" i="3"/>
  <c r="DC597" i="3"/>
  <c r="A598" i="3"/>
  <c r="CY598" i="3"/>
  <c r="CZ598" i="3"/>
  <c r="DA598" i="3"/>
  <c r="DB598" i="3"/>
  <c r="DC598" i="3"/>
  <c r="A599" i="3"/>
  <c r="CY599" i="3"/>
  <c r="CZ599" i="3"/>
  <c r="DA599" i="3"/>
  <c r="DB599" i="3"/>
  <c r="DC599" i="3"/>
  <c r="A600" i="3"/>
  <c r="CY600" i="3"/>
  <c r="CZ600" i="3"/>
  <c r="DA600" i="3"/>
  <c r="DB600" i="3"/>
  <c r="DC600" i="3"/>
  <c r="A601" i="3"/>
  <c r="CY601" i="3"/>
  <c r="CZ601" i="3"/>
  <c r="DA601" i="3"/>
  <c r="DB601" i="3"/>
  <c r="DC601" i="3"/>
  <c r="A602" i="3"/>
  <c r="CY602" i="3"/>
  <c r="CZ602" i="3"/>
  <c r="DA602" i="3"/>
  <c r="DB602" i="3"/>
  <c r="DC602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9" i="1"/>
  <c r="D29" i="1"/>
  <c r="I29" i="1"/>
  <c r="AC29" i="1"/>
  <c r="AD29" i="1"/>
  <c r="CR29" i="1" s="1"/>
  <c r="Q29" i="1" s="1"/>
  <c r="AE29" i="1"/>
  <c r="AF29" i="1"/>
  <c r="CT29" i="1" s="1"/>
  <c r="S29" i="1" s="1"/>
  <c r="AG29" i="1"/>
  <c r="AH29" i="1"/>
  <c r="CV29" i="1" s="1"/>
  <c r="U29" i="1" s="1"/>
  <c r="AI29" i="1"/>
  <c r="AJ29" i="1"/>
  <c r="CX29" i="1" s="1"/>
  <c r="W29" i="1" s="1"/>
  <c r="CQ29" i="1"/>
  <c r="P29" i="1" s="1"/>
  <c r="CS29" i="1"/>
  <c r="R29" i="1" s="1"/>
  <c r="CU29" i="1"/>
  <c r="T29" i="1" s="1"/>
  <c r="CW29" i="1"/>
  <c r="V29" i="1" s="1"/>
  <c r="FR29" i="1"/>
  <c r="GL29" i="1"/>
  <c r="GN29" i="1"/>
  <c r="GP29" i="1"/>
  <c r="GV29" i="1"/>
  <c r="GX29" i="1"/>
  <c r="HC29" i="1"/>
  <c r="C30" i="1"/>
  <c r="D30" i="1"/>
  <c r="I30" i="1"/>
  <c r="AC30" i="1"/>
  <c r="AD30" i="1"/>
  <c r="AB30" i="1" s="1"/>
  <c r="AE30" i="1"/>
  <c r="AF30" i="1"/>
  <c r="CT30" i="1" s="1"/>
  <c r="S30" i="1" s="1"/>
  <c r="AG30" i="1"/>
  <c r="AH30" i="1"/>
  <c r="CV30" i="1" s="1"/>
  <c r="U30" i="1" s="1"/>
  <c r="AI30" i="1"/>
  <c r="AJ30" i="1"/>
  <c r="CX30" i="1" s="1"/>
  <c r="W30" i="1" s="1"/>
  <c r="CQ30" i="1"/>
  <c r="P30" i="1" s="1"/>
  <c r="CS30" i="1"/>
  <c r="R30" i="1" s="1"/>
  <c r="CU30" i="1"/>
  <c r="T30" i="1" s="1"/>
  <c r="CW30" i="1"/>
  <c r="V30" i="1" s="1"/>
  <c r="FR30" i="1"/>
  <c r="GL30" i="1"/>
  <c r="GN30" i="1"/>
  <c r="GP30" i="1"/>
  <c r="GV30" i="1"/>
  <c r="HC30" i="1"/>
  <c r="GX30" i="1" s="1"/>
  <c r="C31" i="1"/>
  <c r="D31" i="1"/>
  <c r="I31" i="1"/>
  <c r="AC31" i="1"/>
  <c r="AB31" i="1" s="1"/>
  <c r="AE31" i="1"/>
  <c r="AD31" i="1" s="1"/>
  <c r="CR31" i="1" s="1"/>
  <c r="Q31" i="1" s="1"/>
  <c r="AF31" i="1"/>
  <c r="AG31" i="1"/>
  <c r="AH31" i="1"/>
  <c r="AI31" i="1"/>
  <c r="AJ31" i="1"/>
  <c r="CQ31" i="1"/>
  <c r="P31" i="1" s="1"/>
  <c r="CS31" i="1"/>
  <c r="R31" i="1" s="1"/>
  <c r="CT31" i="1"/>
  <c r="S31" i="1" s="1"/>
  <c r="CU31" i="1"/>
  <c r="T31" i="1" s="1"/>
  <c r="CV31" i="1"/>
  <c r="U31" i="1" s="1"/>
  <c r="CW31" i="1"/>
  <c r="V31" i="1" s="1"/>
  <c r="CX31" i="1"/>
  <c r="W31" i="1" s="1"/>
  <c r="FR31" i="1"/>
  <c r="GL31" i="1"/>
  <c r="GO31" i="1"/>
  <c r="GP31" i="1"/>
  <c r="GV31" i="1"/>
  <c r="GX31" i="1"/>
  <c r="HC31" i="1"/>
  <c r="C32" i="1"/>
  <c r="D32" i="1"/>
  <c r="I32" i="1"/>
  <c r="AC32" i="1"/>
  <c r="AD32" i="1"/>
  <c r="AB32" i="1" s="1"/>
  <c r="AE32" i="1"/>
  <c r="AF32" i="1"/>
  <c r="CT32" i="1" s="1"/>
  <c r="S32" i="1" s="1"/>
  <c r="AG32" i="1"/>
  <c r="AH32" i="1"/>
  <c r="CV32" i="1" s="1"/>
  <c r="U32" i="1" s="1"/>
  <c r="AI32" i="1"/>
  <c r="AJ32" i="1"/>
  <c r="CX32" i="1" s="1"/>
  <c r="W32" i="1" s="1"/>
  <c r="CQ32" i="1"/>
  <c r="P32" i="1" s="1"/>
  <c r="CS32" i="1"/>
  <c r="R32" i="1" s="1"/>
  <c r="CU32" i="1"/>
  <c r="T32" i="1" s="1"/>
  <c r="CW32" i="1"/>
  <c r="V32" i="1" s="1"/>
  <c r="FR32" i="1"/>
  <c r="GL32" i="1"/>
  <c r="GO32" i="1"/>
  <c r="GP32" i="1"/>
  <c r="GV32" i="1"/>
  <c r="HC32" i="1"/>
  <c r="GX32" i="1" s="1"/>
  <c r="C33" i="1"/>
  <c r="D33" i="1"/>
  <c r="I33" i="1"/>
  <c r="AC33" i="1"/>
  <c r="AE33" i="1"/>
  <c r="AD33" i="1" s="1"/>
  <c r="CR33" i="1" s="1"/>
  <c r="Q33" i="1" s="1"/>
  <c r="AF33" i="1"/>
  <c r="AG33" i="1"/>
  <c r="AH33" i="1"/>
  <c r="AI33" i="1"/>
  <c r="AJ33" i="1"/>
  <c r="CQ33" i="1"/>
  <c r="P33" i="1" s="1"/>
  <c r="CS33" i="1"/>
  <c r="R33" i="1" s="1"/>
  <c r="CT33" i="1"/>
  <c r="S33" i="1" s="1"/>
  <c r="CU33" i="1"/>
  <c r="T33" i="1" s="1"/>
  <c r="CV33" i="1"/>
  <c r="U33" i="1" s="1"/>
  <c r="CW33" i="1"/>
  <c r="V33" i="1" s="1"/>
  <c r="CX33" i="1"/>
  <c r="W33" i="1" s="1"/>
  <c r="FR33" i="1"/>
  <c r="GL33" i="1"/>
  <c r="GO33" i="1"/>
  <c r="GP33" i="1"/>
  <c r="GV33" i="1"/>
  <c r="HC33" i="1"/>
  <c r="GX33" i="1" s="1"/>
  <c r="C34" i="1"/>
  <c r="D34" i="1"/>
  <c r="I34" i="1"/>
  <c r="AC34" i="1"/>
  <c r="AE34" i="1"/>
  <c r="AD34" i="1" s="1"/>
  <c r="AF34" i="1"/>
  <c r="AG34" i="1"/>
  <c r="AH34" i="1"/>
  <c r="AI34" i="1"/>
  <c r="AJ34" i="1"/>
  <c r="CQ34" i="1"/>
  <c r="P34" i="1" s="1"/>
  <c r="CS34" i="1"/>
  <c r="R34" i="1" s="1"/>
  <c r="CT34" i="1"/>
  <c r="S34" i="1" s="1"/>
  <c r="CU34" i="1"/>
  <c r="T34" i="1" s="1"/>
  <c r="CV34" i="1"/>
  <c r="U34" i="1" s="1"/>
  <c r="CW34" i="1"/>
  <c r="V34" i="1" s="1"/>
  <c r="CX34" i="1"/>
  <c r="W34" i="1" s="1"/>
  <c r="FR34" i="1"/>
  <c r="GL34" i="1"/>
  <c r="GO34" i="1"/>
  <c r="GP34" i="1"/>
  <c r="GV34" i="1"/>
  <c r="HC34" i="1"/>
  <c r="GX34" i="1" s="1"/>
  <c r="C35" i="1"/>
  <c r="D35" i="1"/>
  <c r="I35" i="1"/>
  <c r="AC35" i="1"/>
  <c r="AE35" i="1"/>
  <c r="AD35" i="1" s="1"/>
  <c r="CR35" i="1" s="1"/>
  <c r="Q35" i="1" s="1"/>
  <c r="AF35" i="1"/>
  <c r="AG35" i="1"/>
  <c r="AH35" i="1"/>
  <c r="AI35" i="1"/>
  <c r="AJ35" i="1"/>
  <c r="CX35" i="1" s="1"/>
  <c r="W35" i="1" s="1"/>
  <c r="CQ35" i="1"/>
  <c r="P35" i="1" s="1"/>
  <c r="CS35" i="1"/>
  <c r="R35" i="1" s="1"/>
  <c r="CT35" i="1"/>
  <c r="S35" i="1" s="1"/>
  <c r="CU35" i="1"/>
  <c r="T35" i="1" s="1"/>
  <c r="CV35" i="1"/>
  <c r="U35" i="1" s="1"/>
  <c r="CW35" i="1"/>
  <c r="V35" i="1" s="1"/>
  <c r="FR35" i="1"/>
  <c r="GL35" i="1"/>
  <c r="GO35" i="1"/>
  <c r="GP35" i="1"/>
  <c r="GV35" i="1"/>
  <c r="HC35" i="1"/>
  <c r="GX35" i="1" s="1"/>
  <c r="I36" i="1"/>
  <c r="AC36" i="1"/>
  <c r="AE36" i="1"/>
  <c r="AD36" i="1" s="1"/>
  <c r="CR36" i="1" s="1"/>
  <c r="Q36" i="1" s="1"/>
  <c r="AF36" i="1"/>
  <c r="AG36" i="1"/>
  <c r="AH36" i="1"/>
  <c r="AI36" i="1"/>
  <c r="AJ36" i="1"/>
  <c r="CQ36" i="1"/>
  <c r="P36" i="1" s="1"/>
  <c r="CS36" i="1"/>
  <c r="R36" i="1" s="1"/>
  <c r="CT36" i="1"/>
  <c r="S36" i="1" s="1"/>
  <c r="CU36" i="1"/>
  <c r="T36" i="1" s="1"/>
  <c r="CV36" i="1"/>
  <c r="U36" i="1" s="1"/>
  <c r="CW36" i="1"/>
  <c r="V36" i="1" s="1"/>
  <c r="CX36" i="1"/>
  <c r="W36" i="1" s="1"/>
  <c r="FR36" i="1"/>
  <c r="GL36" i="1"/>
  <c r="GO36" i="1"/>
  <c r="GP36" i="1"/>
  <c r="GV36" i="1"/>
  <c r="GX36" i="1"/>
  <c r="HC36" i="1"/>
  <c r="C37" i="1"/>
  <c r="D37" i="1"/>
  <c r="I37" i="1"/>
  <c r="AC37" i="1"/>
  <c r="AD37" i="1"/>
  <c r="CR37" i="1" s="1"/>
  <c r="Q37" i="1" s="1"/>
  <c r="AE37" i="1"/>
  <c r="AF37" i="1"/>
  <c r="CT37" i="1" s="1"/>
  <c r="S37" i="1" s="1"/>
  <c r="AG37" i="1"/>
  <c r="AH37" i="1"/>
  <c r="CV37" i="1" s="1"/>
  <c r="U37" i="1" s="1"/>
  <c r="AI37" i="1"/>
  <c r="AJ37" i="1"/>
  <c r="CX37" i="1" s="1"/>
  <c r="W37" i="1" s="1"/>
  <c r="CQ37" i="1"/>
  <c r="P37" i="1" s="1"/>
  <c r="CS37" i="1"/>
  <c r="R37" i="1" s="1"/>
  <c r="CU37" i="1"/>
  <c r="T37" i="1" s="1"/>
  <c r="CW37" i="1"/>
  <c r="V37" i="1" s="1"/>
  <c r="FR37" i="1"/>
  <c r="GL37" i="1"/>
  <c r="GO37" i="1"/>
  <c r="GP37" i="1"/>
  <c r="GV37" i="1"/>
  <c r="HC37" i="1"/>
  <c r="GX37" i="1" s="1"/>
  <c r="C38" i="1"/>
  <c r="D38" i="1"/>
  <c r="I38" i="1"/>
  <c r="AC38" i="1"/>
  <c r="AB38" i="1" s="1"/>
  <c r="AE38" i="1"/>
  <c r="AD38" i="1" s="1"/>
  <c r="CR38" i="1" s="1"/>
  <c r="Q38" i="1" s="1"/>
  <c r="AF38" i="1"/>
  <c r="AG38" i="1"/>
  <c r="AH38" i="1"/>
  <c r="AI38" i="1"/>
  <c r="AJ38" i="1"/>
  <c r="CQ38" i="1"/>
  <c r="P38" i="1" s="1"/>
  <c r="CS38" i="1"/>
  <c r="R38" i="1" s="1"/>
  <c r="CT38" i="1"/>
  <c r="S38" i="1" s="1"/>
  <c r="CU38" i="1"/>
  <c r="T38" i="1" s="1"/>
  <c r="CV38" i="1"/>
  <c r="U38" i="1" s="1"/>
  <c r="CW38" i="1"/>
  <c r="V38" i="1" s="1"/>
  <c r="CX38" i="1"/>
  <c r="W38" i="1" s="1"/>
  <c r="FR38" i="1"/>
  <c r="GL38" i="1"/>
  <c r="GO38" i="1"/>
  <c r="GP38" i="1"/>
  <c r="GV38" i="1"/>
  <c r="GX38" i="1"/>
  <c r="HC38" i="1"/>
  <c r="I39" i="1"/>
  <c r="AC39" i="1"/>
  <c r="AB39" i="1" s="1"/>
  <c r="AE39" i="1"/>
  <c r="AD39" i="1" s="1"/>
  <c r="CR39" i="1" s="1"/>
  <c r="Q39" i="1" s="1"/>
  <c r="AF39" i="1"/>
  <c r="AG39" i="1"/>
  <c r="AH39" i="1"/>
  <c r="AI39" i="1"/>
  <c r="AJ39" i="1"/>
  <c r="CQ39" i="1"/>
  <c r="P39" i="1" s="1"/>
  <c r="CS39" i="1"/>
  <c r="R39" i="1" s="1"/>
  <c r="CT39" i="1"/>
  <c r="S39" i="1" s="1"/>
  <c r="CU39" i="1"/>
  <c r="T39" i="1" s="1"/>
  <c r="CV39" i="1"/>
  <c r="U39" i="1" s="1"/>
  <c r="CW39" i="1"/>
  <c r="V39" i="1" s="1"/>
  <c r="CX39" i="1"/>
  <c r="W39" i="1" s="1"/>
  <c r="FR39" i="1"/>
  <c r="GL39" i="1"/>
  <c r="GO39" i="1"/>
  <c r="GP39" i="1"/>
  <c r="GV39" i="1"/>
  <c r="GX39" i="1"/>
  <c r="HC39" i="1"/>
  <c r="C40" i="1"/>
  <c r="D40" i="1"/>
  <c r="I40" i="1"/>
  <c r="AC40" i="1"/>
  <c r="AD40" i="1"/>
  <c r="AB40" i="1" s="1"/>
  <c r="AE40" i="1"/>
  <c r="AF40" i="1"/>
  <c r="CT40" i="1" s="1"/>
  <c r="S40" i="1" s="1"/>
  <c r="AG40" i="1"/>
  <c r="AH40" i="1"/>
  <c r="CV40" i="1" s="1"/>
  <c r="U40" i="1" s="1"/>
  <c r="AI40" i="1"/>
  <c r="AJ40" i="1"/>
  <c r="CX40" i="1" s="1"/>
  <c r="W40" i="1" s="1"/>
  <c r="CQ40" i="1"/>
  <c r="P40" i="1" s="1"/>
  <c r="CP40" i="1" s="1"/>
  <c r="O40" i="1" s="1"/>
  <c r="CR40" i="1"/>
  <c r="Q40" i="1" s="1"/>
  <c r="CS40" i="1"/>
  <c r="R40" i="1" s="1"/>
  <c r="CU40" i="1"/>
  <c r="T40" i="1" s="1"/>
  <c r="CW40" i="1"/>
  <c r="V40" i="1" s="1"/>
  <c r="FR40" i="1"/>
  <c r="GL40" i="1"/>
  <c r="GO40" i="1"/>
  <c r="GP40" i="1"/>
  <c r="GV40" i="1"/>
  <c r="HC40" i="1"/>
  <c r="GX40" i="1" s="1"/>
  <c r="I41" i="1"/>
  <c r="AC41" i="1"/>
  <c r="AB41" i="1" s="1"/>
  <c r="AE41" i="1"/>
  <c r="AD41" i="1" s="1"/>
  <c r="CR41" i="1" s="1"/>
  <c r="Q41" i="1" s="1"/>
  <c r="AF41" i="1"/>
  <c r="AG41" i="1"/>
  <c r="AH41" i="1"/>
  <c r="AI41" i="1"/>
  <c r="AJ41" i="1"/>
  <c r="CQ41" i="1"/>
  <c r="P41" i="1" s="1"/>
  <c r="CS41" i="1"/>
  <c r="R41" i="1" s="1"/>
  <c r="CT41" i="1"/>
  <c r="S41" i="1" s="1"/>
  <c r="CU41" i="1"/>
  <c r="T41" i="1" s="1"/>
  <c r="CV41" i="1"/>
  <c r="U41" i="1" s="1"/>
  <c r="CW41" i="1"/>
  <c r="V41" i="1" s="1"/>
  <c r="CX41" i="1"/>
  <c r="W41" i="1" s="1"/>
  <c r="FR41" i="1"/>
  <c r="GL41" i="1"/>
  <c r="GO41" i="1"/>
  <c r="GP41" i="1"/>
  <c r="GV41" i="1"/>
  <c r="GX41" i="1"/>
  <c r="HC41" i="1"/>
  <c r="C42" i="1"/>
  <c r="D42" i="1"/>
  <c r="I42" i="1"/>
  <c r="CX46" i="3" s="1"/>
  <c r="AC42" i="1"/>
  <c r="AD42" i="1"/>
  <c r="AB42" i="1" s="1"/>
  <c r="AE42" i="1"/>
  <c r="AF42" i="1"/>
  <c r="CT42" i="1" s="1"/>
  <c r="S42" i="1" s="1"/>
  <c r="AG42" i="1"/>
  <c r="AH42" i="1"/>
  <c r="CV42" i="1" s="1"/>
  <c r="U42" i="1" s="1"/>
  <c r="AI42" i="1"/>
  <c r="AJ42" i="1"/>
  <c r="CX42" i="1" s="1"/>
  <c r="W42" i="1" s="1"/>
  <c r="CQ42" i="1"/>
  <c r="P42" i="1" s="1"/>
  <c r="CS42" i="1"/>
  <c r="R42" i="1" s="1"/>
  <c r="CU42" i="1"/>
  <c r="T42" i="1" s="1"/>
  <c r="CW42" i="1"/>
  <c r="V42" i="1" s="1"/>
  <c r="FR42" i="1"/>
  <c r="GL42" i="1"/>
  <c r="GO42" i="1"/>
  <c r="GP42" i="1"/>
  <c r="GV42" i="1"/>
  <c r="HC42" i="1"/>
  <c r="GX42" i="1" s="1"/>
  <c r="C43" i="1"/>
  <c r="D43" i="1"/>
  <c r="I43" i="1"/>
  <c r="AC43" i="1"/>
  <c r="AE43" i="1"/>
  <c r="AD43" i="1" s="1"/>
  <c r="CR43" i="1" s="1"/>
  <c r="Q43" i="1" s="1"/>
  <c r="AF43" i="1"/>
  <c r="AG43" i="1"/>
  <c r="CU43" i="1" s="1"/>
  <c r="T43" i="1" s="1"/>
  <c r="AH43" i="1"/>
  <c r="AI43" i="1"/>
  <c r="CW43" i="1" s="1"/>
  <c r="V43" i="1" s="1"/>
  <c r="AJ43" i="1"/>
  <c r="CT43" i="1"/>
  <c r="S43" i="1" s="1"/>
  <c r="CV43" i="1"/>
  <c r="U43" i="1" s="1"/>
  <c r="CX43" i="1"/>
  <c r="W43" i="1" s="1"/>
  <c r="FR43" i="1"/>
  <c r="GL43" i="1"/>
  <c r="GO43" i="1"/>
  <c r="GP43" i="1"/>
  <c r="GV43" i="1"/>
  <c r="GX43" i="1"/>
  <c r="HC43" i="1"/>
  <c r="C44" i="1"/>
  <c r="D44" i="1"/>
  <c r="I44" i="1"/>
  <c r="AC44" i="1"/>
  <c r="AD44" i="1"/>
  <c r="AB44" i="1" s="1"/>
  <c r="AE44" i="1"/>
  <c r="AF44" i="1"/>
  <c r="CT44" i="1" s="1"/>
  <c r="S44" i="1" s="1"/>
  <c r="AG44" i="1"/>
  <c r="AH44" i="1"/>
  <c r="CV44" i="1" s="1"/>
  <c r="U44" i="1" s="1"/>
  <c r="AI44" i="1"/>
  <c r="AJ44" i="1"/>
  <c r="CX44" i="1" s="1"/>
  <c r="W44" i="1" s="1"/>
  <c r="CQ44" i="1"/>
  <c r="P44" i="1" s="1"/>
  <c r="CS44" i="1"/>
  <c r="R44" i="1" s="1"/>
  <c r="CU44" i="1"/>
  <c r="T44" i="1" s="1"/>
  <c r="CW44" i="1"/>
  <c r="V44" i="1" s="1"/>
  <c r="FR44" i="1"/>
  <c r="GL44" i="1"/>
  <c r="GO44" i="1"/>
  <c r="GP44" i="1"/>
  <c r="GV44" i="1"/>
  <c r="HC44" i="1"/>
  <c r="GX44" i="1" s="1"/>
  <c r="C45" i="1"/>
  <c r="D45" i="1"/>
  <c r="I45" i="1"/>
  <c r="AC45" i="1"/>
  <c r="AB45" i="1" s="1"/>
  <c r="AE45" i="1"/>
  <c r="AD45" i="1" s="1"/>
  <c r="CR45" i="1" s="1"/>
  <c r="Q45" i="1" s="1"/>
  <c r="AF45" i="1"/>
  <c r="AG45" i="1"/>
  <c r="CU45" i="1" s="1"/>
  <c r="T45" i="1" s="1"/>
  <c r="AH45" i="1"/>
  <c r="AI45" i="1"/>
  <c r="CW45" i="1" s="1"/>
  <c r="V45" i="1" s="1"/>
  <c r="AJ45" i="1"/>
  <c r="CT45" i="1"/>
  <c r="S45" i="1" s="1"/>
  <c r="CV45" i="1"/>
  <c r="U45" i="1" s="1"/>
  <c r="CX45" i="1"/>
  <c r="W45" i="1" s="1"/>
  <c r="FR45" i="1"/>
  <c r="GL45" i="1"/>
  <c r="GO45" i="1"/>
  <c r="GP45" i="1"/>
  <c r="GV45" i="1"/>
  <c r="GX45" i="1"/>
  <c r="HC45" i="1"/>
  <c r="C46" i="1"/>
  <c r="D46" i="1"/>
  <c r="I46" i="1"/>
  <c r="CX76" i="3" s="1"/>
  <c r="AC46" i="1"/>
  <c r="AD46" i="1"/>
  <c r="AB46" i="1" s="1"/>
  <c r="AE46" i="1"/>
  <c r="AF46" i="1"/>
  <c r="CT46" i="1" s="1"/>
  <c r="S46" i="1" s="1"/>
  <c r="AG46" i="1"/>
  <c r="AH46" i="1"/>
  <c r="CV46" i="1" s="1"/>
  <c r="U46" i="1" s="1"/>
  <c r="AI46" i="1"/>
  <c r="AJ46" i="1"/>
  <c r="CX46" i="1" s="1"/>
  <c r="W46" i="1" s="1"/>
  <c r="CQ46" i="1"/>
  <c r="P46" i="1" s="1"/>
  <c r="CS46" i="1"/>
  <c r="R46" i="1" s="1"/>
  <c r="CU46" i="1"/>
  <c r="T46" i="1" s="1"/>
  <c r="CW46" i="1"/>
  <c r="V46" i="1" s="1"/>
  <c r="FR46" i="1"/>
  <c r="GL46" i="1"/>
  <c r="GO46" i="1"/>
  <c r="GP46" i="1"/>
  <c r="GV46" i="1"/>
  <c r="HC46" i="1"/>
  <c r="GX46" i="1" s="1"/>
  <c r="C47" i="1"/>
  <c r="D47" i="1"/>
  <c r="I47" i="1"/>
  <c r="AC47" i="1"/>
  <c r="AE47" i="1"/>
  <c r="AD47" i="1" s="1"/>
  <c r="CR47" i="1" s="1"/>
  <c r="Q47" i="1" s="1"/>
  <c r="AF47" i="1"/>
  <c r="AG47" i="1"/>
  <c r="CU47" i="1" s="1"/>
  <c r="T47" i="1" s="1"/>
  <c r="AH47" i="1"/>
  <c r="AI47" i="1"/>
  <c r="CW47" i="1" s="1"/>
  <c r="V47" i="1" s="1"/>
  <c r="AJ47" i="1"/>
  <c r="CT47" i="1"/>
  <c r="S47" i="1" s="1"/>
  <c r="CV47" i="1"/>
  <c r="U47" i="1" s="1"/>
  <c r="CX47" i="1"/>
  <c r="W47" i="1" s="1"/>
  <c r="FR47" i="1"/>
  <c r="GL47" i="1"/>
  <c r="GO47" i="1"/>
  <c r="GP47" i="1"/>
  <c r="GV47" i="1"/>
  <c r="GX47" i="1"/>
  <c r="HC47" i="1"/>
  <c r="C48" i="1"/>
  <c r="D48" i="1"/>
  <c r="I48" i="1"/>
  <c r="AC48" i="1"/>
  <c r="AD48" i="1"/>
  <c r="AB48" i="1" s="1"/>
  <c r="AE48" i="1"/>
  <c r="AF48" i="1"/>
  <c r="CT48" i="1" s="1"/>
  <c r="S48" i="1" s="1"/>
  <c r="AG48" i="1"/>
  <c r="AH48" i="1"/>
  <c r="CV48" i="1" s="1"/>
  <c r="U48" i="1" s="1"/>
  <c r="AI48" i="1"/>
  <c r="AJ48" i="1"/>
  <c r="CX48" i="1" s="1"/>
  <c r="W48" i="1" s="1"/>
  <c r="CQ48" i="1"/>
  <c r="P48" i="1" s="1"/>
  <c r="CS48" i="1"/>
  <c r="R48" i="1" s="1"/>
  <c r="CU48" i="1"/>
  <c r="T48" i="1" s="1"/>
  <c r="CW48" i="1"/>
  <c r="V48" i="1" s="1"/>
  <c r="FR48" i="1"/>
  <c r="GL48" i="1"/>
  <c r="GO48" i="1"/>
  <c r="GP48" i="1"/>
  <c r="GV48" i="1"/>
  <c r="HC48" i="1"/>
  <c r="GX48" i="1" s="1"/>
  <c r="C49" i="1"/>
  <c r="D49" i="1"/>
  <c r="I49" i="1"/>
  <c r="AC49" i="1"/>
  <c r="AB49" i="1" s="1"/>
  <c r="AE49" i="1"/>
  <c r="AD49" i="1" s="1"/>
  <c r="CR49" i="1" s="1"/>
  <c r="Q49" i="1" s="1"/>
  <c r="AF49" i="1"/>
  <c r="AG49" i="1"/>
  <c r="CU49" i="1" s="1"/>
  <c r="T49" i="1" s="1"/>
  <c r="AH49" i="1"/>
  <c r="AI49" i="1"/>
  <c r="CW49" i="1" s="1"/>
  <c r="V49" i="1" s="1"/>
  <c r="AJ49" i="1"/>
  <c r="CT49" i="1"/>
  <c r="S49" i="1" s="1"/>
  <c r="CV49" i="1"/>
  <c r="U49" i="1" s="1"/>
  <c r="CX49" i="1"/>
  <c r="W49" i="1" s="1"/>
  <c r="FR49" i="1"/>
  <c r="GL49" i="1"/>
  <c r="GO49" i="1"/>
  <c r="GP49" i="1"/>
  <c r="GV49" i="1"/>
  <c r="GX49" i="1"/>
  <c r="HC49" i="1"/>
  <c r="C50" i="1"/>
  <c r="D50" i="1"/>
  <c r="I50" i="1"/>
  <c r="AC50" i="1"/>
  <c r="AD50" i="1"/>
  <c r="AB50" i="1" s="1"/>
  <c r="AE50" i="1"/>
  <c r="AF50" i="1"/>
  <c r="CT50" i="1" s="1"/>
  <c r="S50" i="1" s="1"/>
  <c r="AG50" i="1"/>
  <c r="AH50" i="1"/>
  <c r="CV50" i="1" s="1"/>
  <c r="U50" i="1" s="1"/>
  <c r="AI50" i="1"/>
  <c r="AJ50" i="1"/>
  <c r="CX50" i="1" s="1"/>
  <c r="W50" i="1" s="1"/>
  <c r="CQ50" i="1"/>
  <c r="P50" i="1" s="1"/>
  <c r="CS50" i="1"/>
  <c r="R50" i="1" s="1"/>
  <c r="CU50" i="1"/>
  <c r="T50" i="1" s="1"/>
  <c r="CW50" i="1"/>
  <c r="V50" i="1" s="1"/>
  <c r="FR50" i="1"/>
  <c r="GL50" i="1"/>
  <c r="GO50" i="1"/>
  <c r="GP50" i="1"/>
  <c r="GV50" i="1"/>
  <c r="HC50" i="1"/>
  <c r="GX50" i="1" s="1"/>
  <c r="C52" i="1"/>
  <c r="D52" i="1"/>
  <c r="I52" i="1"/>
  <c r="CX111" i="3" s="1"/>
  <c r="AC52" i="1"/>
  <c r="AE52" i="1"/>
  <c r="AD52" i="1" s="1"/>
  <c r="CR52" i="1" s="1"/>
  <c r="Q52" i="1" s="1"/>
  <c r="AF52" i="1"/>
  <c r="AG52" i="1"/>
  <c r="CU52" i="1" s="1"/>
  <c r="T52" i="1" s="1"/>
  <c r="AH52" i="1"/>
  <c r="AI52" i="1"/>
  <c r="CW52" i="1" s="1"/>
  <c r="V52" i="1" s="1"/>
  <c r="AJ52" i="1"/>
  <c r="CT52" i="1"/>
  <c r="S52" i="1" s="1"/>
  <c r="CV52" i="1"/>
  <c r="U52" i="1" s="1"/>
  <c r="CX52" i="1"/>
  <c r="W52" i="1" s="1"/>
  <c r="FR52" i="1"/>
  <c r="GL52" i="1"/>
  <c r="GO52" i="1"/>
  <c r="GP52" i="1"/>
  <c r="GV52" i="1"/>
  <c r="GX52" i="1"/>
  <c r="HC52" i="1"/>
  <c r="C53" i="1"/>
  <c r="D53" i="1"/>
  <c r="I53" i="1"/>
  <c r="I54" i="1" s="1"/>
  <c r="GX54" i="1" s="1"/>
  <c r="AC53" i="1"/>
  <c r="AD53" i="1"/>
  <c r="AB53" i="1" s="1"/>
  <c r="AE53" i="1"/>
  <c r="AF53" i="1"/>
  <c r="CT53" i="1" s="1"/>
  <c r="S53" i="1" s="1"/>
  <c r="AG53" i="1"/>
  <c r="AH53" i="1"/>
  <c r="CV53" i="1" s="1"/>
  <c r="U53" i="1" s="1"/>
  <c r="AI53" i="1"/>
  <c r="AJ53" i="1"/>
  <c r="CX53" i="1" s="1"/>
  <c r="W53" i="1" s="1"/>
  <c r="CQ53" i="1"/>
  <c r="P53" i="1" s="1"/>
  <c r="CS53" i="1"/>
  <c r="R53" i="1" s="1"/>
  <c r="CU53" i="1"/>
  <c r="T53" i="1" s="1"/>
  <c r="CW53" i="1"/>
  <c r="V53" i="1" s="1"/>
  <c r="FR53" i="1"/>
  <c r="GL53" i="1"/>
  <c r="GO53" i="1"/>
  <c r="GP53" i="1"/>
  <c r="GV53" i="1"/>
  <c r="HC53" i="1"/>
  <c r="GX53" i="1" s="1"/>
  <c r="AC54" i="1"/>
  <c r="AE54" i="1"/>
  <c r="AD54" i="1" s="1"/>
  <c r="CR54" i="1" s="1"/>
  <c r="Q54" i="1" s="1"/>
  <c r="AF54" i="1"/>
  <c r="AG54" i="1"/>
  <c r="CU54" i="1" s="1"/>
  <c r="T54" i="1" s="1"/>
  <c r="AH54" i="1"/>
  <c r="AI54" i="1"/>
  <c r="CW54" i="1" s="1"/>
  <c r="V54" i="1" s="1"/>
  <c r="AJ54" i="1"/>
  <c r="CT54" i="1"/>
  <c r="S54" i="1" s="1"/>
  <c r="CV54" i="1"/>
  <c r="CX54" i="1"/>
  <c r="W54" i="1" s="1"/>
  <c r="FR54" i="1"/>
  <c r="GL54" i="1"/>
  <c r="GO54" i="1"/>
  <c r="GP54" i="1"/>
  <c r="GV54" i="1"/>
  <c r="HC54" i="1"/>
  <c r="C55" i="1"/>
  <c r="D55" i="1"/>
  <c r="I55" i="1"/>
  <c r="I56" i="1" s="1"/>
  <c r="AC55" i="1"/>
  <c r="AD55" i="1"/>
  <c r="AE55" i="1"/>
  <c r="AF55" i="1"/>
  <c r="CT55" i="1" s="1"/>
  <c r="S55" i="1" s="1"/>
  <c r="AG55" i="1"/>
  <c r="AH55" i="1"/>
  <c r="CV55" i="1" s="1"/>
  <c r="U55" i="1" s="1"/>
  <c r="AI55" i="1"/>
  <c r="AJ55" i="1"/>
  <c r="CX55" i="1" s="1"/>
  <c r="W55" i="1" s="1"/>
  <c r="CQ55" i="1"/>
  <c r="P55" i="1" s="1"/>
  <c r="CS55" i="1"/>
  <c r="R55" i="1" s="1"/>
  <c r="CU55" i="1"/>
  <c r="T55" i="1" s="1"/>
  <c r="CW55" i="1"/>
  <c r="V55" i="1" s="1"/>
  <c r="CY55" i="1"/>
  <c r="X55" i="1" s="1"/>
  <c r="FR55" i="1"/>
  <c r="GL55" i="1"/>
  <c r="GO55" i="1"/>
  <c r="GP55" i="1"/>
  <c r="GV55" i="1"/>
  <c r="HC55" i="1" s="1"/>
  <c r="GX55" i="1" s="1"/>
  <c r="W56" i="1"/>
  <c r="AC56" i="1"/>
  <c r="AE56" i="1"/>
  <c r="AF56" i="1"/>
  <c r="AG56" i="1"/>
  <c r="CU56" i="1" s="1"/>
  <c r="T56" i="1" s="1"/>
  <c r="AH56" i="1"/>
  <c r="AI56" i="1"/>
  <c r="CW56" i="1" s="1"/>
  <c r="V56" i="1" s="1"/>
  <c r="AJ56" i="1"/>
  <c r="CT56" i="1"/>
  <c r="S56" i="1" s="1"/>
  <c r="CV56" i="1"/>
  <c r="U56" i="1" s="1"/>
  <c r="CX56" i="1"/>
  <c r="FR56" i="1"/>
  <c r="GL56" i="1"/>
  <c r="GO56" i="1"/>
  <c r="GP56" i="1"/>
  <c r="GV56" i="1"/>
  <c r="GX56" i="1"/>
  <c r="HC56" i="1"/>
  <c r="I57" i="1"/>
  <c r="AC57" i="1"/>
  <c r="AD57" i="1"/>
  <c r="CR57" i="1" s="1"/>
  <c r="Q57" i="1" s="1"/>
  <c r="AE57" i="1"/>
  <c r="AF57" i="1"/>
  <c r="CT57" i="1" s="1"/>
  <c r="S57" i="1" s="1"/>
  <c r="AG57" i="1"/>
  <c r="AH57" i="1"/>
  <c r="CV57" i="1" s="1"/>
  <c r="U57" i="1" s="1"/>
  <c r="AI57" i="1"/>
  <c r="AJ57" i="1"/>
  <c r="CX57" i="1" s="1"/>
  <c r="W57" i="1" s="1"/>
  <c r="CQ57" i="1"/>
  <c r="P57" i="1" s="1"/>
  <c r="CP57" i="1" s="1"/>
  <c r="O57" i="1" s="1"/>
  <c r="CS57" i="1"/>
  <c r="R57" i="1" s="1"/>
  <c r="CY57" i="1" s="1"/>
  <c r="X57" i="1" s="1"/>
  <c r="CU57" i="1"/>
  <c r="T57" i="1" s="1"/>
  <c r="CW57" i="1"/>
  <c r="V57" i="1" s="1"/>
  <c r="FR57" i="1"/>
  <c r="GL57" i="1"/>
  <c r="GO57" i="1"/>
  <c r="GP57" i="1"/>
  <c r="GV57" i="1"/>
  <c r="HC57" i="1" s="1"/>
  <c r="GX57" i="1" s="1"/>
  <c r="C58" i="1"/>
  <c r="D58" i="1"/>
  <c r="I58" i="1"/>
  <c r="U58" i="1"/>
  <c r="AC58" i="1"/>
  <c r="AE58" i="1"/>
  <c r="AF58" i="1"/>
  <c r="AG58" i="1"/>
  <c r="CU58" i="1" s="1"/>
  <c r="T58" i="1" s="1"/>
  <c r="AH58" i="1"/>
  <c r="AI58" i="1"/>
  <c r="CW58" i="1" s="1"/>
  <c r="V58" i="1" s="1"/>
  <c r="AJ58" i="1"/>
  <c r="CT58" i="1"/>
  <c r="S58" i="1" s="1"/>
  <c r="CV58" i="1"/>
  <c r="CX58" i="1"/>
  <c r="W58" i="1" s="1"/>
  <c r="FR58" i="1"/>
  <c r="GL58" i="1"/>
  <c r="GO58" i="1"/>
  <c r="GP58" i="1"/>
  <c r="GV58" i="1"/>
  <c r="GX58" i="1"/>
  <c r="HC58" i="1"/>
  <c r="I59" i="1"/>
  <c r="AC59" i="1"/>
  <c r="AD59" i="1"/>
  <c r="CR59" i="1" s="1"/>
  <c r="Q59" i="1" s="1"/>
  <c r="AE59" i="1"/>
  <c r="AF59" i="1"/>
  <c r="CT59" i="1" s="1"/>
  <c r="S59" i="1" s="1"/>
  <c r="AG59" i="1"/>
  <c r="AH59" i="1"/>
  <c r="CV59" i="1" s="1"/>
  <c r="U59" i="1" s="1"/>
  <c r="AI59" i="1"/>
  <c r="AJ59" i="1"/>
  <c r="CX59" i="1" s="1"/>
  <c r="W59" i="1" s="1"/>
  <c r="CQ59" i="1"/>
  <c r="P59" i="1" s="1"/>
  <c r="CP59" i="1" s="1"/>
  <c r="O59" i="1" s="1"/>
  <c r="CS59" i="1"/>
  <c r="R59" i="1" s="1"/>
  <c r="CU59" i="1"/>
  <c r="T59" i="1" s="1"/>
  <c r="CW59" i="1"/>
  <c r="V59" i="1" s="1"/>
  <c r="FR59" i="1"/>
  <c r="GL59" i="1"/>
  <c r="GO59" i="1"/>
  <c r="GP59" i="1"/>
  <c r="GV59" i="1"/>
  <c r="HC59" i="1"/>
  <c r="GX59" i="1" s="1"/>
  <c r="I60" i="1"/>
  <c r="S60" i="1"/>
  <c r="W60" i="1"/>
  <c r="AC60" i="1"/>
  <c r="AE60" i="1"/>
  <c r="AF60" i="1"/>
  <c r="AG60" i="1"/>
  <c r="CU60" i="1" s="1"/>
  <c r="T60" i="1" s="1"/>
  <c r="AH60" i="1"/>
  <c r="AI60" i="1"/>
  <c r="CW60" i="1" s="1"/>
  <c r="V60" i="1" s="1"/>
  <c r="AJ60" i="1"/>
  <c r="CT60" i="1"/>
  <c r="CV60" i="1"/>
  <c r="U60" i="1" s="1"/>
  <c r="CX60" i="1"/>
  <c r="FR60" i="1"/>
  <c r="GL60" i="1"/>
  <c r="GO60" i="1"/>
  <c r="GP60" i="1"/>
  <c r="GV60" i="1"/>
  <c r="GX60" i="1"/>
  <c r="HC60" i="1"/>
  <c r="C61" i="1"/>
  <c r="D61" i="1"/>
  <c r="I61" i="1"/>
  <c r="AC61" i="1"/>
  <c r="AD61" i="1"/>
  <c r="CR61" i="1" s="1"/>
  <c r="Q61" i="1" s="1"/>
  <c r="AE61" i="1"/>
  <c r="AF61" i="1"/>
  <c r="CT61" i="1" s="1"/>
  <c r="S61" i="1" s="1"/>
  <c r="AG61" i="1"/>
  <c r="AH61" i="1"/>
  <c r="CV61" i="1" s="1"/>
  <c r="U61" i="1" s="1"/>
  <c r="AI61" i="1"/>
  <c r="AJ61" i="1"/>
  <c r="CX61" i="1" s="1"/>
  <c r="W61" i="1" s="1"/>
  <c r="CQ61" i="1"/>
  <c r="P61" i="1" s="1"/>
  <c r="CP61" i="1" s="1"/>
  <c r="O61" i="1" s="1"/>
  <c r="CS61" i="1"/>
  <c r="R61" i="1" s="1"/>
  <c r="CY61" i="1" s="1"/>
  <c r="X61" i="1" s="1"/>
  <c r="CU61" i="1"/>
  <c r="T61" i="1" s="1"/>
  <c r="CW61" i="1"/>
  <c r="V61" i="1" s="1"/>
  <c r="FR61" i="1"/>
  <c r="GL61" i="1"/>
  <c r="GO61" i="1"/>
  <c r="GP61" i="1"/>
  <c r="GV61" i="1"/>
  <c r="HC61" i="1" s="1"/>
  <c r="GX61" i="1" s="1"/>
  <c r="AC62" i="1"/>
  <c r="AE62" i="1"/>
  <c r="AF62" i="1"/>
  <c r="AG62" i="1"/>
  <c r="CU62" i="1" s="1"/>
  <c r="AH62" i="1"/>
  <c r="AI62" i="1"/>
  <c r="CW62" i="1" s="1"/>
  <c r="AJ62" i="1"/>
  <c r="CT62" i="1"/>
  <c r="CV62" i="1"/>
  <c r="CX62" i="1"/>
  <c r="FR62" i="1"/>
  <c r="GL62" i="1"/>
  <c r="GO62" i="1"/>
  <c r="GP62" i="1"/>
  <c r="GV62" i="1"/>
  <c r="HC62" i="1"/>
  <c r="I63" i="1"/>
  <c r="AC63" i="1"/>
  <c r="AD63" i="1"/>
  <c r="CR63" i="1" s="1"/>
  <c r="Q63" i="1" s="1"/>
  <c r="AE63" i="1"/>
  <c r="AF63" i="1"/>
  <c r="CT63" i="1" s="1"/>
  <c r="S63" i="1" s="1"/>
  <c r="AG63" i="1"/>
  <c r="AH63" i="1"/>
  <c r="CV63" i="1" s="1"/>
  <c r="U63" i="1" s="1"/>
  <c r="AI63" i="1"/>
  <c r="AJ63" i="1"/>
  <c r="CX63" i="1" s="1"/>
  <c r="W63" i="1" s="1"/>
  <c r="CQ63" i="1"/>
  <c r="P63" i="1" s="1"/>
  <c r="CP63" i="1" s="1"/>
  <c r="O63" i="1" s="1"/>
  <c r="CS63" i="1"/>
  <c r="R63" i="1" s="1"/>
  <c r="CY63" i="1" s="1"/>
  <c r="X63" i="1" s="1"/>
  <c r="CU63" i="1"/>
  <c r="T63" i="1" s="1"/>
  <c r="CW63" i="1"/>
  <c r="V63" i="1" s="1"/>
  <c r="FR63" i="1"/>
  <c r="GL63" i="1"/>
  <c r="GO63" i="1"/>
  <c r="GP63" i="1"/>
  <c r="GV63" i="1"/>
  <c r="HC63" i="1" s="1"/>
  <c r="GX63" i="1" s="1"/>
  <c r="C64" i="1"/>
  <c r="D64" i="1"/>
  <c r="I64" i="1"/>
  <c r="U64" i="1"/>
  <c r="AC64" i="1"/>
  <c r="AE64" i="1"/>
  <c r="AF64" i="1"/>
  <c r="AG64" i="1"/>
  <c r="CU64" i="1" s="1"/>
  <c r="T64" i="1" s="1"/>
  <c r="AH64" i="1"/>
  <c r="AI64" i="1"/>
  <c r="CW64" i="1" s="1"/>
  <c r="V64" i="1" s="1"/>
  <c r="AJ64" i="1"/>
  <c r="CT64" i="1"/>
  <c r="S64" i="1" s="1"/>
  <c r="CV64" i="1"/>
  <c r="CX64" i="1"/>
  <c r="W64" i="1" s="1"/>
  <c r="FR64" i="1"/>
  <c r="GL64" i="1"/>
  <c r="GN64" i="1"/>
  <c r="GP64" i="1"/>
  <c r="GV64" i="1"/>
  <c r="GX64" i="1"/>
  <c r="HC64" i="1"/>
  <c r="I65" i="1"/>
  <c r="AC65" i="1"/>
  <c r="AD65" i="1"/>
  <c r="CR65" i="1" s="1"/>
  <c r="Q65" i="1" s="1"/>
  <c r="AE65" i="1"/>
  <c r="AF65" i="1"/>
  <c r="CT65" i="1" s="1"/>
  <c r="S65" i="1" s="1"/>
  <c r="AG65" i="1"/>
  <c r="AH65" i="1"/>
  <c r="CV65" i="1" s="1"/>
  <c r="U65" i="1" s="1"/>
  <c r="AI65" i="1"/>
  <c r="AJ65" i="1"/>
  <c r="CX65" i="1" s="1"/>
  <c r="W65" i="1" s="1"/>
  <c r="CQ65" i="1"/>
  <c r="P65" i="1" s="1"/>
  <c r="CP65" i="1" s="1"/>
  <c r="O65" i="1" s="1"/>
  <c r="CS65" i="1"/>
  <c r="R65" i="1" s="1"/>
  <c r="CY65" i="1" s="1"/>
  <c r="X65" i="1" s="1"/>
  <c r="CU65" i="1"/>
  <c r="T65" i="1" s="1"/>
  <c r="CW65" i="1"/>
  <c r="V65" i="1" s="1"/>
  <c r="FR65" i="1"/>
  <c r="GL65" i="1"/>
  <c r="GN65" i="1"/>
  <c r="GP65" i="1"/>
  <c r="GV65" i="1"/>
  <c r="HC65" i="1"/>
  <c r="GX65" i="1" s="1"/>
  <c r="C66" i="1"/>
  <c r="D66" i="1"/>
  <c r="I66" i="1"/>
  <c r="S66" i="1"/>
  <c r="W66" i="1"/>
  <c r="AC66" i="1"/>
  <c r="AE66" i="1"/>
  <c r="AF66" i="1"/>
  <c r="AG66" i="1"/>
  <c r="CU66" i="1" s="1"/>
  <c r="T66" i="1" s="1"/>
  <c r="AH66" i="1"/>
  <c r="AI66" i="1"/>
  <c r="CW66" i="1" s="1"/>
  <c r="V66" i="1" s="1"/>
  <c r="AJ66" i="1"/>
  <c r="CT66" i="1"/>
  <c r="CV66" i="1"/>
  <c r="U66" i="1" s="1"/>
  <c r="CX66" i="1"/>
  <c r="FR66" i="1"/>
  <c r="GL66" i="1"/>
  <c r="GO66" i="1"/>
  <c r="GP66" i="1"/>
  <c r="GV66" i="1"/>
  <c r="GX66" i="1"/>
  <c r="HC66" i="1"/>
  <c r="I67" i="1"/>
  <c r="AC67" i="1"/>
  <c r="AD67" i="1"/>
  <c r="CR67" i="1" s="1"/>
  <c r="Q67" i="1" s="1"/>
  <c r="AE67" i="1"/>
  <c r="AF67" i="1"/>
  <c r="CT67" i="1" s="1"/>
  <c r="S67" i="1" s="1"/>
  <c r="AG67" i="1"/>
  <c r="AH67" i="1"/>
  <c r="CV67" i="1" s="1"/>
  <c r="U67" i="1" s="1"/>
  <c r="AI67" i="1"/>
  <c r="AJ67" i="1"/>
  <c r="CX67" i="1" s="1"/>
  <c r="W67" i="1" s="1"/>
  <c r="CQ67" i="1"/>
  <c r="P67" i="1" s="1"/>
  <c r="CP67" i="1" s="1"/>
  <c r="O67" i="1" s="1"/>
  <c r="CS67" i="1"/>
  <c r="R67" i="1" s="1"/>
  <c r="CY67" i="1" s="1"/>
  <c r="X67" i="1" s="1"/>
  <c r="CU67" i="1"/>
  <c r="T67" i="1" s="1"/>
  <c r="CW67" i="1"/>
  <c r="V67" i="1" s="1"/>
  <c r="FR67" i="1"/>
  <c r="GL67" i="1"/>
  <c r="GO67" i="1"/>
  <c r="GP67" i="1"/>
  <c r="GV67" i="1"/>
  <c r="HC67" i="1" s="1"/>
  <c r="GX67" i="1" s="1"/>
  <c r="C68" i="1"/>
  <c r="D68" i="1"/>
  <c r="I68" i="1"/>
  <c r="U68" i="1"/>
  <c r="AC68" i="1"/>
  <c r="AE68" i="1"/>
  <c r="AF68" i="1"/>
  <c r="AG68" i="1"/>
  <c r="CU68" i="1" s="1"/>
  <c r="T68" i="1" s="1"/>
  <c r="AH68" i="1"/>
  <c r="AI68" i="1"/>
  <c r="CW68" i="1" s="1"/>
  <c r="V68" i="1" s="1"/>
  <c r="AJ68" i="1"/>
  <c r="CT68" i="1"/>
  <c r="S68" i="1" s="1"/>
  <c r="CV68" i="1"/>
  <c r="CX68" i="1"/>
  <c r="W68" i="1" s="1"/>
  <c r="FR68" i="1"/>
  <c r="GL68" i="1"/>
  <c r="GO68" i="1"/>
  <c r="GP68" i="1"/>
  <c r="GV68" i="1"/>
  <c r="GX68" i="1"/>
  <c r="HC68" i="1"/>
  <c r="I69" i="1"/>
  <c r="AC69" i="1"/>
  <c r="AD69" i="1"/>
  <c r="CR69" i="1" s="1"/>
  <c r="Q69" i="1" s="1"/>
  <c r="AE69" i="1"/>
  <c r="AF69" i="1"/>
  <c r="CT69" i="1" s="1"/>
  <c r="S69" i="1" s="1"/>
  <c r="AG69" i="1"/>
  <c r="AH69" i="1"/>
  <c r="CV69" i="1" s="1"/>
  <c r="U69" i="1" s="1"/>
  <c r="AI69" i="1"/>
  <c r="AJ69" i="1"/>
  <c r="CX69" i="1" s="1"/>
  <c r="W69" i="1" s="1"/>
  <c r="CQ69" i="1"/>
  <c r="P69" i="1" s="1"/>
  <c r="CP69" i="1" s="1"/>
  <c r="O69" i="1" s="1"/>
  <c r="CS69" i="1"/>
  <c r="R69" i="1" s="1"/>
  <c r="CU69" i="1"/>
  <c r="T69" i="1" s="1"/>
  <c r="CW69" i="1"/>
  <c r="V69" i="1" s="1"/>
  <c r="FR69" i="1"/>
  <c r="GL69" i="1"/>
  <c r="GO69" i="1"/>
  <c r="GP69" i="1"/>
  <c r="GV69" i="1"/>
  <c r="HC69" i="1"/>
  <c r="GX69" i="1" s="1"/>
  <c r="C70" i="1"/>
  <c r="D70" i="1"/>
  <c r="I70" i="1"/>
  <c r="S70" i="1"/>
  <c r="W70" i="1"/>
  <c r="AC70" i="1"/>
  <c r="AE70" i="1"/>
  <c r="AF70" i="1"/>
  <c r="AG70" i="1"/>
  <c r="CU70" i="1" s="1"/>
  <c r="T70" i="1" s="1"/>
  <c r="AH70" i="1"/>
  <c r="AI70" i="1"/>
  <c r="CW70" i="1" s="1"/>
  <c r="V70" i="1" s="1"/>
  <c r="AJ70" i="1"/>
  <c r="CT70" i="1"/>
  <c r="CV70" i="1"/>
  <c r="U70" i="1" s="1"/>
  <c r="CX70" i="1"/>
  <c r="FR70" i="1"/>
  <c r="GL70" i="1"/>
  <c r="GO70" i="1"/>
  <c r="GP70" i="1"/>
  <c r="GV70" i="1"/>
  <c r="GX70" i="1"/>
  <c r="HC70" i="1"/>
  <c r="I71" i="1"/>
  <c r="AC71" i="1"/>
  <c r="AD71" i="1"/>
  <c r="CR71" i="1" s="1"/>
  <c r="Q71" i="1" s="1"/>
  <c r="AE71" i="1"/>
  <c r="AF71" i="1"/>
  <c r="CT71" i="1" s="1"/>
  <c r="S71" i="1" s="1"/>
  <c r="AG71" i="1"/>
  <c r="AH71" i="1"/>
  <c r="CV71" i="1" s="1"/>
  <c r="U71" i="1" s="1"/>
  <c r="AI71" i="1"/>
  <c r="AJ71" i="1"/>
  <c r="CX71" i="1" s="1"/>
  <c r="W71" i="1" s="1"/>
  <c r="CQ71" i="1"/>
  <c r="P71" i="1" s="1"/>
  <c r="CP71" i="1" s="1"/>
  <c r="O71" i="1" s="1"/>
  <c r="CS71" i="1"/>
  <c r="R71" i="1" s="1"/>
  <c r="CY71" i="1" s="1"/>
  <c r="X71" i="1" s="1"/>
  <c r="CU71" i="1"/>
  <c r="T71" i="1" s="1"/>
  <c r="CW71" i="1"/>
  <c r="V71" i="1" s="1"/>
  <c r="FR71" i="1"/>
  <c r="GL71" i="1"/>
  <c r="GO71" i="1"/>
  <c r="GP71" i="1"/>
  <c r="GV71" i="1"/>
  <c r="HC71" i="1" s="1"/>
  <c r="GX71" i="1" s="1"/>
  <c r="I72" i="1"/>
  <c r="U72" i="1"/>
  <c r="AC72" i="1"/>
  <c r="AE72" i="1"/>
  <c r="AF72" i="1"/>
  <c r="AG72" i="1"/>
  <c r="CU72" i="1" s="1"/>
  <c r="T72" i="1" s="1"/>
  <c r="AH72" i="1"/>
  <c r="AI72" i="1"/>
  <c r="CW72" i="1" s="1"/>
  <c r="V72" i="1" s="1"/>
  <c r="AJ72" i="1"/>
  <c r="CT72" i="1"/>
  <c r="S72" i="1" s="1"/>
  <c r="CV72" i="1"/>
  <c r="CX72" i="1"/>
  <c r="W72" i="1" s="1"/>
  <c r="FR72" i="1"/>
  <c r="GL72" i="1"/>
  <c r="GO72" i="1"/>
  <c r="GP72" i="1"/>
  <c r="GV72" i="1"/>
  <c r="GX72" i="1"/>
  <c r="HC72" i="1"/>
  <c r="I73" i="1"/>
  <c r="AC73" i="1"/>
  <c r="AD73" i="1"/>
  <c r="CR73" i="1" s="1"/>
  <c r="Q73" i="1" s="1"/>
  <c r="AE73" i="1"/>
  <c r="AF73" i="1"/>
  <c r="CT73" i="1" s="1"/>
  <c r="S73" i="1" s="1"/>
  <c r="AG73" i="1"/>
  <c r="AH73" i="1"/>
  <c r="CV73" i="1" s="1"/>
  <c r="U73" i="1" s="1"/>
  <c r="AI73" i="1"/>
  <c r="AJ73" i="1"/>
  <c r="CX73" i="1" s="1"/>
  <c r="W73" i="1" s="1"/>
  <c r="CQ73" i="1"/>
  <c r="P73" i="1" s="1"/>
  <c r="CP73" i="1" s="1"/>
  <c r="O73" i="1" s="1"/>
  <c r="CS73" i="1"/>
  <c r="R73" i="1" s="1"/>
  <c r="CU73" i="1"/>
  <c r="T73" i="1" s="1"/>
  <c r="CW73" i="1"/>
  <c r="V73" i="1" s="1"/>
  <c r="FR73" i="1"/>
  <c r="GL73" i="1"/>
  <c r="GO73" i="1"/>
  <c r="GP73" i="1"/>
  <c r="GV73" i="1"/>
  <c r="HC73" i="1"/>
  <c r="GX73" i="1" s="1"/>
  <c r="I74" i="1"/>
  <c r="S74" i="1"/>
  <c r="W74" i="1"/>
  <c r="AC74" i="1"/>
  <c r="AE74" i="1"/>
  <c r="AF74" i="1"/>
  <c r="AG74" i="1"/>
  <c r="CU74" i="1" s="1"/>
  <c r="T74" i="1" s="1"/>
  <c r="AH74" i="1"/>
  <c r="AI74" i="1"/>
  <c r="CW74" i="1" s="1"/>
  <c r="V74" i="1" s="1"/>
  <c r="AJ74" i="1"/>
  <c r="CT74" i="1"/>
  <c r="CV74" i="1"/>
  <c r="U74" i="1" s="1"/>
  <c r="CX74" i="1"/>
  <c r="FR74" i="1"/>
  <c r="GL74" i="1"/>
  <c r="GO74" i="1"/>
  <c r="GP74" i="1"/>
  <c r="GV74" i="1"/>
  <c r="GX74" i="1"/>
  <c r="HC74" i="1"/>
  <c r="I75" i="1"/>
  <c r="AC75" i="1"/>
  <c r="AD75" i="1"/>
  <c r="CR75" i="1" s="1"/>
  <c r="Q75" i="1" s="1"/>
  <c r="AE75" i="1"/>
  <c r="AF75" i="1"/>
  <c r="CT75" i="1" s="1"/>
  <c r="S75" i="1" s="1"/>
  <c r="AG75" i="1"/>
  <c r="AH75" i="1"/>
  <c r="CV75" i="1" s="1"/>
  <c r="U75" i="1" s="1"/>
  <c r="AI75" i="1"/>
  <c r="AJ75" i="1"/>
  <c r="CX75" i="1" s="1"/>
  <c r="W75" i="1" s="1"/>
  <c r="CQ75" i="1"/>
  <c r="P75" i="1" s="1"/>
  <c r="CP75" i="1" s="1"/>
  <c r="O75" i="1" s="1"/>
  <c r="CS75" i="1"/>
  <c r="R75" i="1" s="1"/>
  <c r="CY75" i="1" s="1"/>
  <c r="X75" i="1" s="1"/>
  <c r="CU75" i="1"/>
  <c r="T75" i="1" s="1"/>
  <c r="CW75" i="1"/>
  <c r="V75" i="1" s="1"/>
  <c r="FR75" i="1"/>
  <c r="GL75" i="1"/>
  <c r="GO75" i="1"/>
  <c r="GP75" i="1"/>
  <c r="GV75" i="1"/>
  <c r="HC75" i="1" s="1"/>
  <c r="GX75" i="1" s="1"/>
  <c r="C76" i="1"/>
  <c r="D76" i="1"/>
  <c r="I76" i="1"/>
  <c r="U76" i="1"/>
  <c r="AC76" i="1"/>
  <c r="AE76" i="1"/>
  <c r="AF76" i="1"/>
  <c r="AG76" i="1"/>
  <c r="CU76" i="1" s="1"/>
  <c r="T76" i="1" s="1"/>
  <c r="AH76" i="1"/>
  <c r="AI76" i="1"/>
  <c r="CW76" i="1" s="1"/>
  <c r="V76" i="1" s="1"/>
  <c r="AJ76" i="1"/>
  <c r="CT76" i="1"/>
  <c r="S76" i="1" s="1"/>
  <c r="CV76" i="1"/>
  <c r="CX76" i="1"/>
  <c r="W76" i="1" s="1"/>
  <c r="FR76" i="1"/>
  <c r="GL76" i="1"/>
  <c r="GO76" i="1"/>
  <c r="GP76" i="1"/>
  <c r="GV76" i="1"/>
  <c r="GX76" i="1"/>
  <c r="HC76" i="1"/>
  <c r="I77" i="1"/>
  <c r="AC77" i="1"/>
  <c r="AD77" i="1"/>
  <c r="CR77" i="1" s="1"/>
  <c r="Q77" i="1" s="1"/>
  <c r="AE77" i="1"/>
  <c r="AF77" i="1"/>
  <c r="CT77" i="1" s="1"/>
  <c r="S77" i="1" s="1"/>
  <c r="AG77" i="1"/>
  <c r="AH77" i="1"/>
  <c r="CV77" i="1" s="1"/>
  <c r="U77" i="1" s="1"/>
  <c r="AI77" i="1"/>
  <c r="AJ77" i="1"/>
  <c r="CX77" i="1" s="1"/>
  <c r="W77" i="1" s="1"/>
  <c r="CQ77" i="1"/>
  <c r="P77" i="1" s="1"/>
  <c r="CP77" i="1" s="1"/>
  <c r="O77" i="1" s="1"/>
  <c r="CS77" i="1"/>
  <c r="R77" i="1" s="1"/>
  <c r="CU77" i="1"/>
  <c r="T77" i="1" s="1"/>
  <c r="CW77" i="1"/>
  <c r="V77" i="1" s="1"/>
  <c r="FR77" i="1"/>
  <c r="GL77" i="1"/>
  <c r="GO77" i="1"/>
  <c r="GP77" i="1"/>
  <c r="GV77" i="1"/>
  <c r="HC77" i="1"/>
  <c r="GX77" i="1" s="1"/>
  <c r="I78" i="1"/>
  <c r="S78" i="1"/>
  <c r="W78" i="1"/>
  <c r="AC78" i="1"/>
  <c r="AE78" i="1"/>
  <c r="AF78" i="1"/>
  <c r="AG78" i="1"/>
  <c r="CU78" i="1" s="1"/>
  <c r="T78" i="1" s="1"/>
  <c r="AH78" i="1"/>
  <c r="AI78" i="1"/>
  <c r="CW78" i="1" s="1"/>
  <c r="V78" i="1" s="1"/>
  <c r="AJ78" i="1"/>
  <c r="CT78" i="1"/>
  <c r="CV78" i="1"/>
  <c r="U78" i="1" s="1"/>
  <c r="CX78" i="1"/>
  <c r="FR78" i="1"/>
  <c r="GL78" i="1"/>
  <c r="GO78" i="1"/>
  <c r="GP78" i="1"/>
  <c r="GV78" i="1"/>
  <c r="GX78" i="1"/>
  <c r="HC78" i="1"/>
  <c r="I79" i="1"/>
  <c r="AC79" i="1"/>
  <c r="AD79" i="1"/>
  <c r="CR79" i="1" s="1"/>
  <c r="Q79" i="1" s="1"/>
  <c r="AE79" i="1"/>
  <c r="AF79" i="1"/>
  <c r="CT79" i="1" s="1"/>
  <c r="S79" i="1" s="1"/>
  <c r="AG79" i="1"/>
  <c r="AH79" i="1"/>
  <c r="CV79" i="1" s="1"/>
  <c r="U79" i="1" s="1"/>
  <c r="AI79" i="1"/>
  <c r="AJ79" i="1"/>
  <c r="CX79" i="1" s="1"/>
  <c r="W79" i="1" s="1"/>
  <c r="CQ79" i="1"/>
  <c r="P79" i="1" s="1"/>
  <c r="CS79" i="1"/>
  <c r="R79" i="1" s="1"/>
  <c r="CU79" i="1"/>
  <c r="T79" i="1" s="1"/>
  <c r="CW79" i="1"/>
  <c r="V79" i="1" s="1"/>
  <c r="FR79" i="1"/>
  <c r="GL79" i="1"/>
  <c r="GO79" i="1"/>
  <c r="GP79" i="1"/>
  <c r="GV79" i="1"/>
  <c r="HC79" i="1"/>
  <c r="GX79" i="1" s="1"/>
  <c r="C80" i="1"/>
  <c r="D80" i="1"/>
  <c r="I80" i="1"/>
  <c r="AC80" i="1"/>
  <c r="AB80" i="1" s="1"/>
  <c r="AE80" i="1"/>
  <c r="AD80" i="1" s="1"/>
  <c r="CR80" i="1" s="1"/>
  <c r="Q80" i="1" s="1"/>
  <c r="AF80" i="1"/>
  <c r="AG80" i="1"/>
  <c r="CU80" i="1" s="1"/>
  <c r="T80" i="1" s="1"/>
  <c r="AH80" i="1"/>
  <c r="AI80" i="1"/>
  <c r="CW80" i="1" s="1"/>
  <c r="V80" i="1" s="1"/>
  <c r="AJ80" i="1"/>
  <c r="CT80" i="1"/>
  <c r="S80" i="1" s="1"/>
  <c r="CV80" i="1"/>
  <c r="U80" i="1" s="1"/>
  <c r="CX80" i="1"/>
  <c r="W80" i="1" s="1"/>
  <c r="FR80" i="1"/>
  <c r="GL80" i="1"/>
  <c r="GO80" i="1"/>
  <c r="GP80" i="1"/>
  <c r="GV80" i="1"/>
  <c r="GX80" i="1"/>
  <c r="HC80" i="1"/>
  <c r="I81" i="1"/>
  <c r="AC81" i="1"/>
  <c r="AD81" i="1"/>
  <c r="CR81" i="1" s="1"/>
  <c r="Q81" i="1" s="1"/>
  <c r="AE81" i="1"/>
  <c r="AF81" i="1"/>
  <c r="CT81" i="1" s="1"/>
  <c r="S81" i="1" s="1"/>
  <c r="AG81" i="1"/>
  <c r="AH81" i="1"/>
  <c r="CV81" i="1" s="1"/>
  <c r="U81" i="1" s="1"/>
  <c r="AI81" i="1"/>
  <c r="AJ81" i="1"/>
  <c r="CX81" i="1" s="1"/>
  <c r="W81" i="1" s="1"/>
  <c r="CQ81" i="1"/>
  <c r="P81" i="1" s="1"/>
  <c r="CP81" i="1" s="1"/>
  <c r="O81" i="1" s="1"/>
  <c r="CS81" i="1"/>
  <c r="R81" i="1" s="1"/>
  <c r="CU81" i="1"/>
  <c r="T81" i="1" s="1"/>
  <c r="CW81" i="1"/>
  <c r="V81" i="1" s="1"/>
  <c r="FR81" i="1"/>
  <c r="GL81" i="1"/>
  <c r="GO81" i="1"/>
  <c r="GP81" i="1"/>
  <c r="GV81" i="1"/>
  <c r="HC81" i="1"/>
  <c r="GX81" i="1" s="1"/>
  <c r="C82" i="1"/>
  <c r="D82" i="1"/>
  <c r="I82" i="1"/>
  <c r="AC82" i="1"/>
  <c r="AE82" i="1"/>
  <c r="AD82" i="1" s="1"/>
  <c r="CR82" i="1" s="1"/>
  <c r="Q82" i="1" s="1"/>
  <c r="AF82" i="1"/>
  <c r="AG82" i="1"/>
  <c r="CU82" i="1" s="1"/>
  <c r="T82" i="1" s="1"/>
  <c r="AH82" i="1"/>
  <c r="AI82" i="1"/>
  <c r="CW82" i="1" s="1"/>
  <c r="V82" i="1" s="1"/>
  <c r="AJ82" i="1"/>
  <c r="CT82" i="1"/>
  <c r="S82" i="1" s="1"/>
  <c r="CV82" i="1"/>
  <c r="U82" i="1" s="1"/>
  <c r="CX82" i="1"/>
  <c r="W82" i="1" s="1"/>
  <c r="FR82" i="1"/>
  <c r="GL82" i="1"/>
  <c r="GO82" i="1"/>
  <c r="GP82" i="1"/>
  <c r="GV82" i="1"/>
  <c r="GX82" i="1"/>
  <c r="HC82" i="1"/>
  <c r="I83" i="1"/>
  <c r="AC83" i="1"/>
  <c r="AD83" i="1"/>
  <c r="CR83" i="1" s="1"/>
  <c r="Q83" i="1" s="1"/>
  <c r="AE83" i="1"/>
  <c r="AF83" i="1"/>
  <c r="CT83" i="1" s="1"/>
  <c r="S83" i="1" s="1"/>
  <c r="AG83" i="1"/>
  <c r="AH83" i="1"/>
  <c r="CV83" i="1" s="1"/>
  <c r="U83" i="1" s="1"/>
  <c r="AI83" i="1"/>
  <c r="AJ83" i="1"/>
  <c r="CX83" i="1" s="1"/>
  <c r="W83" i="1" s="1"/>
  <c r="CQ83" i="1"/>
  <c r="P83" i="1" s="1"/>
  <c r="CS83" i="1"/>
  <c r="R83" i="1" s="1"/>
  <c r="CU83" i="1"/>
  <c r="T83" i="1" s="1"/>
  <c r="CW83" i="1"/>
  <c r="V83" i="1" s="1"/>
  <c r="FR83" i="1"/>
  <c r="GL83" i="1"/>
  <c r="GO83" i="1"/>
  <c r="GP83" i="1"/>
  <c r="GV83" i="1"/>
  <c r="HC83" i="1"/>
  <c r="GX83" i="1" s="1"/>
  <c r="C84" i="1"/>
  <c r="D84" i="1"/>
  <c r="I84" i="1"/>
  <c r="AC84" i="1"/>
  <c r="AB84" i="1" s="1"/>
  <c r="AE84" i="1"/>
  <c r="AD84" i="1" s="1"/>
  <c r="CR84" i="1" s="1"/>
  <c r="Q84" i="1" s="1"/>
  <c r="AF84" i="1"/>
  <c r="AG84" i="1"/>
  <c r="CU84" i="1" s="1"/>
  <c r="T84" i="1" s="1"/>
  <c r="AH84" i="1"/>
  <c r="AI84" i="1"/>
  <c r="CW84" i="1" s="1"/>
  <c r="V84" i="1" s="1"/>
  <c r="AJ84" i="1"/>
  <c r="CT84" i="1"/>
  <c r="S84" i="1" s="1"/>
  <c r="CV84" i="1"/>
  <c r="U84" i="1" s="1"/>
  <c r="CX84" i="1"/>
  <c r="W84" i="1" s="1"/>
  <c r="FR84" i="1"/>
  <c r="GL84" i="1"/>
  <c r="GO84" i="1"/>
  <c r="GP84" i="1"/>
  <c r="GV84" i="1"/>
  <c r="GX84" i="1"/>
  <c r="HC84" i="1"/>
  <c r="I85" i="1"/>
  <c r="AC85" i="1"/>
  <c r="AD85" i="1"/>
  <c r="CR85" i="1" s="1"/>
  <c r="Q85" i="1" s="1"/>
  <c r="AE85" i="1"/>
  <c r="AF85" i="1"/>
  <c r="CT85" i="1" s="1"/>
  <c r="S85" i="1" s="1"/>
  <c r="AG85" i="1"/>
  <c r="AH85" i="1"/>
  <c r="CV85" i="1" s="1"/>
  <c r="U85" i="1" s="1"/>
  <c r="AI85" i="1"/>
  <c r="AJ85" i="1"/>
  <c r="CX85" i="1" s="1"/>
  <c r="W85" i="1" s="1"/>
  <c r="CQ85" i="1"/>
  <c r="P85" i="1" s="1"/>
  <c r="CP85" i="1" s="1"/>
  <c r="O85" i="1" s="1"/>
  <c r="CS85" i="1"/>
  <c r="R85" i="1" s="1"/>
  <c r="CU85" i="1"/>
  <c r="T85" i="1" s="1"/>
  <c r="CW85" i="1"/>
  <c r="V85" i="1" s="1"/>
  <c r="FR85" i="1"/>
  <c r="GL85" i="1"/>
  <c r="GO85" i="1"/>
  <c r="GP85" i="1"/>
  <c r="GV85" i="1"/>
  <c r="HC85" i="1"/>
  <c r="GX85" i="1" s="1"/>
  <c r="C86" i="1"/>
  <c r="D86" i="1"/>
  <c r="I86" i="1"/>
  <c r="AC86" i="1"/>
  <c r="AE86" i="1"/>
  <c r="AD86" i="1" s="1"/>
  <c r="CR86" i="1" s="1"/>
  <c r="Q86" i="1" s="1"/>
  <c r="AF86" i="1"/>
  <c r="AG86" i="1"/>
  <c r="CU86" i="1" s="1"/>
  <c r="T86" i="1" s="1"/>
  <c r="AH86" i="1"/>
  <c r="AI86" i="1"/>
  <c r="CW86" i="1" s="1"/>
  <c r="V86" i="1" s="1"/>
  <c r="AJ86" i="1"/>
  <c r="CT86" i="1"/>
  <c r="S86" i="1" s="1"/>
  <c r="CV86" i="1"/>
  <c r="U86" i="1" s="1"/>
  <c r="CX86" i="1"/>
  <c r="W86" i="1" s="1"/>
  <c r="FR86" i="1"/>
  <c r="GL86" i="1"/>
  <c r="GO86" i="1"/>
  <c r="GP86" i="1"/>
  <c r="GV86" i="1"/>
  <c r="GX86" i="1"/>
  <c r="HC86" i="1"/>
  <c r="I87" i="1"/>
  <c r="AC87" i="1"/>
  <c r="AD87" i="1"/>
  <c r="CR87" i="1" s="1"/>
  <c r="Q87" i="1" s="1"/>
  <c r="AE87" i="1"/>
  <c r="AF87" i="1"/>
  <c r="CT87" i="1" s="1"/>
  <c r="S87" i="1" s="1"/>
  <c r="AG87" i="1"/>
  <c r="AH87" i="1"/>
  <c r="CV87" i="1" s="1"/>
  <c r="U87" i="1" s="1"/>
  <c r="AI87" i="1"/>
  <c r="AJ87" i="1"/>
  <c r="CX87" i="1" s="1"/>
  <c r="W87" i="1" s="1"/>
  <c r="CQ87" i="1"/>
  <c r="P87" i="1" s="1"/>
  <c r="CS87" i="1"/>
  <c r="R87" i="1" s="1"/>
  <c r="CU87" i="1"/>
  <c r="T87" i="1" s="1"/>
  <c r="CW87" i="1"/>
  <c r="V87" i="1" s="1"/>
  <c r="FR87" i="1"/>
  <c r="GL87" i="1"/>
  <c r="GO87" i="1"/>
  <c r="GP87" i="1"/>
  <c r="GV87" i="1"/>
  <c r="HC87" i="1"/>
  <c r="GX87" i="1" s="1"/>
  <c r="C88" i="1"/>
  <c r="D88" i="1"/>
  <c r="I88" i="1"/>
  <c r="AC88" i="1"/>
  <c r="AB88" i="1" s="1"/>
  <c r="AE88" i="1"/>
  <c r="AD88" i="1" s="1"/>
  <c r="CR88" i="1" s="1"/>
  <c r="Q88" i="1" s="1"/>
  <c r="AF88" i="1"/>
  <c r="AG88" i="1"/>
  <c r="CU88" i="1" s="1"/>
  <c r="T88" i="1" s="1"/>
  <c r="AH88" i="1"/>
  <c r="AI88" i="1"/>
  <c r="CW88" i="1" s="1"/>
  <c r="V88" i="1" s="1"/>
  <c r="AJ88" i="1"/>
  <c r="CT88" i="1"/>
  <c r="S88" i="1" s="1"/>
  <c r="CV88" i="1"/>
  <c r="U88" i="1" s="1"/>
  <c r="CX88" i="1"/>
  <c r="W88" i="1" s="1"/>
  <c r="FR88" i="1"/>
  <c r="GL88" i="1"/>
  <c r="GO88" i="1"/>
  <c r="GP88" i="1"/>
  <c r="GV88" i="1"/>
  <c r="GX88" i="1"/>
  <c r="HC88" i="1"/>
  <c r="I89" i="1"/>
  <c r="AC89" i="1"/>
  <c r="AD89" i="1"/>
  <c r="CR89" i="1" s="1"/>
  <c r="Q89" i="1" s="1"/>
  <c r="AE89" i="1"/>
  <c r="AF89" i="1"/>
  <c r="CT89" i="1" s="1"/>
  <c r="S89" i="1" s="1"/>
  <c r="AG89" i="1"/>
  <c r="AH89" i="1"/>
  <c r="CV89" i="1" s="1"/>
  <c r="U89" i="1" s="1"/>
  <c r="AI89" i="1"/>
  <c r="AJ89" i="1"/>
  <c r="CX89" i="1" s="1"/>
  <c r="W89" i="1" s="1"/>
  <c r="CQ89" i="1"/>
  <c r="P89" i="1" s="1"/>
  <c r="CP89" i="1" s="1"/>
  <c r="O89" i="1" s="1"/>
  <c r="CS89" i="1"/>
  <c r="R89" i="1" s="1"/>
  <c r="CU89" i="1"/>
  <c r="T89" i="1" s="1"/>
  <c r="CW89" i="1"/>
  <c r="V89" i="1" s="1"/>
  <c r="FR89" i="1"/>
  <c r="GL89" i="1"/>
  <c r="GO89" i="1"/>
  <c r="GP89" i="1"/>
  <c r="GV89" i="1"/>
  <c r="HC89" i="1"/>
  <c r="GX89" i="1" s="1"/>
  <c r="C90" i="1"/>
  <c r="D90" i="1"/>
  <c r="I90" i="1"/>
  <c r="AC90" i="1"/>
  <c r="AE90" i="1"/>
  <c r="AD90" i="1" s="1"/>
  <c r="CR90" i="1" s="1"/>
  <c r="Q90" i="1" s="1"/>
  <c r="AF90" i="1"/>
  <c r="AG90" i="1"/>
  <c r="CU90" i="1" s="1"/>
  <c r="T90" i="1" s="1"/>
  <c r="AH90" i="1"/>
  <c r="AI90" i="1"/>
  <c r="CW90" i="1" s="1"/>
  <c r="V90" i="1" s="1"/>
  <c r="AJ90" i="1"/>
  <c r="CT90" i="1"/>
  <c r="S90" i="1" s="1"/>
  <c r="CV90" i="1"/>
  <c r="U90" i="1" s="1"/>
  <c r="CX90" i="1"/>
  <c r="W90" i="1" s="1"/>
  <c r="FR90" i="1"/>
  <c r="GL90" i="1"/>
  <c r="GO90" i="1"/>
  <c r="GP90" i="1"/>
  <c r="GV90" i="1"/>
  <c r="GX90" i="1"/>
  <c r="HC90" i="1"/>
  <c r="I91" i="1"/>
  <c r="AC91" i="1"/>
  <c r="AD91" i="1"/>
  <c r="CR91" i="1" s="1"/>
  <c r="Q91" i="1" s="1"/>
  <c r="AE91" i="1"/>
  <c r="AF91" i="1"/>
  <c r="CT91" i="1" s="1"/>
  <c r="S91" i="1" s="1"/>
  <c r="AG91" i="1"/>
  <c r="AH91" i="1"/>
  <c r="CV91" i="1" s="1"/>
  <c r="U91" i="1" s="1"/>
  <c r="AI91" i="1"/>
  <c r="AJ91" i="1"/>
  <c r="CX91" i="1" s="1"/>
  <c r="W91" i="1" s="1"/>
  <c r="CQ91" i="1"/>
  <c r="P91" i="1" s="1"/>
  <c r="CS91" i="1"/>
  <c r="R91" i="1" s="1"/>
  <c r="CU91" i="1"/>
  <c r="T91" i="1" s="1"/>
  <c r="CW91" i="1"/>
  <c r="V91" i="1" s="1"/>
  <c r="FR91" i="1"/>
  <c r="GL91" i="1"/>
  <c r="GO91" i="1"/>
  <c r="GP91" i="1"/>
  <c r="GV91" i="1"/>
  <c r="HC91" i="1"/>
  <c r="GX91" i="1" s="1"/>
  <c r="C92" i="1"/>
  <c r="D92" i="1"/>
  <c r="I92" i="1"/>
  <c r="AC92" i="1"/>
  <c r="AB92" i="1" s="1"/>
  <c r="AE92" i="1"/>
  <c r="AD92" i="1" s="1"/>
  <c r="CR92" i="1" s="1"/>
  <c r="Q92" i="1" s="1"/>
  <c r="AF92" i="1"/>
  <c r="AG92" i="1"/>
  <c r="CU92" i="1" s="1"/>
  <c r="T92" i="1" s="1"/>
  <c r="AH92" i="1"/>
  <c r="AI92" i="1"/>
  <c r="CW92" i="1" s="1"/>
  <c r="V92" i="1" s="1"/>
  <c r="AJ92" i="1"/>
  <c r="CT92" i="1"/>
  <c r="S92" i="1" s="1"/>
  <c r="CV92" i="1"/>
  <c r="U92" i="1" s="1"/>
  <c r="CX92" i="1"/>
  <c r="W92" i="1" s="1"/>
  <c r="FR92" i="1"/>
  <c r="GL92" i="1"/>
  <c r="GO92" i="1"/>
  <c r="GP92" i="1"/>
  <c r="GV92" i="1"/>
  <c r="GX92" i="1"/>
  <c r="HC92" i="1"/>
  <c r="I93" i="1"/>
  <c r="AC93" i="1"/>
  <c r="AD93" i="1"/>
  <c r="CR93" i="1" s="1"/>
  <c r="Q93" i="1" s="1"/>
  <c r="AE93" i="1"/>
  <c r="AF93" i="1"/>
  <c r="CT93" i="1" s="1"/>
  <c r="S93" i="1" s="1"/>
  <c r="AG93" i="1"/>
  <c r="AH93" i="1"/>
  <c r="CV93" i="1" s="1"/>
  <c r="U93" i="1" s="1"/>
  <c r="AI93" i="1"/>
  <c r="AJ93" i="1"/>
  <c r="CX93" i="1" s="1"/>
  <c r="W93" i="1" s="1"/>
  <c r="CQ93" i="1"/>
  <c r="P93" i="1" s="1"/>
  <c r="CP93" i="1" s="1"/>
  <c r="O93" i="1" s="1"/>
  <c r="CS93" i="1"/>
  <c r="R93" i="1" s="1"/>
  <c r="CU93" i="1"/>
  <c r="T93" i="1" s="1"/>
  <c r="CW93" i="1"/>
  <c r="V93" i="1" s="1"/>
  <c r="FR93" i="1"/>
  <c r="GL93" i="1"/>
  <c r="GO93" i="1"/>
  <c r="GP93" i="1"/>
  <c r="GV93" i="1"/>
  <c r="HC93" i="1"/>
  <c r="GX93" i="1" s="1"/>
  <c r="C94" i="1"/>
  <c r="D94" i="1"/>
  <c r="I94" i="1"/>
  <c r="AC94" i="1"/>
  <c r="AE94" i="1"/>
  <c r="AD94" i="1" s="1"/>
  <c r="CR94" i="1" s="1"/>
  <c r="Q94" i="1" s="1"/>
  <c r="AF94" i="1"/>
  <c r="AG94" i="1"/>
  <c r="CU94" i="1" s="1"/>
  <c r="T94" i="1" s="1"/>
  <c r="AH94" i="1"/>
  <c r="AI94" i="1"/>
  <c r="CW94" i="1" s="1"/>
  <c r="V94" i="1" s="1"/>
  <c r="AJ94" i="1"/>
  <c r="CT94" i="1"/>
  <c r="S94" i="1" s="1"/>
  <c r="CV94" i="1"/>
  <c r="U94" i="1" s="1"/>
  <c r="CX94" i="1"/>
  <c r="W94" i="1" s="1"/>
  <c r="FR94" i="1"/>
  <c r="GL94" i="1"/>
  <c r="GO94" i="1"/>
  <c r="GP94" i="1"/>
  <c r="GV94" i="1"/>
  <c r="GX94" i="1"/>
  <c r="HC94" i="1"/>
  <c r="I95" i="1"/>
  <c r="AC95" i="1"/>
  <c r="AD95" i="1"/>
  <c r="CR95" i="1" s="1"/>
  <c r="Q95" i="1" s="1"/>
  <c r="AE95" i="1"/>
  <c r="AF95" i="1"/>
  <c r="CT95" i="1" s="1"/>
  <c r="S95" i="1" s="1"/>
  <c r="AG95" i="1"/>
  <c r="AH95" i="1"/>
  <c r="CV95" i="1" s="1"/>
  <c r="U95" i="1" s="1"/>
  <c r="AI95" i="1"/>
  <c r="AJ95" i="1"/>
  <c r="CX95" i="1" s="1"/>
  <c r="W95" i="1" s="1"/>
  <c r="CQ95" i="1"/>
  <c r="P95" i="1" s="1"/>
  <c r="CS95" i="1"/>
  <c r="R95" i="1" s="1"/>
  <c r="CU95" i="1"/>
  <c r="T95" i="1" s="1"/>
  <c r="CW95" i="1"/>
  <c r="V95" i="1" s="1"/>
  <c r="FR95" i="1"/>
  <c r="GL95" i="1"/>
  <c r="GO95" i="1"/>
  <c r="GP95" i="1"/>
  <c r="GV95" i="1"/>
  <c r="HC95" i="1"/>
  <c r="GX95" i="1" s="1"/>
  <c r="C96" i="1"/>
  <c r="D96" i="1"/>
  <c r="I96" i="1"/>
  <c r="AC96" i="1"/>
  <c r="AB96" i="1" s="1"/>
  <c r="AE96" i="1"/>
  <c r="AD96" i="1" s="1"/>
  <c r="CR96" i="1" s="1"/>
  <c r="Q96" i="1" s="1"/>
  <c r="AF96" i="1"/>
  <c r="AG96" i="1"/>
  <c r="CU96" i="1" s="1"/>
  <c r="T96" i="1" s="1"/>
  <c r="AH96" i="1"/>
  <c r="AI96" i="1"/>
  <c r="CW96" i="1" s="1"/>
  <c r="V96" i="1" s="1"/>
  <c r="AJ96" i="1"/>
  <c r="CT96" i="1"/>
  <c r="S96" i="1" s="1"/>
  <c r="CV96" i="1"/>
  <c r="U96" i="1" s="1"/>
  <c r="CX96" i="1"/>
  <c r="W96" i="1" s="1"/>
  <c r="FR96" i="1"/>
  <c r="GL96" i="1"/>
  <c r="GO96" i="1"/>
  <c r="GP96" i="1"/>
  <c r="GV96" i="1"/>
  <c r="GX96" i="1"/>
  <c r="HC96" i="1"/>
  <c r="I97" i="1"/>
  <c r="AC97" i="1"/>
  <c r="AD97" i="1"/>
  <c r="CR97" i="1" s="1"/>
  <c r="Q97" i="1" s="1"/>
  <c r="AE97" i="1"/>
  <c r="AF97" i="1"/>
  <c r="CT97" i="1" s="1"/>
  <c r="S97" i="1" s="1"/>
  <c r="AG97" i="1"/>
  <c r="AH97" i="1"/>
  <c r="CV97" i="1" s="1"/>
  <c r="U97" i="1" s="1"/>
  <c r="AI97" i="1"/>
  <c r="AJ97" i="1"/>
  <c r="CX97" i="1" s="1"/>
  <c r="W97" i="1" s="1"/>
  <c r="CQ97" i="1"/>
  <c r="P97" i="1" s="1"/>
  <c r="CP97" i="1" s="1"/>
  <c r="O97" i="1" s="1"/>
  <c r="CS97" i="1"/>
  <c r="R97" i="1" s="1"/>
  <c r="CU97" i="1"/>
  <c r="T97" i="1" s="1"/>
  <c r="CW97" i="1"/>
  <c r="V97" i="1" s="1"/>
  <c r="CY97" i="1"/>
  <c r="X97" i="1" s="1"/>
  <c r="FR97" i="1"/>
  <c r="GL97" i="1"/>
  <c r="GO97" i="1"/>
  <c r="GP97" i="1"/>
  <c r="GV97" i="1"/>
  <c r="HC97" i="1" s="1"/>
  <c r="GX97" i="1" s="1"/>
  <c r="C98" i="1"/>
  <c r="D98" i="1"/>
  <c r="I98" i="1"/>
  <c r="U98" i="1"/>
  <c r="AC98" i="1"/>
  <c r="AE98" i="1"/>
  <c r="AF98" i="1"/>
  <c r="AG98" i="1"/>
  <c r="CU98" i="1" s="1"/>
  <c r="T98" i="1" s="1"/>
  <c r="AH98" i="1"/>
  <c r="AI98" i="1"/>
  <c r="CW98" i="1" s="1"/>
  <c r="V98" i="1" s="1"/>
  <c r="AJ98" i="1"/>
  <c r="CT98" i="1"/>
  <c r="S98" i="1" s="1"/>
  <c r="CV98" i="1"/>
  <c r="CX98" i="1"/>
  <c r="W98" i="1" s="1"/>
  <c r="FR98" i="1"/>
  <c r="GL98" i="1"/>
  <c r="GO98" i="1"/>
  <c r="GP98" i="1"/>
  <c r="GV98" i="1"/>
  <c r="GX98" i="1"/>
  <c r="HC98" i="1"/>
  <c r="I99" i="1"/>
  <c r="AC99" i="1"/>
  <c r="AD99" i="1"/>
  <c r="CR99" i="1" s="1"/>
  <c r="Q99" i="1" s="1"/>
  <c r="AE99" i="1"/>
  <c r="AF99" i="1"/>
  <c r="CT99" i="1" s="1"/>
  <c r="S99" i="1" s="1"/>
  <c r="AG99" i="1"/>
  <c r="AH99" i="1"/>
  <c r="CV99" i="1" s="1"/>
  <c r="U99" i="1" s="1"/>
  <c r="AI99" i="1"/>
  <c r="AJ99" i="1"/>
  <c r="CX99" i="1" s="1"/>
  <c r="W99" i="1" s="1"/>
  <c r="CQ99" i="1"/>
  <c r="P99" i="1" s="1"/>
  <c r="CP99" i="1" s="1"/>
  <c r="O99" i="1" s="1"/>
  <c r="CS99" i="1"/>
  <c r="R99" i="1" s="1"/>
  <c r="CU99" i="1"/>
  <c r="T99" i="1" s="1"/>
  <c r="CW99" i="1"/>
  <c r="V99" i="1" s="1"/>
  <c r="FR99" i="1"/>
  <c r="GL99" i="1"/>
  <c r="GO99" i="1"/>
  <c r="GP99" i="1"/>
  <c r="GV99" i="1"/>
  <c r="HC99" i="1"/>
  <c r="GX99" i="1" s="1"/>
  <c r="C100" i="1"/>
  <c r="D100" i="1"/>
  <c r="I100" i="1"/>
  <c r="S100" i="1"/>
  <c r="W100" i="1"/>
  <c r="AC100" i="1"/>
  <c r="AE100" i="1"/>
  <c r="AF100" i="1"/>
  <c r="AG100" i="1"/>
  <c r="CU100" i="1" s="1"/>
  <c r="T100" i="1" s="1"/>
  <c r="AH100" i="1"/>
  <c r="AI100" i="1"/>
  <c r="CW100" i="1" s="1"/>
  <c r="V100" i="1" s="1"/>
  <c r="AJ100" i="1"/>
  <c r="CT100" i="1"/>
  <c r="CV100" i="1"/>
  <c r="U100" i="1" s="1"/>
  <c r="CX100" i="1"/>
  <c r="FR100" i="1"/>
  <c r="GL100" i="1"/>
  <c r="GO100" i="1"/>
  <c r="GP100" i="1"/>
  <c r="GV100" i="1"/>
  <c r="GX100" i="1"/>
  <c r="HC100" i="1"/>
  <c r="C101" i="1"/>
  <c r="D101" i="1"/>
  <c r="I101" i="1"/>
  <c r="AC101" i="1"/>
  <c r="AD101" i="1"/>
  <c r="CR101" i="1" s="1"/>
  <c r="Q101" i="1" s="1"/>
  <c r="AE101" i="1"/>
  <c r="AF101" i="1"/>
  <c r="CT101" i="1" s="1"/>
  <c r="S101" i="1" s="1"/>
  <c r="AG101" i="1"/>
  <c r="AH101" i="1"/>
  <c r="CV101" i="1" s="1"/>
  <c r="U101" i="1" s="1"/>
  <c r="AI101" i="1"/>
  <c r="AJ101" i="1"/>
  <c r="CX101" i="1" s="1"/>
  <c r="W101" i="1" s="1"/>
  <c r="CQ101" i="1"/>
  <c r="P101" i="1" s="1"/>
  <c r="CP101" i="1" s="1"/>
  <c r="O101" i="1" s="1"/>
  <c r="CS101" i="1"/>
  <c r="R101" i="1" s="1"/>
  <c r="CY101" i="1" s="1"/>
  <c r="X101" i="1" s="1"/>
  <c r="CU101" i="1"/>
  <c r="T101" i="1" s="1"/>
  <c r="CW101" i="1"/>
  <c r="V101" i="1" s="1"/>
  <c r="FR101" i="1"/>
  <c r="GL101" i="1"/>
  <c r="GO101" i="1"/>
  <c r="GP101" i="1"/>
  <c r="GV101" i="1"/>
  <c r="HC101" i="1" s="1"/>
  <c r="GX101" i="1" s="1"/>
  <c r="AC102" i="1"/>
  <c r="AE102" i="1"/>
  <c r="AF102" i="1"/>
  <c r="AG102" i="1"/>
  <c r="CU102" i="1" s="1"/>
  <c r="AH102" i="1"/>
  <c r="AI102" i="1"/>
  <c r="CW102" i="1" s="1"/>
  <c r="AJ102" i="1"/>
  <c r="CT102" i="1"/>
  <c r="CV102" i="1"/>
  <c r="CX102" i="1"/>
  <c r="FR102" i="1"/>
  <c r="GL102" i="1"/>
  <c r="GO102" i="1"/>
  <c r="GP102" i="1"/>
  <c r="GV102" i="1"/>
  <c r="HC102" i="1"/>
  <c r="C103" i="1"/>
  <c r="D103" i="1"/>
  <c r="I103" i="1"/>
  <c r="AC103" i="1"/>
  <c r="AD103" i="1"/>
  <c r="CR103" i="1" s="1"/>
  <c r="Q103" i="1" s="1"/>
  <c r="AE103" i="1"/>
  <c r="AF103" i="1"/>
  <c r="CT103" i="1" s="1"/>
  <c r="S103" i="1" s="1"/>
  <c r="AG103" i="1"/>
  <c r="AH103" i="1"/>
  <c r="CV103" i="1" s="1"/>
  <c r="U103" i="1" s="1"/>
  <c r="AI103" i="1"/>
  <c r="AJ103" i="1"/>
  <c r="CX103" i="1" s="1"/>
  <c r="W103" i="1" s="1"/>
  <c r="CQ103" i="1"/>
  <c r="P103" i="1" s="1"/>
  <c r="CP103" i="1" s="1"/>
  <c r="O103" i="1" s="1"/>
  <c r="CS103" i="1"/>
  <c r="R103" i="1" s="1"/>
  <c r="CY103" i="1" s="1"/>
  <c r="X103" i="1" s="1"/>
  <c r="CU103" i="1"/>
  <c r="T103" i="1" s="1"/>
  <c r="CW103" i="1"/>
  <c r="V103" i="1" s="1"/>
  <c r="FR103" i="1"/>
  <c r="GL103" i="1"/>
  <c r="GO103" i="1"/>
  <c r="GP103" i="1"/>
  <c r="GV103" i="1"/>
  <c r="HC103" i="1" s="1"/>
  <c r="GX103" i="1" s="1"/>
  <c r="AC104" i="1"/>
  <c r="AE104" i="1"/>
  <c r="AF104" i="1"/>
  <c r="AG104" i="1"/>
  <c r="CU104" i="1" s="1"/>
  <c r="AH104" i="1"/>
  <c r="AI104" i="1"/>
  <c r="CW104" i="1" s="1"/>
  <c r="AJ104" i="1"/>
  <c r="CT104" i="1"/>
  <c r="CV104" i="1"/>
  <c r="CX104" i="1"/>
  <c r="FR104" i="1"/>
  <c r="GL104" i="1"/>
  <c r="GO104" i="1"/>
  <c r="GP104" i="1"/>
  <c r="GV104" i="1"/>
  <c r="HC104" i="1"/>
  <c r="C105" i="1"/>
  <c r="D105" i="1"/>
  <c r="I105" i="1"/>
  <c r="CX285" i="3" s="1"/>
  <c r="AC105" i="1"/>
  <c r="AD105" i="1"/>
  <c r="CR105" i="1" s="1"/>
  <c r="Q105" i="1" s="1"/>
  <c r="AE105" i="1"/>
  <c r="AF105" i="1"/>
  <c r="CT105" i="1" s="1"/>
  <c r="S105" i="1" s="1"/>
  <c r="AG105" i="1"/>
  <c r="AH105" i="1"/>
  <c r="CV105" i="1" s="1"/>
  <c r="U105" i="1" s="1"/>
  <c r="AI105" i="1"/>
  <c r="AJ105" i="1"/>
  <c r="CX105" i="1" s="1"/>
  <c r="W105" i="1" s="1"/>
  <c r="CQ105" i="1"/>
  <c r="P105" i="1" s="1"/>
  <c r="CP105" i="1" s="1"/>
  <c r="O105" i="1" s="1"/>
  <c r="CS105" i="1"/>
  <c r="R105" i="1" s="1"/>
  <c r="CY105" i="1" s="1"/>
  <c r="X105" i="1" s="1"/>
  <c r="CU105" i="1"/>
  <c r="T105" i="1" s="1"/>
  <c r="CW105" i="1"/>
  <c r="V105" i="1" s="1"/>
  <c r="FR105" i="1"/>
  <c r="GL105" i="1"/>
  <c r="GO105" i="1"/>
  <c r="GP105" i="1"/>
  <c r="GV105" i="1"/>
  <c r="HC105" i="1" s="1"/>
  <c r="GX105" i="1" s="1"/>
  <c r="C106" i="1"/>
  <c r="D106" i="1"/>
  <c r="I106" i="1"/>
  <c r="U106" i="1"/>
  <c r="AC106" i="1"/>
  <c r="AE106" i="1"/>
  <c r="AF106" i="1"/>
  <c r="AG106" i="1"/>
  <c r="CU106" i="1" s="1"/>
  <c r="T106" i="1" s="1"/>
  <c r="AH106" i="1"/>
  <c r="AI106" i="1"/>
  <c r="CW106" i="1" s="1"/>
  <c r="V106" i="1" s="1"/>
  <c r="AJ106" i="1"/>
  <c r="CT106" i="1"/>
  <c r="S106" i="1" s="1"/>
  <c r="CV106" i="1"/>
  <c r="CX106" i="1"/>
  <c r="W106" i="1" s="1"/>
  <c r="FR106" i="1"/>
  <c r="GL106" i="1"/>
  <c r="GO106" i="1"/>
  <c r="GP106" i="1"/>
  <c r="GV106" i="1"/>
  <c r="GX106" i="1"/>
  <c r="HC106" i="1"/>
  <c r="I107" i="1"/>
  <c r="AC107" i="1"/>
  <c r="AD107" i="1"/>
  <c r="CR107" i="1" s="1"/>
  <c r="Q107" i="1" s="1"/>
  <c r="AE107" i="1"/>
  <c r="AF107" i="1"/>
  <c r="CT107" i="1" s="1"/>
  <c r="S107" i="1" s="1"/>
  <c r="AG107" i="1"/>
  <c r="AH107" i="1"/>
  <c r="CV107" i="1" s="1"/>
  <c r="U107" i="1" s="1"/>
  <c r="AI107" i="1"/>
  <c r="AJ107" i="1"/>
  <c r="CX107" i="1" s="1"/>
  <c r="W107" i="1" s="1"/>
  <c r="CQ107" i="1"/>
  <c r="P107" i="1" s="1"/>
  <c r="CP107" i="1" s="1"/>
  <c r="O107" i="1" s="1"/>
  <c r="CS107" i="1"/>
  <c r="R107" i="1" s="1"/>
  <c r="CU107" i="1"/>
  <c r="T107" i="1" s="1"/>
  <c r="CW107" i="1"/>
  <c r="V107" i="1" s="1"/>
  <c r="FR107" i="1"/>
  <c r="GL107" i="1"/>
  <c r="GO107" i="1"/>
  <c r="GP107" i="1"/>
  <c r="GV107" i="1"/>
  <c r="HC107" i="1"/>
  <c r="GX107" i="1" s="1"/>
  <c r="C108" i="1"/>
  <c r="D108" i="1"/>
  <c r="I108" i="1"/>
  <c r="S108" i="1"/>
  <c r="W108" i="1"/>
  <c r="AC108" i="1"/>
  <c r="AE108" i="1"/>
  <c r="AF108" i="1"/>
  <c r="AG108" i="1"/>
  <c r="CU108" i="1" s="1"/>
  <c r="T108" i="1" s="1"/>
  <c r="AH108" i="1"/>
  <c r="AI108" i="1"/>
  <c r="CW108" i="1" s="1"/>
  <c r="V108" i="1" s="1"/>
  <c r="AJ108" i="1"/>
  <c r="CT108" i="1"/>
  <c r="CV108" i="1"/>
  <c r="U108" i="1" s="1"/>
  <c r="CX108" i="1"/>
  <c r="FR108" i="1"/>
  <c r="GL108" i="1"/>
  <c r="GN108" i="1"/>
  <c r="GP108" i="1"/>
  <c r="GV108" i="1"/>
  <c r="GX108" i="1"/>
  <c r="HC108" i="1"/>
  <c r="I109" i="1"/>
  <c r="AC109" i="1"/>
  <c r="AD109" i="1"/>
  <c r="CR109" i="1" s="1"/>
  <c r="Q109" i="1" s="1"/>
  <c r="AE109" i="1"/>
  <c r="AF109" i="1"/>
  <c r="CT109" i="1" s="1"/>
  <c r="S109" i="1" s="1"/>
  <c r="AG109" i="1"/>
  <c r="AH109" i="1"/>
  <c r="CV109" i="1" s="1"/>
  <c r="U109" i="1" s="1"/>
  <c r="AI109" i="1"/>
  <c r="AJ109" i="1"/>
  <c r="CX109" i="1" s="1"/>
  <c r="W109" i="1" s="1"/>
  <c r="CQ109" i="1"/>
  <c r="P109" i="1" s="1"/>
  <c r="CP109" i="1" s="1"/>
  <c r="O109" i="1" s="1"/>
  <c r="CS109" i="1"/>
  <c r="R109" i="1" s="1"/>
  <c r="CU109" i="1"/>
  <c r="T109" i="1" s="1"/>
  <c r="CW109" i="1"/>
  <c r="V109" i="1" s="1"/>
  <c r="FR109" i="1"/>
  <c r="GL109" i="1"/>
  <c r="GN109" i="1"/>
  <c r="GP109" i="1"/>
  <c r="GV109" i="1"/>
  <c r="HC109" i="1" s="1"/>
  <c r="GX109" i="1" s="1"/>
  <c r="I110" i="1"/>
  <c r="U110" i="1"/>
  <c r="AC110" i="1"/>
  <c r="AE110" i="1"/>
  <c r="AF110" i="1"/>
  <c r="AG110" i="1"/>
  <c r="CU110" i="1" s="1"/>
  <c r="T110" i="1" s="1"/>
  <c r="AH110" i="1"/>
  <c r="AI110" i="1"/>
  <c r="CW110" i="1" s="1"/>
  <c r="V110" i="1" s="1"/>
  <c r="AJ110" i="1"/>
  <c r="CT110" i="1"/>
  <c r="S110" i="1" s="1"/>
  <c r="CV110" i="1"/>
  <c r="CX110" i="1"/>
  <c r="W110" i="1" s="1"/>
  <c r="FR110" i="1"/>
  <c r="GL110" i="1"/>
  <c r="GN110" i="1"/>
  <c r="GP110" i="1"/>
  <c r="GV110" i="1"/>
  <c r="GX110" i="1"/>
  <c r="HC110" i="1"/>
  <c r="I111" i="1"/>
  <c r="AC111" i="1"/>
  <c r="AD111" i="1"/>
  <c r="CR111" i="1" s="1"/>
  <c r="Q111" i="1" s="1"/>
  <c r="AE111" i="1"/>
  <c r="AF111" i="1"/>
  <c r="CT111" i="1" s="1"/>
  <c r="S111" i="1" s="1"/>
  <c r="AG111" i="1"/>
  <c r="AH111" i="1"/>
  <c r="CV111" i="1" s="1"/>
  <c r="U111" i="1" s="1"/>
  <c r="AI111" i="1"/>
  <c r="AJ111" i="1"/>
  <c r="CX111" i="1" s="1"/>
  <c r="W111" i="1" s="1"/>
  <c r="CQ111" i="1"/>
  <c r="P111" i="1" s="1"/>
  <c r="CP111" i="1" s="1"/>
  <c r="O111" i="1" s="1"/>
  <c r="CS111" i="1"/>
  <c r="R111" i="1" s="1"/>
  <c r="CY111" i="1" s="1"/>
  <c r="X111" i="1" s="1"/>
  <c r="CU111" i="1"/>
  <c r="T111" i="1" s="1"/>
  <c r="CW111" i="1"/>
  <c r="V111" i="1" s="1"/>
  <c r="FR111" i="1"/>
  <c r="GL111" i="1"/>
  <c r="GN111" i="1"/>
  <c r="GP111" i="1"/>
  <c r="GV111" i="1"/>
  <c r="HC111" i="1"/>
  <c r="GX111" i="1" s="1"/>
  <c r="I112" i="1"/>
  <c r="S112" i="1"/>
  <c r="W112" i="1"/>
  <c r="AC112" i="1"/>
  <c r="AE112" i="1"/>
  <c r="AF112" i="1"/>
  <c r="AG112" i="1"/>
  <c r="CU112" i="1" s="1"/>
  <c r="T112" i="1" s="1"/>
  <c r="AH112" i="1"/>
  <c r="AI112" i="1"/>
  <c r="CW112" i="1" s="1"/>
  <c r="V112" i="1" s="1"/>
  <c r="AJ112" i="1"/>
  <c r="CT112" i="1"/>
  <c r="CV112" i="1"/>
  <c r="U112" i="1" s="1"/>
  <c r="CX112" i="1"/>
  <c r="FR112" i="1"/>
  <c r="GL112" i="1"/>
  <c r="GN112" i="1"/>
  <c r="GP112" i="1"/>
  <c r="GV112" i="1"/>
  <c r="GX112" i="1"/>
  <c r="HC112" i="1"/>
  <c r="C113" i="1"/>
  <c r="D113" i="1"/>
  <c r="I113" i="1"/>
  <c r="AC113" i="1"/>
  <c r="AD113" i="1"/>
  <c r="CR113" i="1" s="1"/>
  <c r="Q113" i="1" s="1"/>
  <c r="AE113" i="1"/>
  <c r="AF113" i="1"/>
  <c r="CT113" i="1" s="1"/>
  <c r="S113" i="1" s="1"/>
  <c r="AG113" i="1"/>
  <c r="AH113" i="1"/>
  <c r="CV113" i="1" s="1"/>
  <c r="U113" i="1" s="1"/>
  <c r="AI113" i="1"/>
  <c r="AJ113" i="1"/>
  <c r="CX113" i="1" s="1"/>
  <c r="W113" i="1" s="1"/>
  <c r="CQ113" i="1"/>
  <c r="P113" i="1" s="1"/>
  <c r="CP113" i="1" s="1"/>
  <c r="O113" i="1" s="1"/>
  <c r="CS113" i="1"/>
  <c r="R113" i="1" s="1"/>
  <c r="CU113" i="1"/>
  <c r="T113" i="1" s="1"/>
  <c r="CW113" i="1"/>
  <c r="V113" i="1" s="1"/>
  <c r="FR113" i="1"/>
  <c r="GL113" i="1"/>
  <c r="GN113" i="1"/>
  <c r="GP113" i="1"/>
  <c r="GV113" i="1"/>
  <c r="HC113" i="1" s="1"/>
  <c r="GX113" i="1" s="1"/>
  <c r="AC114" i="1"/>
  <c r="AE114" i="1"/>
  <c r="AF114" i="1"/>
  <c r="AG114" i="1"/>
  <c r="CU114" i="1" s="1"/>
  <c r="AH114" i="1"/>
  <c r="AI114" i="1"/>
  <c r="CW114" i="1" s="1"/>
  <c r="AJ114" i="1"/>
  <c r="CT114" i="1"/>
  <c r="CV114" i="1"/>
  <c r="CX114" i="1"/>
  <c r="FR114" i="1"/>
  <c r="GL114" i="1"/>
  <c r="GN114" i="1"/>
  <c r="GP114" i="1"/>
  <c r="GV114" i="1"/>
  <c r="HC114" i="1"/>
  <c r="I115" i="1"/>
  <c r="AC115" i="1"/>
  <c r="AD115" i="1"/>
  <c r="CR115" i="1" s="1"/>
  <c r="Q115" i="1" s="1"/>
  <c r="AE115" i="1"/>
  <c r="AF115" i="1"/>
  <c r="CT115" i="1" s="1"/>
  <c r="S115" i="1" s="1"/>
  <c r="AG115" i="1"/>
  <c r="AH115" i="1"/>
  <c r="CV115" i="1" s="1"/>
  <c r="U115" i="1" s="1"/>
  <c r="AI115" i="1"/>
  <c r="AJ115" i="1"/>
  <c r="CX115" i="1" s="1"/>
  <c r="W115" i="1" s="1"/>
  <c r="CQ115" i="1"/>
  <c r="P115" i="1" s="1"/>
  <c r="CP115" i="1" s="1"/>
  <c r="O115" i="1" s="1"/>
  <c r="CS115" i="1"/>
  <c r="R115" i="1" s="1"/>
  <c r="CU115" i="1"/>
  <c r="T115" i="1" s="1"/>
  <c r="CW115" i="1"/>
  <c r="V115" i="1" s="1"/>
  <c r="FR115" i="1"/>
  <c r="GL115" i="1"/>
  <c r="GN115" i="1"/>
  <c r="GP115" i="1"/>
  <c r="GV115" i="1"/>
  <c r="HC115" i="1" s="1"/>
  <c r="GX115" i="1" s="1"/>
  <c r="AC116" i="1"/>
  <c r="AE116" i="1"/>
  <c r="AF116" i="1"/>
  <c r="AG116" i="1"/>
  <c r="CU116" i="1" s="1"/>
  <c r="AH116" i="1"/>
  <c r="AI116" i="1"/>
  <c r="CW116" i="1" s="1"/>
  <c r="AJ116" i="1"/>
  <c r="CT116" i="1"/>
  <c r="CV116" i="1"/>
  <c r="CX116" i="1"/>
  <c r="FR116" i="1"/>
  <c r="GL116" i="1"/>
  <c r="GN116" i="1"/>
  <c r="GP116" i="1"/>
  <c r="GV116" i="1"/>
  <c r="HC116" i="1"/>
  <c r="I117" i="1"/>
  <c r="AC117" i="1"/>
  <c r="AD117" i="1"/>
  <c r="CR117" i="1" s="1"/>
  <c r="Q117" i="1" s="1"/>
  <c r="AE117" i="1"/>
  <c r="AF117" i="1"/>
  <c r="CT117" i="1" s="1"/>
  <c r="S117" i="1" s="1"/>
  <c r="AG117" i="1"/>
  <c r="AH117" i="1"/>
  <c r="CV117" i="1" s="1"/>
  <c r="U117" i="1" s="1"/>
  <c r="AI117" i="1"/>
  <c r="AJ117" i="1"/>
  <c r="CX117" i="1" s="1"/>
  <c r="W117" i="1" s="1"/>
  <c r="CQ117" i="1"/>
  <c r="P117" i="1" s="1"/>
  <c r="CP117" i="1" s="1"/>
  <c r="O117" i="1" s="1"/>
  <c r="CS117" i="1"/>
  <c r="R117" i="1" s="1"/>
  <c r="CU117" i="1"/>
  <c r="T117" i="1" s="1"/>
  <c r="CW117" i="1"/>
  <c r="V117" i="1" s="1"/>
  <c r="FR117" i="1"/>
  <c r="GL117" i="1"/>
  <c r="GN117" i="1"/>
  <c r="GP117" i="1"/>
  <c r="GV117" i="1"/>
  <c r="HC117" i="1" s="1"/>
  <c r="GX117" i="1" s="1"/>
  <c r="AC118" i="1"/>
  <c r="AE118" i="1"/>
  <c r="AF118" i="1"/>
  <c r="AG118" i="1"/>
  <c r="CU118" i="1" s="1"/>
  <c r="AH118" i="1"/>
  <c r="AI118" i="1"/>
  <c r="CW118" i="1" s="1"/>
  <c r="AJ118" i="1"/>
  <c r="CT118" i="1"/>
  <c r="CV118" i="1"/>
  <c r="CX118" i="1"/>
  <c r="FR118" i="1"/>
  <c r="GL118" i="1"/>
  <c r="GN118" i="1"/>
  <c r="GP118" i="1"/>
  <c r="GV118" i="1"/>
  <c r="HC118" i="1"/>
  <c r="I119" i="1"/>
  <c r="AC119" i="1"/>
  <c r="AD119" i="1"/>
  <c r="CR119" i="1" s="1"/>
  <c r="Q119" i="1" s="1"/>
  <c r="AE119" i="1"/>
  <c r="AF119" i="1"/>
  <c r="CT119" i="1" s="1"/>
  <c r="S119" i="1" s="1"/>
  <c r="AG119" i="1"/>
  <c r="AH119" i="1"/>
  <c r="CV119" i="1" s="1"/>
  <c r="U119" i="1" s="1"/>
  <c r="AI119" i="1"/>
  <c r="AJ119" i="1"/>
  <c r="CX119" i="1" s="1"/>
  <c r="W119" i="1" s="1"/>
  <c r="CQ119" i="1"/>
  <c r="P119" i="1" s="1"/>
  <c r="CP119" i="1" s="1"/>
  <c r="O119" i="1" s="1"/>
  <c r="CS119" i="1"/>
  <c r="R119" i="1" s="1"/>
  <c r="CY119" i="1" s="1"/>
  <c r="X119" i="1" s="1"/>
  <c r="CU119" i="1"/>
  <c r="T119" i="1" s="1"/>
  <c r="CW119" i="1"/>
  <c r="V119" i="1" s="1"/>
  <c r="FR119" i="1"/>
  <c r="GL119" i="1"/>
  <c r="GN119" i="1"/>
  <c r="GP119" i="1"/>
  <c r="GV119" i="1"/>
  <c r="HC119" i="1"/>
  <c r="GX119" i="1" s="1"/>
  <c r="AC120" i="1"/>
  <c r="AB120" i="1" s="1"/>
  <c r="AE120" i="1"/>
  <c r="AD120" i="1" s="1"/>
  <c r="CR120" i="1" s="1"/>
  <c r="AF120" i="1"/>
  <c r="AG120" i="1"/>
  <c r="CU120" i="1" s="1"/>
  <c r="AH120" i="1"/>
  <c r="AI120" i="1"/>
  <c r="CW120" i="1" s="1"/>
  <c r="AJ120" i="1"/>
  <c r="CT120" i="1"/>
  <c r="CV120" i="1"/>
  <c r="CX120" i="1"/>
  <c r="FR120" i="1"/>
  <c r="GL120" i="1"/>
  <c r="GN120" i="1"/>
  <c r="GP120" i="1"/>
  <c r="GV120" i="1"/>
  <c r="HC120" i="1"/>
  <c r="I121" i="1"/>
  <c r="AC121" i="1"/>
  <c r="AD121" i="1"/>
  <c r="CR121" i="1" s="1"/>
  <c r="Q121" i="1" s="1"/>
  <c r="AE121" i="1"/>
  <c r="AF121" i="1"/>
  <c r="CT121" i="1" s="1"/>
  <c r="S121" i="1" s="1"/>
  <c r="AG121" i="1"/>
  <c r="AH121" i="1"/>
  <c r="CV121" i="1" s="1"/>
  <c r="U121" i="1" s="1"/>
  <c r="AI121" i="1"/>
  <c r="AJ121" i="1"/>
  <c r="CX121" i="1" s="1"/>
  <c r="W121" i="1" s="1"/>
  <c r="CQ121" i="1"/>
  <c r="P121" i="1" s="1"/>
  <c r="CS121" i="1"/>
  <c r="R121" i="1" s="1"/>
  <c r="CU121" i="1"/>
  <c r="T121" i="1" s="1"/>
  <c r="CW121" i="1"/>
  <c r="V121" i="1" s="1"/>
  <c r="FR121" i="1"/>
  <c r="GL121" i="1"/>
  <c r="GN121" i="1"/>
  <c r="GP121" i="1"/>
  <c r="GV121" i="1"/>
  <c r="HC121" i="1"/>
  <c r="GX121" i="1" s="1"/>
  <c r="AC122" i="1"/>
  <c r="AE122" i="1"/>
  <c r="AD122" i="1" s="1"/>
  <c r="CR122" i="1" s="1"/>
  <c r="AF122" i="1"/>
  <c r="AG122" i="1"/>
  <c r="CU122" i="1" s="1"/>
  <c r="AH122" i="1"/>
  <c r="AI122" i="1"/>
  <c r="CW122" i="1" s="1"/>
  <c r="AJ122" i="1"/>
  <c r="CT122" i="1"/>
  <c r="CV122" i="1"/>
  <c r="CX122" i="1"/>
  <c r="FR122" i="1"/>
  <c r="GL122" i="1"/>
  <c r="GN122" i="1"/>
  <c r="GP122" i="1"/>
  <c r="GV122" i="1"/>
  <c r="HC122" i="1"/>
  <c r="I123" i="1"/>
  <c r="AC123" i="1"/>
  <c r="AD123" i="1"/>
  <c r="CR123" i="1" s="1"/>
  <c r="Q123" i="1" s="1"/>
  <c r="AE123" i="1"/>
  <c r="AF123" i="1"/>
  <c r="CT123" i="1" s="1"/>
  <c r="S123" i="1" s="1"/>
  <c r="AG123" i="1"/>
  <c r="AH123" i="1"/>
  <c r="CV123" i="1" s="1"/>
  <c r="U123" i="1" s="1"/>
  <c r="AI123" i="1"/>
  <c r="AJ123" i="1"/>
  <c r="CX123" i="1" s="1"/>
  <c r="W123" i="1" s="1"/>
  <c r="CQ123" i="1"/>
  <c r="P123" i="1" s="1"/>
  <c r="CP123" i="1" s="1"/>
  <c r="O123" i="1" s="1"/>
  <c r="CS123" i="1"/>
  <c r="R123" i="1" s="1"/>
  <c r="CU123" i="1"/>
  <c r="T123" i="1" s="1"/>
  <c r="CW123" i="1"/>
  <c r="V123" i="1" s="1"/>
  <c r="FR123" i="1"/>
  <c r="GL123" i="1"/>
  <c r="GN123" i="1"/>
  <c r="GP123" i="1"/>
  <c r="GV123" i="1"/>
  <c r="HC123" i="1"/>
  <c r="GX123" i="1" s="1"/>
  <c r="C124" i="1"/>
  <c r="D124" i="1"/>
  <c r="I124" i="1"/>
  <c r="AC124" i="1"/>
  <c r="AE124" i="1"/>
  <c r="AD124" i="1" s="1"/>
  <c r="CR124" i="1" s="1"/>
  <c r="Q124" i="1" s="1"/>
  <c r="AF124" i="1"/>
  <c r="AG124" i="1"/>
  <c r="CU124" i="1" s="1"/>
  <c r="T124" i="1" s="1"/>
  <c r="AH124" i="1"/>
  <c r="AI124" i="1"/>
  <c r="CW124" i="1" s="1"/>
  <c r="V124" i="1" s="1"/>
  <c r="AJ124" i="1"/>
  <c r="CT124" i="1"/>
  <c r="S124" i="1" s="1"/>
  <c r="CV124" i="1"/>
  <c r="U124" i="1" s="1"/>
  <c r="CX124" i="1"/>
  <c r="W124" i="1" s="1"/>
  <c r="FR124" i="1"/>
  <c r="GL124" i="1"/>
  <c r="GO124" i="1"/>
  <c r="GP124" i="1"/>
  <c r="GV124" i="1"/>
  <c r="GX124" i="1"/>
  <c r="HC124" i="1"/>
  <c r="C125" i="1"/>
  <c r="D125" i="1"/>
  <c r="I125" i="1"/>
  <c r="AC125" i="1"/>
  <c r="AD125" i="1"/>
  <c r="CR125" i="1" s="1"/>
  <c r="Q125" i="1" s="1"/>
  <c r="AE125" i="1"/>
  <c r="AF125" i="1"/>
  <c r="CT125" i="1" s="1"/>
  <c r="S125" i="1" s="1"/>
  <c r="AG125" i="1"/>
  <c r="AH125" i="1"/>
  <c r="CV125" i="1" s="1"/>
  <c r="U125" i="1" s="1"/>
  <c r="AI125" i="1"/>
  <c r="AJ125" i="1"/>
  <c r="CX125" i="1" s="1"/>
  <c r="W125" i="1" s="1"/>
  <c r="CQ125" i="1"/>
  <c r="P125" i="1" s="1"/>
  <c r="CS125" i="1"/>
  <c r="R125" i="1" s="1"/>
  <c r="CU125" i="1"/>
  <c r="T125" i="1" s="1"/>
  <c r="CW125" i="1"/>
  <c r="V125" i="1" s="1"/>
  <c r="FR125" i="1"/>
  <c r="GL125" i="1"/>
  <c r="GO125" i="1"/>
  <c r="GP125" i="1"/>
  <c r="GV125" i="1"/>
  <c r="HC125" i="1"/>
  <c r="GX125" i="1" s="1"/>
  <c r="AC126" i="1"/>
  <c r="AE126" i="1"/>
  <c r="AD126" i="1" s="1"/>
  <c r="CR126" i="1" s="1"/>
  <c r="AF126" i="1"/>
  <c r="AG126" i="1"/>
  <c r="CU126" i="1" s="1"/>
  <c r="AH126" i="1"/>
  <c r="AI126" i="1"/>
  <c r="CW126" i="1" s="1"/>
  <c r="AJ126" i="1"/>
  <c r="CT126" i="1"/>
  <c r="CV126" i="1"/>
  <c r="CX126" i="1"/>
  <c r="FR126" i="1"/>
  <c r="GL126" i="1"/>
  <c r="GO126" i="1"/>
  <c r="GP126" i="1"/>
  <c r="GV126" i="1"/>
  <c r="HC126" i="1"/>
  <c r="C127" i="1"/>
  <c r="D127" i="1"/>
  <c r="I127" i="1"/>
  <c r="AC127" i="1"/>
  <c r="AD127" i="1"/>
  <c r="CR127" i="1" s="1"/>
  <c r="Q127" i="1" s="1"/>
  <c r="AE127" i="1"/>
  <c r="AF127" i="1"/>
  <c r="CT127" i="1" s="1"/>
  <c r="S127" i="1" s="1"/>
  <c r="AG127" i="1"/>
  <c r="AH127" i="1"/>
  <c r="CV127" i="1" s="1"/>
  <c r="U127" i="1" s="1"/>
  <c r="AI127" i="1"/>
  <c r="AJ127" i="1"/>
  <c r="CX127" i="1" s="1"/>
  <c r="W127" i="1" s="1"/>
  <c r="CQ127" i="1"/>
  <c r="P127" i="1" s="1"/>
  <c r="CP127" i="1" s="1"/>
  <c r="O127" i="1" s="1"/>
  <c r="CS127" i="1"/>
  <c r="R127" i="1" s="1"/>
  <c r="CU127" i="1"/>
  <c r="T127" i="1" s="1"/>
  <c r="CW127" i="1"/>
  <c r="V127" i="1" s="1"/>
  <c r="FR127" i="1"/>
  <c r="GL127" i="1"/>
  <c r="GO127" i="1"/>
  <c r="GP127" i="1"/>
  <c r="GV127" i="1"/>
  <c r="HC127" i="1"/>
  <c r="GX127" i="1" s="1"/>
  <c r="AC128" i="1"/>
  <c r="AB128" i="1" s="1"/>
  <c r="AE128" i="1"/>
  <c r="AD128" i="1" s="1"/>
  <c r="CR128" i="1" s="1"/>
  <c r="AF128" i="1"/>
  <c r="AG128" i="1"/>
  <c r="CU128" i="1" s="1"/>
  <c r="AH128" i="1"/>
  <c r="AI128" i="1"/>
  <c r="CW128" i="1" s="1"/>
  <c r="AJ128" i="1"/>
  <c r="CT128" i="1"/>
  <c r="CV128" i="1"/>
  <c r="CX128" i="1"/>
  <c r="FR128" i="1"/>
  <c r="GL128" i="1"/>
  <c r="GO128" i="1"/>
  <c r="GP128" i="1"/>
  <c r="GV128" i="1"/>
  <c r="HC128" i="1"/>
  <c r="I129" i="1"/>
  <c r="AC129" i="1"/>
  <c r="AD129" i="1"/>
  <c r="CR129" i="1" s="1"/>
  <c r="Q129" i="1" s="1"/>
  <c r="AE129" i="1"/>
  <c r="AF129" i="1"/>
  <c r="CT129" i="1" s="1"/>
  <c r="S129" i="1" s="1"/>
  <c r="AG129" i="1"/>
  <c r="AH129" i="1"/>
  <c r="CV129" i="1" s="1"/>
  <c r="U129" i="1" s="1"/>
  <c r="AI129" i="1"/>
  <c r="AJ129" i="1"/>
  <c r="CX129" i="1" s="1"/>
  <c r="W129" i="1" s="1"/>
  <c r="CQ129" i="1"/>
  <c r="P129" i="1" s="1"/>
  <c r="CS129" i="1"/>
  <c r="R129" i="1" s="1"/>
  <c r="CU129" i="1"/>
  <c r="T129" i="1" s="1"/>
  <c r="CW129" i="1"/>
  <c r="V129" i="1" s="1"/>
  <c r="FR129" i="1"/>
  <c r="GL129" i="1"/>
  <c r="GO129" i="1"/>
  <c r="GP129" i="1"/>
  <c r="GV129" i="1"/>
  <c r="HC129" i="1"/>
  <c r="GX129" i="1" s="1"/>
  <c r="C130" i="1"/>
  <c r="D130" i="1"/>
  <c r="I130" i="1"/>
  <c r="AC130" i="1"/>
  <c r="AB130" i="1" s="1"/>
  <c r="AE130" i="1"/>
  <c r="AD130" i="1" s="1"/>
  <c r="CR130" i="1" s="1"/>
  <c r="Q130" i="1" s="1"/>
  <c r="AF130" i="1"/>
  <c r="AG130" i="1"/>
  <c r="CU130" i="1" s="1"/>
  <c r="T130" i="1" s="1"/>
  <c r="AH130" i="1"/>
  <c r="AI130" i="1"/>
  <c r="CW130" i="1" s="1"/>
  <c r="V130" i="1" s="1"/>
  <c r="AJ130" i="1"/>
  <c r="CT130" i="1"/>
  <c r="S130" i="1" s="1"/>
  <c r="CV130" i="1"/>
  <c r="U130" i="1" s="1"/>
  <c r="CX130" i="1"/>
  <c r="W130" i="1" s="1"/>
  <c r="FR130" i="1"/>
  <c r="GL130" i="1"/>
  <c r="GO130" i="1"/>
  <c r="GP130" i="1"/>
  <c r="GV130" i="1"/>
  <c r="GX130" i="1"/>
  <c r="HC130" i="1"/>
  <c r="I131" i="1"/>
  <c r="AC131" i="1"/>
  <c r="AD131" i="1"/>
  <c r="CR131" i="1" s="1"/>
  <c r="Q131" i="1" s="1"/>
  <c r="AE131" i="1"/>
  <c r="AF131" i="1"/>
  <c r="CT131" i="1" s="1"/>
  <c r="S131" i="1" s="1"/>
  <c r="AG131" i="1"/>
  <c r="AH131" i="1"/>
  <c r="CV131" i="1" s="1"/>
  <c r="U131" i="1" s="1"/>
  <c r="AI131" i="1"/>
  <c r="AJ131" i="1"/>
  <c r="CX131" i="1" s="1"/>
  <c r="W131" i="1" s="1"/>
  <c r="CQ131" i="1"/>
  <c r="P131" i="1" s="1"/>
  <c r="CP131" i="1" s="1"/>
  <c r="O131" i="1" s="1"/>
  <c r="CS131" i="1"/>
  <c r="R131" i="1" s="1"/>
  <c r="CU131" i="1"/>
  <c r="T131" i="1" s="1"/>
  <c r="CW131" i="1"/>
  <c r="V131" i="1" s="1"/>
  <c r="FR131" i="1"/>
  <c r="GL131" i="1"/>
  <c r="GO131" i="1"/>
  <c r="GP131" i="1"/>
  <c r="GV131" i="1"/>
  <c r="HC131" i="1"/>
  <c r="GX131" i="1" s="1"/>
  <c r="C132" i="1"/>
  <c r="D132" i="1"/>
  <c r="I132" i="1"/>
  <c r="AC132" i="1"/>
  <c r="AE132" i="1"/>
  <c r="AD132" i="1" s="1"/>
  <c r="CR132" i="1" s="1"/>
  <c r="Q132" i="1" s="1"/>
  <c r="AF132" i="1"/>
  <c r="AG132" i="1"/>
  <c r="CU132" i="1" s="1"/>
  <c r="T132" i="1" s="1"/>
  <c r="AH132" i="1"/>
  <c r="AI132" i="1"/>
  <c r="CW132" i="1" s="1"/>
  <c r="V132" i="1" s="1"/>
  <c r="AJ132" i="1"/>
  <c r="CT132" i="1"/>
  <c r="S132" i="1" s="1"/>
  <c r="CV132" i="1"/>
  <c r="U132" i="1" s="1"/>
  <c r="CX132" i="1"/>
  <c r="W132" i="1" s="1"/>
  <c r="FR132" i="1"/>
  <c r="GL132" i="1"/>
  <c r="GO132" i="1"/>
  <c r="GP132" i="1"/>
  <c r="GV132" i="1"/>
  <c r="GX132" i="1"/>
  <c r="HC132" i="1"/>
  <c r="I133" i="1"/>
  <c r="AC133" i="1"/>
  <c r="AD133" i="1"/>
  <c r="CR133" i="1" s="1"/>
  <c r="Q133" i="1" s="1"/>
  <c r="AE133" i="1"/>
  <c r="AF133" i="1"/>
  <c r="CT133" i="1" s="1"/>
  <c r="S133" i="1" s="1"/>
  <c r="AG133" i="1"/>
  <c r="AH133" i="1"/>
  <c r="CV133" i="1" s="1"/>
  <c r="U133" i="1" s="1"/>
  <c r="AI133" i="1"/>
  <c r="AJ133" i="1"/>
  <c r="CX133" i="1" s="1"/>
  <c r="W133" i="1" s="1"/>
  <c r="CQ133" i="1"/>
  <c r="P133" i="1" s="1"/>
  <c r="CS133" i="1"/>
  <c r="R133" i="1" s="1"/>
  <c r="CU133" i="1"/>
  <c r="T133" i="1" s="1"/>
  <c r="CW133" i="1"/>
  <c r="V133" i="1" s="1"/>
  <c r="FR133" i="1"/>
  <c r="GL133" i="1"/>
  <c r="GO133" i="1"/>
  <c r="GP133" i="1"/>
  <c r="GV133" i="1"/>
  <c r="HC133" i="1"/>
  <c r="GX133" i="1" s="1"/>
  <c r="I134" i="1"/>
  <c r="AC134" i="1"/>
  <c r="AB134" i="1" s="1"/>
  <c r="AE134" i="1"/>
  <c r="AD134" i="1" s="1"/>
  <c r="CR134" i="1" s="1"/>
  <c r="Q134" i="1" s="1"/>
  <c r="AF134" i="1"/>
  <c r="AG134" i="1"/>
  <c r="CU134" i="1" s="1"/>
  <c r="T134" i="1" s="1"/>
  <c r="AH134" i="1"/>
  <c r="AI134" i="1"/>
  <c r="CW134" i="1" s="1"/>
  <c r="V134" i="1" s="1"/>
  <c r="AJ134" i="1"/>
  <c r="CT134" i="1"/>
  <c r="S134" i="1" s="1"/>
  <c r="CV134" i="1"/>
  <c r="U134" i="1" s="1"/>
  <c r="CX134" i="1"/>
  <c r="W134" i="1" s="1"/>
  <c r="FR134" i="1"/>
  <c r="GL134" i="1"/>
  <c r="GO134" i="1"/>
  <c r="GP134" i="1"/>
  <c r="GV134" i="1"/>
  <c r="GX134" i="1"/>
  <c r="HC134" i="1"/>
  <c r="I135" i="1"/>
  <c r="AC135" i="1"/>
  <c r="AD135" i="1"/>
  <c r="CR135" i="1" s="1"/>
  <c r="Q135" i="1" s="1"/>
  <c r="AE135" i="1"/>
  <c r="AF135" i="1"/>
  <c r="CT135" i="1" s="1"/>
  <c r="S135" i="1" s="1"/>
  <c r="AG135" i="1"/>
  <c r="AH135" i="1"/>
  <c r="CV135" i="1" s="1"/>
  <c r="U135" i="1" s="1"/>
  <c r="AI135" i="1"/>
  <c r="AJ135" i="1"/>
  <c r="CX135" i="1" s="1"/>
  <c r="W135" i="1" s="1"/>
  <c r="CQ135" i="1"/>
  <c r="P135" i="1" s="1"/>
  <c r="CP135" i="1" s="1"/>
  <c r="O135" i="1" s="1"/>
  <c r="CS135" i="1"/>
  <c r="R135" i="1" s="1"/>
  <c r="CU135" i="1"/>
  <c r="T135" i="1" s="1"/>
  <c r="CW135" i="1"/>
  <c r="V135" i="1" s="1"/>
  <c r="FR135" i="1"/>
  <c r="GL135" i="1"/>
  <c r="GO135" i="1"/>
  <c r="GP135" i="1"/>
  <c r="GV135" i="1"/>
  <c r="HC135" i="1"/>
  <c r="GX135" i="1" s="1"/>
  <c r="I136" i="1"/>
  <c r="AC136" i="1"/>
  <c r="AE136" i="1"/>
  <c r="AD136" i="1" s="1"/>
  <c r="CR136" i="1" s="1"/>
  <c r="Q136" i="1" s="1"/>
  <c r="AF136" i="1"/>
  <c r="AG136" i="1"/>
  <c r="CU136" i="1" s="1"/>
  <c r="T136" i="1" s="1"/>
  <c r="AH136" i="1"/>
  <c r="AI136" i="1"/>
  <c r="CW136" i="1" s="1"/>
  <c r="V136" i="1" s="1"/>
  <c r="AJ136" i="1"/>
  <c r="CT136" i="1"/>
  <c r="S136" i="1" s="1"/>
  <c r="CV136" i="1"/>
  <c r="U136" i="1" s="1"/>
  <c r="CX136" i="1"/>
  <c r="W136" i="1" s="1"/>
  <c r="FR136" i="1"/>
  <c r="GL136" i="1"/>
  <c r="GO136" i="1"/>
  <c r="GP136" i="1"/>
  <c r="GV136" i="1"/>
  <c r="GX136" i="1"/>
  <c r="HC136" i="1"/>
  <c r="C137" i="1"/>
  <c r="D137" i="1"/>
  <c r="I137" i="1"/>
  <c r="AC137" i="1"/>
  <c r="AD137" i="1"/>
  <c r="CR137" i="1" s="1"/>
  <c r="Q137" i="1" s="1"/>
  <c r="AE137" i="1"/>
  <c r="AF137" i="1"/>
  <c r="CT137" i="1" s="1"/>
  <c r="S137" i="1" s="1"/>
  <c r="AG137" i="1"/>
  <c r="AH137" i="1"/>
  <c r="CV137" i="1" s="1"/>
  <c r="U137" i="1" s="1"/>
  <c r="AI137" i="1"/>
  <c r="AJ137" i="1"/>
  <c r="CX137" i="1" s="1"/>
  <c r="W137" i="1" s="1"/>
  <c r="CQ137" i="1"/>
  <c r="P137" i="1" s="1"/>
  <c r="CS137" i="1"/>
  <c r="R137" i="1" s="1"/>
  <c r="CU137" i="1"/>
  <c r="T137" i="1" s="1"/>
  <c r="CW137" i="1"/>
  <c r="V137" i="1" s="1"/>
  <c r="FR137" i="1"/>
  <c r="GL137" i="1"/>
  <c r="GO137" i="1"/>
  <c r="GP137" i="1"/>
  <c r="GV137" i="1"/>
  <c r="HC137" i="1"/>
  <c r="GX137" i="1" s="1"/>
  <c r="AC138" i="1"/>
  <c r="AE138" i="1"/>
  <c r="AD138" i="1" s="1"/>
  <c r="CR138" i="1" s="1"/>
  <c r="AF138" i="1"/>
  <c r="AG138" i="1"/>
  <c r="CU138" i="1" s="1"/>
  <c r="AH138" i="1"/>
  <c r="AI138" i="1"/>
  <c r="CW138" i="1" s="1"/>
  <c r="AJ138" i="1"/>
  <c r="CT138" i="1"/>
  <c r="CV138" i="1"/>
  <c r="CX138" i="1"/>
  <c r="FR138" i="1"/>
  <c r="GL138" i="1"/>
  <c r="GO138" i="1"/>
  <c r="GP138" i="1"/>
  <c r="GV138" i="1"/>
  <c r="HC138" i="1"/>
  <c r="I139" i="1"/>
  <c r="AC139" i="1"/>
  <c r="AD139" i="1"/>
  <c r="CR139" i="1" s="1"/>
  <c r="Q139" i="1" s="1"/>
  <c r="AE139" i="1"/>
  <c r="AF139" i="1"/>
  <c r="CT139" i="1" s="1"/>
  <c r="S139" i="1" s="1"/>
  <c r="AG139" i="1"/>
  <c r="AH139" i="1"/>
  <c r="CV139" i="1" s="1"/>
  <c r="U139" i="1" s="1"/>
  <c r="AI139" i="1"/>
  <c r="AJ139" i="1"/>
  <c r="CX139" i="1" s="1"/>
  <c r="W139" i="1" s="1"/>
  <c r="CQ139" i="1"/>
  <c r="P139" i="1" s="1"/>
  <c r="CP139" i="1" s="1"/>
  <c r="O139" i="1" s="1"/>
  <c r="CS139" i="1"/>
  <c r="R139" i="1" s="1"/>
  <c r="CU139" i="1"/>
  <c r="T139" i="1" s="1"/>
  <c r="CW139" i="1"/>
  <c r="V139" i="1" s="1"/>
  <c r="FR139" i="1"/>
  <c r="GL139" i="1"/>
  <c r="GO139" i="1"/>
  <c r="GP139" i="1"/>
  <c r="GV139" i="1"/>
  <c r="HC139" i="1"/>
  <c r="GX139" i="1" s="1"/>
  <c r="AC140" i="1"/>
  <c r="AB140" i="1" s="1"/>
  <c r="AE140" i="1"/>
  <c r="AD140" i="1" s="1"/>
  <c r="CR140" i="1" s="1"/>
  <c r="AF140" i="1"/>
  <c r="AG140" i="1"/>
  <c r="CU140" i="1" s="1"/>
  <c r="AH140" i="1"/>
  <c r="AI140" i="1"/>
  <c r="CW140" i="1" s="1"/>
  <c r="AJ140" i="1"/>
  <c r="CT140" i="1"/>
  <c r="CV140" i="1"/>
  <c r="CX140" i="1"/>
  <c r="FR140" i="1"/>
  <c r="GL140" i="1"/>
  <c r="GO140" i="1"/>
  <c r="GP140" i="1"/>
  <c r="GV140" i="1"/>
  <c r="HC140" i="1"/>
  <c r="I141" i="1"/>
  <c r="AC141" i="1"/>
  <c r="AD141" i="1"/>
  <c r="CR141" i="1" s="1"/>
  <c r="Q141" i="1" s="1"/>
  <c r="AE141" i="1"/>
  <c r="AF141" i="1"/>
  <c r="CT141" i="1" s="1"/>
  <c r="S141" i="1" s="1"/>
  <c r="AG141" i="1"/>
  <c r="AH141" i="1"/>
  <c r="CV141" i="1" s="1"/>
  <c r="U141" i="1" s="1"/>
  <c r="AI141" i="1"/>
  <c r="AJ141" i="1"/>
  <c r="CX141" i="1" s="1"/>
  <c r="W141" i="1" s="1"/>
  <c r="CQ141" i="1"/>
  <c r="P141" i="1" s="1"/>
  <c r="CS141" i="1"/>
  <c r="R141" i="1" s="1"/>
  <c r="CU141" i="1"/>
  <c r="T141" i="1" s="1"/>
  <c r="CW141" i="1"/>
  <c r="V141" i="1" s="1"/>
  <c r="FR141" i="1"/>
  <c r="GL141" i="1"/>
  <c r="GO141" i="1"/>
  <c r="GP141" i="1"/>
  <c r="GV141" i="1"/>
  <c r="HC141" i="1"/>
  <c r="GX141" i="1" s="1"/>
  <c r="C142" i="1"/>
  <c r="D142" i="1"/>
  <c r="I142" i="1"/>
  <c r="AC142" i="1"/>
  <c r="AB142" i="1" s="1"/>
  <c r="AE142" i="1"/>
  <c r="AD142" i="1" s="1"/>
  <c r="CR142" i="1" s="1"/>
  <c r="Q142" i="1" s="1"/>
  <c r="AF142" i="1"/>
  <c r="AG142" i="1"/>
  <c r="CU142" i="1" s="1"/>
  <c r="T142" i="1" s="1"/>
  <c r="AH142" i="1"/>
  <c r="AI142" i="1"/>
  <c r="CW142" i="1" s="1"/>
  <c r="V142" i="1" s="1"/>
  <c r="AJ142" i="1"/>
  <c r="CT142" i="1"/>
  <c r="S142" i="1" s="1"/>
  <c r="CV142" i="1"/>
  <c r="U142" i="1" s="1"/>
  <c r="CX142" i="1"/>
  <c r="W142" i="1" s="1"/>
  <c r="FR142" i="1"/>
  <c r="GL142" i="1"/>
  <c r="GO142" i="1"/>
  <c r="GP142" i="1"/>
  <c r="GV142" i="1"/>
  <c r="GX142" i="1"/>
  <c r="HC142" i="1"/>
  <c r="I143" i="1"/>
  <c r="AC143" i="1"/>
  <c r="AD143" i="1"/>
  <c r="CR143" i="1" s="1"/>
  <c r="Q143" i="1" s="1"/>
  <c r="AE143" i="1"/>
  <c r="AF143" i="1"/>
  <c r="CT143" i="1" s="1"/>
  <c r="S143" i="1" s="1"/>
  <c r="AG143" i="1"/>
  <c r="AH143" i="1"/>
  <c r="CV143" i="1" s="1"/>
  <c r="U143" i="1" s="1"/>
  <c r="AI143" i="1"/>
  <c r="AJ143" i="1"/>
  <c r="CX143" i="1" s="1"/>
  <c r="W143" i="1" s="1"/>
  <c r="CQ143" i="1"/>
  <c r="P143" i="1" s="1"/>
  <c r="CP143" i="1" s="1"/>
  <c r="O143" i="1" s="1"/>
  <c r="CS143" i="1"/>
  <c r="R143" i="1" s="1"/>
  <c r="CU143" i="1"/>
  <c r="T143" i="1" s="1"/>
  <c r="CW143" i="1"/>
  <c r="V143" i="1" s="1"/>
  <c r="FR143" i="1"/>
  <c r="GL143" i="1"/>
  <c r="GO143" i="1"/>
  <c r="GP143" i="1"/>
  <c r="GV143" i="1"/>
  <c r="HC143" i="1"/>
  <c r="GX143" i="1" s="1"/>
  <c r="C144" i="1"/>
  <c r="D144" i="1"/>
  <c r="I144" i="1"/>
  <c r="AC144" i="1"/>
  <c r="AE144" i="1"/>
  <c r="AD144" i="1" s="1"/>
  <c r="CR144" i="1" s="1"/>
  <c r="Q144" i="1" s="1"/>
  <c r="AF144" i="1"/>
  <c r="AG144" i="1"/>
  <c r="CU144" i="1" s="1"/>
  <c r="T144" i="1" s="1"/>
  <c r="AH144" i="1"/>
  <c r="AI144" i="1"/>
  <c r="CW144" i="1" s="1"/>
  <c r="V144" i="1" s="1"/>
  <c r="AJ144" i="1"/>
  <c r="CT144" i="1"/>
  <c r="S144" i="1" s="1"/>
  <c r="CV144" i="1"/>
  <c r="U144" i="1" s="1"/>
  <c r="CX144" i="1"/>
  <c r="W144" i="1" s="1"/>
  <c r="FR144" i="1"/>
  <c r="GL144" i="1"/>
  <c r="GN144" i="1"/>
  <c r="GP144" i="1"/>
  <c r="GV144" i="1"/>
  <c r="GX144" i="1"/>
  <c r="HC144" i="1"/>
  <c r="I145" i="1"/>
  <c r="AC145" i="1"/>
  <c r="AD145" i="1"/>
  <c r="CR145" i="1" s="1"/>
  <c r="Q145" i="1" s="1"/>
  <c r="AE145" i="1"/>
  <c r="AF145" i="1"/>
  <c r="CT145" i="1" s="1"/>
  <c r="S145" i="1" s="1"/>
  <c r="AG145" i="1"/>
  <c r="AH145" i="1"/>
  <c r="CV145" i="1" s="1"/>
  <c r="U145" i="1" s="1"/>
  <c r="AI145" i="1"/>
  <c r="AJ145" i="1"/>
  <c r="CX145" i="1" s="1"/>
  <c r="W145" i="1" s="1"/>
  <c r="CQ145" i="1"/>
  <c r="P145" i="1" s="1"/>
  <c r="CS145" i="1"/>
  <c r="R145" i="1" s="1"/>
  <c r="CU145" i="1"/>
  <c r="T145" i="1" s="1"/>
  <c r="CW145" i="1"/>
  <c r="V145" i="1" s="1"/>
  <c r="FR145" i="1"/>
  <c r="GL145" i="1"/>
  <c r="GN145" i="1"/>
  <c r="GP145" i="1"/>
  <c r="GV145" i="1"/>
  <c r="HC145" i="1"/>
  <c r="GX145" i="1" s="1"/>
  <c r="C146" i="1"/>
  <c r="D146" i="1"/>
  <c r="I146" i="1"/>
  <c r="AC146" i="1"/>
  <c r="AB146" i="1" s="1"/>
  <c r="AE146" i="1"/>
  <c r="AD146" i="1" s="1"/>
  <c r="CR146" i="1" s="1"/>
  <c r="Q146" i="1" s="1"/>
  <c r="AF146" i="1"/>
  <c r="AG146" i="1"/>
  <c r="CU146" i="1" s="1"/>
  <c r="T146" i="1" s="1"/>
  <c r="AH146" i="1"/>
  <c r="AI146" i="1"/>
  <c r="CW146" i="1" s="1"/>
  <c r="V146" i="1" s="1"/>
  <c r="AJ146" i="1"/>
  <c r="CT146" i="1"/>
  <c r="S146" i="1" s="1"/>
  <c r="CV146" i="1"/>
  <c r="U146" i="1" s="1"/>
  <c r="CX146" i="1"/>
  <c r="W146" i="1" s="1"/>
  <c r="FR146" i="1"/>
  <c r="GL146" i="1"/>
  <c r="GN146" i="1"/>
  <c r="GP146" i="1"/>
  <c r="GV146" i="1"/>
  <c r="GX146" i="1"/>
  <c r="HC146" i="1"/>
  <c r="C147" i="1"/>
  <c r="D147" i="1"/>
  <c r="I147" i="1"/>
  <c r="AC147" i="1"/>
  <c r="AD147" i="1"/>
  <c r="CR147" i="1" s="1"/>
  <c r="Q147" i="1" s="1"/>
  <c r="AE147" i="1"/>
  <c r="AF147" i="1"/>
  <c r="CT147" i="1" s="1"/>
  <c r="S147" i="1" s="1"/>
  <c r="AG147" i="1"/>
  <c r="AH147" i="1"/>
  <c r="CV147" i="1" s="1"/>
  <c r="U147" i="1" s="1"/>
  <c r="AI147" i="1"/>
  <c r="AJ147" i="1"/>
  <c r="CX147" i="1" s="1"/>
  <c r="W147" i="1" s="1"/>
  <c r="CQ147" i="1"/>
  <c r="P147" i="1" s="1"/>
  <c r="CP147" i="1" s="1"/>
  <c r="O147" i="1" s="1"/>
  <c r="CS147" i="1"/>
  <c r="R147" i="1" s="1"/>
  <c r="CU147" i="1"/>
  <c r="T147" i="1" s="1"/>
  <c r="CW147" i="1"/>
  <c r="V147" i="1" s="1"/>
  <c r="FR147" i="1"/>
  <c r="GL147" i="1"/>
  <c r="GN147" i="1"/>
  <c r="GP147" i="1"/>
  <c r="GV147" i="1"/>
  <c r="HC147" i="1"/>
  <c r="GX147" i="1" s="1"/>
  <c r="C148" i="1"/>
  <c r="D148" i="1"/>
  <c r="I148" i="1"/>
  <c r="AC148" i="1"/>
  <c r="AE148" i="1"/>
  <c r="AD148" i="1" s="1"/>
  <c r="CR148" i="1" s="1"/>
  <c r="Q148" i="1" s="1"/>
  <c r="AF148" i="1"/>
  <c r="AG148" i="1"/>
  <c r="CU148" i="1" s="1"/>
  <c r="T148" i="1" s="1"/>
  <c r="AH148" i="1"/>
  <c r="AI148" i="1"/>
  <c r="CW148" i="1" s="1"/>
  <c r="V148" i="1" s="1"/>
  <c r="AJ148" i="1"/>
  <c r="CT148" i="1"/>
  <c r="S148" i="1" s="1"/>
  <c r="CV148" i="1"/>
  <c r="U148" i="1" s="1"/>
  <c r="CX148" i="1"/>
  <c r="W148" i="1" s="1"/>
  <c r="FR148" i="1"/>
  <c r="GL148" i="1"/>
  <c r="GO148" i="1"/>
  <c r="GP148" i="1"/>
  <c r="GV148" i="1"/>
  <c r="GX148" i="1"/>
  <c r="HC148" i="1"/>
  <c r="C149" i="1"/>
  <c r="D149" i="1"/>
  <c r="I149" i="1"/>
  <c r="AC149" i="1"/>
  <c r="AD149" i="1"/>
  <c r="CR149" i="1" s="1"/>
  <c r="Q149" i="1" s="1"/>
  <c r="AE149" i="1"/>
  <c r="AF149" i="1"/>
  <c r="CT149" i="1" s="1"/>
  <c r="S149" i="1" s="1"/>
  <c r="AG149" i="1"/>
  <c r="AH149" i="1"/>
  <c r="CV149" i="1" s="1"/>
  <c r="U149" i="1" s="1"/>
  <c r="AI149" i="1"/>
  <c r="AJ149" i="1"/>
  <c r="CX149" i="1" s="1"/>
  <c r="W149" i="1" s="1"/>
  <c r="CQ149" i="1"/>
  <c r="P149" i="1" s="1"/>
  <c r="CS149" i="1"/>
  <c r="R149" i="1" s="1"/>
  <c r="CU149" i="1"/>
  <c r="T149" i="1" s="1"/>
  <c r="CW149" i="1"/>
  <c r="V149" i="1" s="1"/>
  <c r="FR149" i="1"/>
  <c r="GL149" i="1"/>
  <c r="GN149" i="1"/>
  <c r="GP149" i="1"/>
  <c r="GV149" i="1"/>
  <c r="HC149" i="1"/>
  <c r="GX149" i="1" s="1"/>
  <c r="AC150" i="1"/>
  <c r="AE150" i="1"/>
  <c r="AD150" i="1" s="1"/>
  <c r="CR150" i="1" s="1"/>
  <c r="AF150" i="1"/>
  <c r="AG150" i="1"/>
  <c r="CU150" i="1" s="1"/>
  <c r="AH150" i="1"/>
  <c r="AI150" i="1"/>
  <c r="CW150" i="1" s="1"/>
  <c r="AJ150" i="1"/>
  <c r="CT150" i="1"/>
  <c r="CV150" i="1"/>
  <c r="CX150" i="1"/>
  <c r="FR150" i="1"/>
  <c r="GL150" i="1"/>
  <c r="GN150" i="1"/>
  <c r="GP150" i="1"/>
  <c r="GV150" i="1"/>
  <c r="HC150" i="1"/>
  <c r="C151" i="1"/>
  <c r="D151" i="1"/>
  <c r="I151" i="1"/>
  <c r="AC151" i="1"/>
  <c r="AD151" i="1"/>
  <c r="CR151" i="1" s="1"/>
  <c r="Q151" i="1" s="1"/>
  <c r="AE151" i="1"/>
  <c r="AF151" i="1"/>
  <c r="CT151" i="1" s="1"/>
  <c r="S151" i="1" s="1"/>
  <c r="AG151" i="1"/>
  <c r="AH151" i="1"/>
  <c r="CV151" i="1" s="1"/>
  <c r="U151" i="1" s="1"/>
  <c r="AI151" i="1"/>
  <c r="AJ151" i="1"/>
  <c r="CX151" i="1" s="1"/>
  <c r="W151" i="1" s="1"/>
  <c r="CQ151" i="1"/>
  <c r="P151" i="1" s="1"/>
  <c r="CP151" i="1" s="1"/>
  <c r="O151" i="1" s="1"/>
  <c r="CS151" i="1"/>
  <c r="R151" i="1" s="1"/>
  <c r="CU151" i="1"/>
  <c r="T151" i="1" s="1"/>
  <c r="CW151" i="1"/>
  <c r="V151" i="1" s="1"/>
  <c r="FR151" i="1"/>
  <c r="GL151" i="1"/>
  <c r="GN151" i="1"/>
  <c r="GP151" i="1"/>
  <c r="GV151" i="1"/>
  <c r="HC151" i="1"/>
  <c r="GX151" i="1" s="1"/>
  <c r="AC152" i="1"/>
  <c r="AB152" i="1" s="1"/>
  <c r="AE152" i="1"/>
  <c r="AD152" i="1" s="1"/>
  <c r="CR152" i="1" s="1"/>
  <c r="AF152" i="1"/>
  <c r="AG152" i="1"/>
  <c r="CU152" i="1" s="1"/>
  <c r="AH152" i="1"/>
  <c r="AI152" i="1"/>
  <c r="CW152" i="1" s="1"/>
  <c r="AJ152" i="1"/>
  <c r="CT152" i="1"/>
  <c r="CV152" i="1"/>
  <c r="CX152" i="1"/>
  <c r="FR152" i="1"/>
  <c r="GL152" i="1"/>
  <c r="GN152" i="1"/>
  <c r="GP152" i="1"/>
  <c r="GV152" i="1"/>
  <c r="HC152" i="1"/>
  <c r="C153" i="1"/>
  <c r="D153" i="1"/>
  <c r="I153" i="1"/>
  <c r="AC153" i="1"/>
  <c r="AD153" i="1"/>
  <c r="CR153" i="1" s="1"/>
  <c r="Q153" i="1" s="1"/>
  <c r="AE153" i="1"/>
  <c r="AF153" i="1"/>
  <c r="CT153" i="1" s="1"/>
  <c r="S153" i="1" s="1"/>
  <c r="AG153" i="1"/>
  <c r="AH153" i="1"/>
  <c r="CV153" i="1" s="1"/>
  <c r="U153" i="1" s="1"/>
  <c r="AI153" i="1"/>
  <c r="AJ153" i="1"/>
  <c r="CX153" i="1" s="1"/>
  <c r="W153" i="1" s="1"/>
  <c r="CQ153" i="1"/>
  <c r="P153" i="1" s="1"/>
  <c r="CS153" i="1"/>
  <c r="R153" i="1" s="1"/>
  <c r="CU153" i="1"/>
  <c r="T153" i="1" s="1"/>
  <c r="CW153" i="1"/>
  <c r="V153" i="1" s="1"/>
  <c r="FR153" i="1"/>
  <c r="GL153" i="1"/>
  <c r="GN153" i="1"/>
  <c r="GP153" i="1"/>
  <c r="GV153" i="1"/>
  <c r="HC153" i="1"/>
  <c r="GX153" i="1" s="1"/>
  <c r="AC154" i="1"/>
  <c r="AE154" i="1"/>
  <c r="AD154" i="1" s="1"/>
  <c r="CR154" i="1" s="1"/>
  <c r="AF154" i="1"/>
  <c r="AG154" i="1"/>
  <c r="CU154" i="1" s="1"/>
  <c r="AH154" i="1"/>
  <c r="AI154" i="1"/>
  <c r="CW154" i="1" s="1"/>
  <c r="AJ154" i="1"/>
  <c r="CT154" i="1"/>
  <c r="CV154" i="1"/>
  <c r="CX154" i="1"/>
  <c r="FR154" i="1"/>
  <c r="GL154" i="1"/>
  <c r="GN154" i="1"/>
  <c r="GP154" i="1"/>
  <c r="GV154" i="1"/>
  <c r="HC154" i="1"/>
  <c r="C155" i="1"/>
  <c r="D155" i="1"/>
  <c r="I155" i="1"/>
  <c r="AC155" i="1"/>
  <c r="AD155" i="1"/>
  <c r="CR155" i="1" s="1"/>
  <c r="Q155" i="1" s="1"/>
  <c r="AE155" i="1"/>
  <c r="AF155" i="1"/>
  <c r="CT155" i="1" s="1"/>
  <c r="S155" i="1" s="1"/>
  <c r="AG155" i="1"/>
  <c r="AH155" i="1"/>
  <c r="CV155" i="1" s="1"/>
  <c r="U155" i="1" s="1"/>
  <c r="AI155" i="1"/>
  <c r="AJ155" i="1"/>
  <c r="CX155" i="1" s="1"/>
  <c r="W155" i="1" s="1"/>
  <c r="CQ155" i="1"/>
  <c r="P155" i="1" s="1"/>
  <c r="CP155" i="1" s="1"/>
  <c r="O155" i="1" s="1"/>
  <c r="CS155" i="1"/>
  <c r="R155" i="1" s="1"/>
  <c r="CU155" i="1"/>
  <c r="T155" i="1" s="1"/>
  <c r="CW155" i="1"/>
  <c r="V155" i="1" s="1"/>
  <c r="FR155" i="1"/>
  <c r="GL155" i="1"/>
  <c r="GN155" i="1"/>
  <c r="GP155" i="1"/>
  <c r="GV155" i="1"/>
  <c r="HC155" i="1"/>
  <c r="GX155" i="1" s="1"/>
  <c r="AC156" i="1"/>
  <c r="AB156" i="1" s="1"/>
  <c r="AE156" i="1"/>
  <c r="AD156" i="1" s="1"/>
  <c r="CR156" i="1" s="1"/>
  <c r="AF156" i="1"/>
  <c r="AG156" i="1"/>
  <c r="CU156" i="1" s="1"/>
  <c r="AH156" i="1"/>
  <c r="AI156" i="1"/>
  <c r="CW156" i="1" s="1"/>
  <c r="AJ156" i="1"/>
  <c r="CT156" i="1"/>
  <c r="CV156" i="1"/>
  <c r="CX156" i="1"/>
  <c r="FR156" i="1"/>
  <c r="GL156" i="1"/>
  <c r="GN156" i="1"/>
  <c r="GP156" i="1"/>
  <c r="GV156" i="1"/>
  <c r="HC156" i="1"/>
  <c r="C157" i="1"/>
  <c r="D157" i="1"/>
  <c r="I157" i="1"/>
  <c r="AC157" i="1"/>
  <c r="AD157" i="1"/>
  <c r="CR157" i="1" s="1"/>
  <c r="Q157" i="1" s="1"/>
  <c r="AE157" i="1"/>
  <c r="AF157" i="1"/>
  <c r="CT157" i="1" s="1"/>
  <c r="S157" i="1" s="1"/>
  <c r="AG157" i="1"/>
  <c r="AH157" i="1"/>
  <c r="CV157" i="1" s="1"/>
  <c r="U157" i="1" s="1"/>
  <c r="AI157" i="1"/>
  <c r="AJ157" i="1"/>
  <c r="CX157" i="1" s="1"/>
  <c r="W157" i="1" s="1"/>
  <c r="CQ157" i="1"/>
  <c r="P157" i="1" s="1"/>
  <c r="CS157" i="1"/>
  <c r="R157" i="1" s="1"/>
  <c r="CU157" i="1"/>
  <c r="T157" i="1" s="1"/>
  <c r="CW157" i="1"/>
  <c r="V157" i="1" s="1"/>
  <c r="FR157" i="1"/>
  <c r="GL157" i="1"/>
  <c r="GN157" i="1"/>
  <c r="GP157" i="1"/>
  <c r="GV157" i="1"/>
  <c r="HC157" i="1"/>
  <c r="GX157" i="1" s="1"/>
  <c r="AC158" i="1"/>
  <c r="AE158" i="1"/>
  <c r="AD158" i="1" s="1"/>
  <c r="CR158" i="1" s="1"/>
  <c r="AF158" i="1"/>
  <c r="AG158" i="1"/>
  <c r="CU158" i="1" s="1"/>
  <c r="AH158" i="1"/>
  <c r="AI158" i="1"/>
  <c r="CW158" i="1" s="1"/>
  <c r="AJ158" i="1"/>
  <c r="CT158" i="1"/>
  <c r="CV158" i="1"/>
  <c r="CX158" i="1"/>
  <c r="FR158" i="1"/>
  <c r="GL158" i="1"/>
  <c r="GN158" i="1"/>
  <c r="GP158" i="1"/>
  <c r="GV158" i="1"/>
  <c r="HC158" i="1"/>
  <c r="I159" i="1"/>
  <c r="AC159" i="1"/>
  <c r="AD159" i="1"/>
  <c r="CR159" i="1" s="1"/>
  <c r="Q159" i="1" s="1"/>
  <c r="AE159" i="1"/>
  <c r="AF159" i="1"/>
  <c r="CT159" i="1" s="1"/>
  <c r="S159" i="1" s="1"/>
  <c r="AG159" i="1"/>
  <c r="AH159" i="1"/>
  <c r="CV159" i="1" s="1"/>
  <c r="U159" i="1" s="1"/>
  <c r="AI159" i="1"/>
  <c r="AJ159" i="1"/>
  <c r="CX159" i="1" s="1"/>
  <c r="W159" i="1" s="1"/>
  <c r="CQ159" i="1"/>
  <c r="P159" i="1" s="1"/>
  <c r="CP159" i="1" s="1"/>
  <c r="O159" i="1" s="1"/>
  <c r="CS159" i="1"/>
  <c r="R159" i="1" s="1"/>
  <c r="CU159" i="1"/>
  <c r="T159" i="1" s="1"/>
  <c r="CW159" i="1"/>
  <c r="V159" i="1" s="1"/>
  <c r="FR159" i="1"/>
  <c r="GL159" i="1"/>
  <c r="GN159" i="1"/>
  <c r="GP159" i="1"/>
  <c r="GV159" i="1"/>
  <c r="HC159" i="1"/>
  <c r="GX159" i="1" s="1"/>
  <c r="C160" i="1"/>
  <c r="D160" i="1"/>
  <c r="I160" i="1"/>
  <c r="AC160" i="1"/>
  <c r="AE160" i="1"/>
  <c r="AD160" i="1" s="1"/>
  <c r="CR160" i="1" s="1"/>
  <c r="Q160" i="1" s="1"/>
  <c r="AF160" i="1"/>
  <c r="AG160" i="1"/>
  <c r="CU160" i="1" s="1"/>
  <c r="T160" i="1" s="1"/>
  <c r="AH160" i="1"/>
  <c r="AI160" i="1"/>
  <c r="CW160" i="1" s="1"/>
  <c r="V160" i="1" s="1"/>
  <c r="AJ160" i="1"/>
  <c r="CT160" i="1"/>
  <c r="S160" i="1" s="1"/>
  <c r="CV160" i="1"/>
  <c r="U160" i="1" s="1"/>
  <c r="CX160" i="1"/>
  <c r="W160" i="1" s="1"/>
  <c r="FR160" i="1"/>
  <c r="GL160" i="1"/>
  <c r="GN160" i="1"/>
  <c r="GP160" i="1"/>
  <c r="GV160" i="1"/>
  <c r="GX160" i="1"/>
  <c r="HC160" i="1"/>
  <c r="I161" i="1"/>
  <c r="AC161" i="1"/>
  <c r="AD161" i="1"/>
  <c r="CR161" i="1" s="1"/>
  <c r="Q161" i="1" s="1"/>
  <c r="AE161" i="1"/>
  <c r="AF161" i="1"/>
  <c r="CT161" i="1" s="1"/>
  <c r="S161" i="1" s="1"/>
  <c r="AG161" i="1"/>
  <c r="AH161" i="1"/>
  <c r="CV161" i="1" s="1"/>
  <c r="U161" i="1" s="1"/>
  <c r="AI161" i="1"/>
  <c r="AJ161" i="1"/>
  <c r="CX161" i="1" s="1"/>
  <c r="W161" i="1" s="1"/>
  <c r="CQ161" i="1"/>
  <c r="P161" i="1" s="1"/>
  <c r="CS161" i="1"/>
  <c r="R161" i="1" s="1"/>
  <c r="CU161" i="1"/>
  <c r="T161" i="1" s="1"/>
  <c r="CW161" i="1"/>
  <c r="V161" i="1" s="1"/>
  <c r="FR161" i="1"/>
  <c r="GL161" i="1"/>
  <c r="GN161" i="1"/>
  <c r="GP161" i="1"/>
  <c r="GV161" i="1"/>
  <c r="HC161" i="1"/>
  <c r="GX161" i="1" s="1"/>
  <c r="C162" i="1"/>
  <c r="D162" i="1"/>
  <c r="I162" i="1"/>
  <c r="AC162" i="1"/>
  <c r="AB162" i="1" s="1"/>
  <c r="AE162" i="1"/>
  <c r="AD162" i="1" s="1"/>
  <c r="CR162" i="1" s="1"/>
  <c r="Q162" i="1" s="1"/>
  <c r="AF162" i="1"/>
  <c r="AG162" i="1"/>
  <c r="CU162" i="1" s="1"/>
  <c r="T162" i="1" s="1"/>
  <c r="AH162" i="1"/>
  <c r="AI162" i="1"/>
  <c r="CW162" i="1" s="1"/>
  <c r="V162" i="1" s="1"/>
  <c r="AJ162" i="1"/>
  <c r="CT162" i="1"/>
  <c r="S162" i="1" s="1"/>
  <c r="CV162" i="1"/>
  <c r="U162" i="1" s="1"/>
  <c r="CX162" i="1"/>
  <c r="W162" i="1" s="1"/>
  <c r="FR162" i="1"/>
  <c r="GL162" i="1"/>
  <c r="GN162" i="1"/>
  <c r="GP162" i="1"/>
  <c r="GV162" i="1"/>
  <c r="GX162" i="1"/>
  <c r="HC162" i="1"/>
  <c r="I163" i="1"/>
  <c r="AC163" i="1"/>
  <c r="AD163" i="1"/>
  <c r="CR163" i="1" s="1"/>
  <c r="Q163" i="1" s="1"/>
  <c r="AE163" i="1"/>
  <c r="AF163" i="1"/>
  <c r="CT163" i="1" s="1"/>
  <c r="S163" i="1" s="1"/>
  <c r="AG163" i="1"/>
  <c r="AH163" i="1"/>
  <c r="CV163" i="1" s="1"/>
  <c r="U163" i="1" s="1"/>
  <c r="AI163" i="1"/>
  <c r="AJ163" i="1"/>
  <c r="CX163" i="1" s="1"/>
  <c r="W163" i="1" s="1"/>
  <c r="CQ163" i="1"/>
  <c r="P163" i="1" s="1"/>
  <c r="CP163" i="1" s="1"/>
  <c r="O163" i="1" s="1"/>
  <c r="CS163" i="1"/>
  <c r="R163" i="1" s="1"/>
  <c r="CU163" i="1"/>
  <c r="T163" i="1" s="1"/>
  <c r="CW163" i="1"/>
  <c r="V163" i="1" s="1"/>
  <c r="FR163" i="1"/>
  <c r="GL163" i="1"/>
  <c r="GN163" i="1"/>
  <c r="GP163" i="1"/>
  <c r="GV163" i="1"/>
  <c r="HC163" i="1"/>
  <c r="GX163" i="1" s="1"/>
  <c r="C164" i="1"/>
  <c r="D164" i="1"/>
  <c r="I164" i="1"/>
  <c r="AC164" i="1"/>
  <c r="AE164" i="1"/>
  <c r="AD164" i="1" s="1"/>
  <c r="CR164" i="1" s="1"/>
  <c r="Q164" i="1" s="1"/>
  <c r="AF164" i="1"/>
  <c r="AG164" i="1"/>
  <c r="CU164" i="1" s="1"/>
  <c r="T164" i="1" s="1"/>
  <c r="AH164" i="1"/>
  <c r="AI164" i="1"/>
  <c r="CW164" i="1" s="1"/>
  <c r="V164" i="1" s="1"/>
  <c r="AJ164" i="1"/>
  <c r="CT164" i="1"/>
  <c r="S164" i="1" s="1"/>
  <c r="CV164" i="1"/>
  <c r="U164" i="1" s="1"/>
  <c r="CX164" i="1"/>
  <c r="W164" i="1" s="1"/>
  <c r="FR164" i="1"/>
  <c r="GL164" i="1"/>
  <c r="GN164" i="1"/>
  <c r="GP164" i="1"/>
  <c r="GV164" i="1"/>
  <c r="GX164" i="1"/>
  <c r="HC164" i="1"/>
  <c r="I165" i="1"/>
  <c r="AC165" i="1"/>
  <c r="AD165" i="1"/>
  <c r="CR165" i="1" s="1"/>
  <c r="Q165" i="1" s="1"/>
  <c r="AE165" i="1"/>
  <c r="AF165" i="1"/>
  <c r="CT165" i="1" s="1"/>
  <c r="S165" i="1" s="1"/>
  <c r="AG165" i="1"/>
  <c r="AH165" i="1"/>
  <c r="CV165" i="1" s="1"/>
  <c r="U165" i="1" s="1"/>
  <c r="AI165" i="1"/>
  <c r="AJ165" i="1"/>
  <c r="CX165" i="1" s="1"/>
  <c r="W165" i="1" s="1"/>
  <c r="CQ165" i="1"/>
  <c r="P165" i="1" s="1"/>
  <c r="CS165" i="1"/>
  <c r="R165" i="1" s="1"/>
  <c r="CU165" i="1"/>
  <c r="T165" i="1" s="1"/>
  <c r="CW165" i="1"/>
  <c r="V165" i="1" s="1"/>
  <c r="FR165" i="1"/>
  <c r="GL165" i="1"/>
  <c r="GN165" i="1"/>
  <c r="GP165" i="1"/>
  <c r="GV165" i="1"/>
  <c r="HC165" i="1"/>
  <c r="GX165" i="1" s="1"/>
  <c r="I166" i="1"/>
  <c r="AC166" i="1"/>
  <c r="AB166" i="1" s="1"/>
  <c r="AE166" i="1"/>
  <c r="AD166" i="1" s="1"/>
  <c r="CR166" i="1" s="1"/>
  <c r="Q166" i="1" s="1"/>
  <c r="AF166" i="1"/>
  <c r="AG166" i="1"/>
  <c r="CU166" i="1" s="1"/>
  <c r="T166" i="1" s="1"/>
  <c r="AH166" i="1"/>
  <c r="AI166" i="1"/>
  <c r="CW166" i="1" s="1"/>
  <c r="V166" i="1" s="1"/>
  <c r="AJ166" i="1"/>
  <c r="CT166" i="1"/>
  <c r="S166" i="1" s="1"/>
  <c r="CV166" i="1"/>
  <c r="U166" i="1" s="1"/>
  <c r="CX166" i="1"/>
  <c r="W166" i="1" s="1"/>
  <c r="FR166" i="1"/>
  <c r="GL166" i="1"/>
  <c r="GN166" i="1"/>
  <c r="GP166" i="1"/>
  <c r="GV166" i="1"/>
  <c r="GX166" i="1"/>
  <c r="HC166" i="1"/>
  <c r="C167" i="1"/>
  <c r="D167" i="1"/>
  <c r="I167" i="1"/>
  <c r="AC167" i="1"/>
  <c r="AD167" i="1"/>
  <c r="CR167" i="1" s="1"/>
  <c r="Q167" i="1" s="1"/>
  <c r="AE167" i="1"/>
  <c r="AF167" i="1"/>
  <c r="CT167" i="1" s="1"/>
  <c r="S167" i="1" s="1"/>
  <c r="AG167" i="1"/>
  <c r="AH167" i="1"/>
  <c r="CV167" i="1" s="1"/>
  <c r="U167" i="1" s="1"/>
  <c r="AI167" i="1"/>
  <c r="AJ167" i="1"/>
  <c r="CX167" i="1" s="1"/>
  <c r="W167" i="1" s="1"/>
  <c r="CQ167" i="1"/>
  <c r="P167" i="1" s="1"/>
  <c r="CP167" i="1" s="1"/>
  <c r="O167" i="1" s="1"/>
  <c r="CS167" i="1"/>
  <c r="R167" i="1" s="1"/>
  <c r="CU167" i="1"/>
  <c r="T167" i="1" s="1"/>
  <c r="CW167" i="1"/>
  <c r="V167" i="1" s="1"/>
  <c r="FR167" i="1"/>
  <c r="GL167" i="1"/>
  <c r="GN167" i="1"/>
  <c r="GP167" i="1"/>
  <c r="GV167" i="1"/>
  <c r="HC167" i="1"/>
  <c r="GX167" i="1" s="1"/>
  <c r="AC168" i="1"/>
  <c r="AB168" i="1" s="1"/>
  <c r="AE168" i="1"/>
  <c r="AD168" i="1" s="1"/>
  <c r="CR168" i="1" s="1"/>
  <c r="AF168" i="1"/>
  <c r="AG168" i="1"/>
  <c r="CU168" i="1" s="1"/>
  <c r="AH168" i="1"/>
  <c r="AI168" i="1"/>
  <c r="CW168" i="1" s="1"/>
  <c r="AJ168" i="1"/>
  <c r="CT168" i="1"/>
  <c r="CV168" i="1"/>
  <c r="CX168" i="1"/>
  <c r="FR168" i="1"/>
  <c r="GL168" i="1"/>
  <c r="GN168" i="1"/>
  <c r="GP168" i="1"/>
  <c r="GV168" i="1"/>
  <c r="HC168" i="1"/>
  <c r="C169" i="1"/>
  <c r="D169" i="1"/>
  <c r="I169" i="1"/>
  <c r="AC169" i="1"/>
  <c r="AD169" i="1"/>
  <c r="CR169" i="1" s="1"/>
  <c r="Q169" i="1" s="1"/>
  <c r="AE169" i="1"/>
  <c r="AF169" i="1"/>
  <c r="CT169" i="1" s="1"/>
  <c r="S169" i="1" s="1"/>
  <c r="AG169" i="1"/>
  <c r="AH169" i="1"/>
  <c r="CV169" i="1" s="1"/>
  <c r="U169" i="1" s="1"/>
  <c r="AI169" i="1"/>
  <c r="AJ169" i="1"/>
  <c r="CX169" i="1" s="1"/>
  <c r="W169" i="1" s="1"/>
  <c r="CQ169" i="1"/>
  <c r="P169" i="1" s="1"/>
  <c r="CS169" i="1"/>
  <c r="R169" i="1" s="1"/>
  <c r="CU169" i="1"/>
  <c r="T169" i="1" s="1"/>
  <c r="CW169" i="1"/>
  <c r="V169" i="1" s="1"/>
  <c r="FR169" i="1"/>
  <c r="GL169" i="1"/>
  <c r="GN169" i="1"/>
  <c r="GP169" i="1"/>
  <c r="GV169" i="1"/>
  <c r="HC169" i="1"/>
  <c r="GX169" i="1" s="1"/>
  <c r="AC170" i="1"/>
  <c r="AE170" i="1"/>
  <c r="AD170" i="1" s="1"/>
  <c r="CR170" i="1" s="1"/>
  <c r="AF170" i="1"/>
  <c r="AG170" i="1"/>
  <c r="CU170" i="1" s="1"/>
  <c r="AH170" i="1"/>
  <c r="AI170" i="1"/>
  <c r="CW170" i="1" s="1"/>
  <c r="AJ170" i="1"/>
  <c r="CT170" i="1"/>
  <c r="CV170" i="1"/>
  <c r="CX170" i="1"/>
  <c r="FR170" i="1"/>
  <c r="GL170" i="1"/>
  <c r="GN170" i="1"/>
  <c r="GP170" i="1"/>
  <c r="GV170" i="1"/>
  <c r="HC170" i="1"/>
  <c r="C171" i="1"/>
  <c r="D171" i="1"/>
  <c r="I171" i="1"/>
  <c r="AC171" i="1"/>
  <c r="AD171" i="1"/>
  <c r="CR171" i="1" s="1"/>
  <c r="Q171" i="1" s="1"/>
  <c r="AE171" i="1"/>
  <c r="AF171" i="1"/>
  <c r="CT171" i="1" s="1"/>
  <c r="S171" i="1" s="1"/>
  <c r="AG171" i="1"/>
  <c r="AH171" i="1"/>
  <c r="CV171" i="1" s="1"/>
  <c r="U171" i="1" s="1"/>
  <c r="AI171" i="1"/>
  <c r="AJ171" i="1"/>
  <c r="CX171" i="1" s="1"/>
  <c r="W171" i="1" s="1"/>
  <c r="CQ171" i="1"/>
  <c r="P171" i="1" s="1"/>
  <c r="CP171" i="1" s="1"/>
  <c r="O171" i="1" s="1"/>
  <c r="CS171" i="1"/>
  <c r="R171" i="1" s="1"/>
  <c r="CU171" i="1"/>
  <c r="T171" i="1" s="1"/>
  <c r="CW171" i="1"/>
  <c r="V171" i="1" s="1"/>
  <c r="FR171" i="1"/>
  <c r="GL171" i="1"/>
  <c r="GN171" i="1"/>
  <c r="GP171" i="1"/>
  <c r="GV171" i="1"/>
  <c r="HC171" i="1"/>
  <c r="GX171" i="1" s="1"/>
  <c r="AC172" i="1"/>
  <c r="AB172" i="1" s="1"/>
  <c r="AE172" i="1"/>
  <c r="AD172" i="1" s="1"/>
  <c r="CR172" i="1" s="1"/>
  <c r="AF172" i="1"/>
  <c r="AG172" i="1"/>
  <c r="CU172" i="1" s="1"/>
  <c r="AH172" i="1"/>
  <c r="AI172" i="1"/>
  <c r="CW172" i="1" s="1"/>
  <c r="AJ172" i="1"/>
  <c r="CT172" i="1"/>
  <c r="CV172" i="1"/>
  <c r="CX172" i="1"/>
  <c r="FR172" i="1"/>
  <c r="GL172" i="1"/>
  <c r="GN172" i="1"/>
  <c r="GP172" i="1"/>
  <c r="GV172" i="1"/>
  <c r="HC172" i="1"/>
  <c r="I173" i="1"/>
  <c r="AC173" i="1"/>
  <c r="AD173" i="1"/>
  <c r="CR173" i="1" s="1"/>
  <c r="Q173" i="1" s="1"/>
  <c r="AE173" i="1"/>
  <c r="AF173" i="1"/>
  <c r="CT173" i="1" s="1"/>
  <c r="S173" i="1" s="1"/>
  <c r="AG173" i="1"/>
  <c r="AH173" i="1"/>
  <c r="CV173" i="1" s="1"/>
  <c r="U173" i="1" s="1"/>
  <c r="AI173" i="1"/>
  <c r="AJ173" i="1"/>
  <c r="CX173" i="1" s="1"/>
  <c r="W173" i="1" s="1"/>
  <c r="CQ173" i="1"/>
  <c r="P173" i="1" s="1"/>
  <c r="CS173" i="1"/>
  <c r="R173" i="1" s="1"/>
  <c r="CU173" i="1"/>
  <c r="T173" i="1" s="1"/>
  <c r="CW173" i="1"/>
  <c r="V173" i="1" s="1"/>
  <c r="FR173" i="1"/>
  <c r="GL173" i="1"/>
  <c r="GN173" i="1"/>
  <c r="GP173" i="1"/>
  <c r="GV173" i="1"/>
  <c r="HC173" i="1"/>
  <c r="GX173" i="1" s="1"/>
  <c r="C174" i="1"/>
  <c r="D174" i="1"/>
  <c r="I174" i="1"/>
  <c r="AC174" i="1"/>
  <c r="AB174" i="1" s="1"/>
  <c r="AE174" i="1"/>
  <c r="AD174" i="1" s="1"/>
  <c r="CR174" i="1" s="1"/>
  <c r="Q174" i="1" s="1"/>
  <c r="AF174" i="1"/>
  <c r="AG174" i="1"/>
  <c r="CU174" i="1" s="1"/>
  <c r="T174" i="1" s="1"/>
  <c r="AH174" i="1"/>
  <c r="AI174" i="1"/>
  <c r="CW174" i="1" s="1"/>
  <c r="V174" i="1" s="1"/>
  <c r="AJ174" i="1"/>
  <c r="CT174" i="1"/>
  <c r="S174" i="1" s="1"/>
  <c r="CV174" i="1"/>
  <c r="U174" i="1" s="1"/>
  <c r="CX174" i="1"/>
  <c r="W174" i="1" s="1"/>
  <c r="FR174" i="1"/>
  <c r="GL174" i="1"/>
  <c r="GO174" i="1"/>
  <c r="GP174" i="1"/>
  <c r="GV174" i="1"/>
  <c r="GX174" i="1"/>
  <c r="HC174" i="1"/>
  <c r="C175" i="1"/>
  <c r="D175" i="1"/>
  <c r="I175" i="1"/>
  <c r="AC175" i="1"/>
  <c r="AD175" i="1"/>
  <c r="CR175" i="1" s="1"/>
  <c r="Q175" i="1" s="1"/>
  <c r="AE175" i="1"/>
  <c r="AF175" i="1"/>
  <c r="CT175" i="1" s="1"/>
  <c r="S175" i="1" s="1"/>
  <c r="AG175" i="1"/>
  <c r="AH175" i="1"/>
  <c r="CV175" i="1" s="1"/>
  <c r="U175" i="1" s="1"/>
  <c r="AI175" i="1"/>
  <c r="AJ175" i="1"/>
  <c r="CX175" i="1" s="1"/>
  <c r="W175" i="1" s="1"/>
  <c r="CQ175" i="1"/>
  <c r="P175" i="1" s="1"/>
  <c r="CP175" i="1" s="1"/>
  <c r="O175" i="1" s="1"/>
  <c r="CS175" i="1"/>
  <c r="R175" i="1" s="1"/>
  <c r="CU175" i="1"/>
  <c r="T175" i="1" s="1"/>
  <c r="CW175" i="1"/>
  <c r="V175" i="1" s="1"/>
  <c r="FR175" i="1"/>
  <c r="GL175" i="1"/>
  <c r="GO175" i="1"/>
  <c r="GP175" i="1"/>
  <c r="GV175" i="1"/>
  <c r="HC175" i="1"/>
  <c r="GX175" i="1" s="1"/>
  <c r="AC176" i="1"/>
  <c r="AB176" i="1" s="1"/>
  <c r="AE176" i="1"/>
  <c r="AD176" i="1" s="1"/>
  <c r="CR176" i="1" s="1"/>
  <c r="AF176" i="1"/>
  <c r="AG176" i="1"/>
  <c r="CU176" i="1" s="1"/>
  <c r="AH176" i="1"/>
  <c r="AI176" i="1"/>
  <c r="CW176" i="1" s="1"/>
  <c r="AJ176" i="1"/>
  <c r="CT176" i="1"/>
  <c r="CV176" i="1"/>
  <c r="CX176" i="1"/>
  <c r="FR176" i="1"/>
  <c r="GL176" i="1"/>
  <c r="GO176" i="1"/>
  <c r="GP176" i="1"/>
  <c r="GV176" i="1"/>
  <c r="HC176" i="1"/>
  <c r="C177" i="1"/>
  <c r="D177" i="1"/>
  <c r="I177" i="1"/>
  <c r="AC177" i="1"/>
  <c r="AD177" i="1"/>
  <c r="CR177" i="1" s="1"/>
  <c r="Q177" i="1" s="1"/>
  <c r="AE177" i="1"/>
  <c r="AF177" i="1"/>
  <c r="CT177" i="1" s="1"/>
  <c r="S177" i="1" s="1"/>
  <c r="AG177" i="1"/>
  <c r="AH177" i="1"/>
  <c r="CV177" i="1" s="1"/>
  <c r="U177" i="1" s="1"/>
  <c r="AI177" i="1"/>
  <c r="AJ177" i="1"/>
  <c r="CX177" i="1" s="1"/>
  <c r="W177" i="1" s="1"/>
  <c r="CQ177" i="1"/>
  <c r="P177" i="1" s="1"/>
  <c r="CS177" i="1"/>
  <c r="R177" i="1" s="1"/>
  <c r="CU177" i="1"/>
  <c r="T177" i="1" s="1"/>
  <c r="CW177" i="1"/>
  <c r="V177" i="1" s="1"/>
  <c r="FR177" i="1"/>
  <c r="GL177" i="1"/>
  <c r="GO177" i="1"/>
  <c r="GP177" i="1"/>
  <c r="GV177" i="1"/>
  <c r="HC177" i="1"/>
  <c r="GX177" i="1" s="1"/>
  <c r="C178" i="1"/>
  <c r="D178" i="1"/>
  <c r="I178" i="1"/>
  <c r="AC178" i="1"/>
  <c r="AB178" i="1" s="1"/>
  <c r="AE178" i="1"/>
  <c r="AD178" i="1" s="1"/>
  <c r="CR178" i="1" s="1"/>
  <c r="Q178" i="1" s="1"/>
  <c r="AF178" i="1"/>
  <c r="AG178" i="1"/>
  <c r="CU178" i="1" s="1"/>
  <c r="T178" i="1" s="1"/>
  <c r="AH178" i="1"/>
  <c r="AI178" i="1"/>
  <c r="CW178" i="1" s="1"/>
  <c r="V178" i="1" s="1"/>
  <c r="AJ178" i="1"/>
  <c r="CT178" i="1"/>
  <c r="S178" i="1" s="1"/>
  <c r="CV178" i="1"/>
  <c r="U178" i="1" s="1"/>
  <c r="CX178" i="1"/>
  <c r="W178" i="1" s="1"/>
  <c r="FR178" i="1"/>
  <c r="GL178" i="1"/>
  <c r="GO178" i="1"/>
  <c r="GP178" i="1"/>
  <c r="GV178" i="1"/>
  <c r="GX178" i="1"/>
  <c r="HC178" i="1"/>
  <c r="I179" i="1"/>
  <c r="AC179" i="1"/>
  <c r="AD179" i="1"/>
  <c r="CR179" i="1" s="1"/>
  <c r="Q179" i="1" s="1"/>
  <c r="AE179" i="1"/>
  <c r="AF179" i="1"/>
  <c r="CT179" i="1" s="1"/>
  <c r="S179" i="1" s="1"/>
  <c r="AG179" i="1"/>
  <c r="AH179" i="1"/>
  <c r="CV179" i="1" s="1"/>
  <c r="U179" i="1" s="1"/>
  <c r="AI179" i="1"/>
  <c r="AJ179" i="1"/>
  <c r="CX179" i="1" s="1"/>
  <c r="W179" i="1" s="1"/>
  <c r="CQ179" i="1"/>
  <c r="P179" i="1" s="1"/>
  <c r="CP179" i="1" s="1"/>
  <c r="O179" i="1" s="1"/>
  <c r="CS179" i="1"/>
  <c r="R179" i="1" s="1"/>
  <c r="CU179" i="1"/>
  <c r="T179" i="1" s="1"/>
  <c r="CW179" i="1"/>
  <c r="V179" i="1" s="1"/>
  <c r="FR179" i="1"/>
  <c r="GL179" i="1"/>
  <c r="GO179" i="1"/>
  <c r="GP179" i="1"/>
  <c r="GV179" i="1"/>
  <c r="HC179" i="1"/>
  <c r="GX179" i="1" s="1"/>
  <c r="I180" i="1"/>
  <c r="U180" i="1"/>
  <c r="AC180" i="1"/>
  <c r="AE180" i="1"/>
  <c r="AF180" i="1"/>
  <c r="AG180" i="1"/>
  <c r="CU180" i="1" s="1"/>
  <c r="T180" i="1" s="1"/>
  <c r="AH180" i="1"/>
  <c r="AI180" i="1"/>
  <c r="CW180" i="1" s="1"/>
  <c r="V180" i="1" s="1"/>
  <c r="AJ180" i="1"/>
  <c r="CT180" i="1"/>
  <c r="S180" i="1" s="1"/>
  <c r="CV180" i="1"/>
  <c r="CX180" i="1"/>
  <c r="W180" i="1" s="1"/>
  <c r="FR180" i="1"/>
  <c r="GL180" i="1"/>
  <c r="GO180" i="1"/>
  <c r="GP180" i="1"/>
  <c r="GV180" i="1"/>
  <c r="GX180" i="1"/>
  <c r="HC180" i="1"/>
  <c r="C181" i="1"/>
  <c r="D181" i="1"/>
  <c r="I181" i="1"/>
  <c r="CX551" i="3" s="1"/>
  <c r="AC181" i="1"/>
  <c r="AD181" i="1"/>
  <c r="CR181" i="1" s="1"/>
  <c r="Q181" i="1" s="1"/>
  <c r="AE181" i="1"/>
  <c r="AF181" i="1"/>
  <c r="CT181" i="1" s="1"/>
  <c r="S181" i="1" s="1"/>
  <c r="AG181" i="1"/>
  <c r="AH181" i="1"/>
  <c r="CV181" i="1" s="1"/>
  <c r="U181" i="1" s="1"/>
  <c r="AI181" i="1"/>
  <c r="AJ181" i="1"/>
  <c r="CX181" i="1" s="1"/>
  <c r="W181" i="1" s="1"/>
  <c r="CQ181" i="1"/>
  <c r="P181" i="1" s="1"/>
  <c r="CP181" i="1" s="1"/>
  <c r="O181" i="1" s="1"/>
  <c r="CS181" i="1"/>
  <c r="R181" i="1" s="1"/>
  <c r="CU181" i="1"/>
  <c r="T181" i="1" s="1"/>
  <c r="CW181" i="1"/>
  <c r="V181" i="1" s="1"/>
  <c r="FR181" i="1"/>
  <c r="BY183" i="1" s="1"/>
  <c r="GL181" i="1"/>
  <c r="GO181" i="1"/>
  <c r="GP181" i="1"/>
  <c r="GV181" i="1"/>
  <c r="HC181" i="1"/>
  <c r="GX181" i="1" s="1"/>
  <c r="B183" i="1"/>
  <c r="B26" i="1" s="1"/>
  <c r="C183" i="1"/>
  <c r="C26" i="1" s="1"/>
  <c r="D183" i="1"/>
  <c r="D26" i="1" s="1"/>
  <c r="F183" i="1"/>
  <c r="F26" i="1" s="1"/>
  <c r="G183" i="1"/>
  <c r="G26" i="1" s="1"/>
  <c r="BX183" i="1"/>
  <c r="BX26" i="1" s="1"/>
  <c r="BZ183" i="1"/>
  <c r="BZ26" i="1" s="1"/>
  <c r="CD183" i="1"/>
  <c r="CD26" i="1" s="1"/>
  <c r="CK183" i="1"/>
  <c r="CL183" i="1"/>
  <c r="CL26" i="1" s="1"/>
  <c r="CM183" i="1"/>
  <c r="CM26" i="1" s="1"/>
  <c r="D213" i="1"/>
  <c r="E215" i="1"/>
  <c r="Z215" i="1"/>
  <c r="AA215" i="1"/>
  <c r="AM215" i="1"/>
  <c r="AN215" i="1"/>
  <c r="BE215" i="1"/>
  <c r="BF215" i="1"/>
  <c r="BG215" i="1"/>
  <c r="BH215" i="1"/>
  <c r="BI215" i="1"/>
  <c r="BJ215" i="1"/>
  <c r="BK215" i="1"/>
  <c r="BL215" i="1"/>
  <c r="BM215" i="1"/>
  <c r="BN215" i="1"/>
  <c r="BO215" i="1"/>
  <c r="BP215" i="1"/>
  <c r="BQ215" i="1"/>
  <c r="BR215" i="1"/>
  <c r="BS215" i="1"/>
  <c r="BT215" i="1"/>
  <c r="BU215" i="1"/>
  <c r="BV215" i="1"/>
  <c r="BW215" i="1"/>
  <c r="CN215" i="1"/>
  <c r="CO215" i="1"/>
  <c r="CP215" i="1"/>
  <c r="CQ215" i="1"/>
  <c r="CR215" i="1"/>
  <c r="CS215" i="1"/>
  <c r="CT215" i="1"/>
  <c r="CU215" i="1"/>
  <c r="CV215" i="1"/>
  <c r="CW215" i="1"/>
  <c r="CX215" i="1"/>
  <c r="CY215" i="1"/>
  <c r="CZ215" i="1"/>
  <c r="DA215" i="1"/>
  <c r="DB215" i="1"/>
  <c r="DC215" i="1"/>
  <c r="DD215" i="1"/>
  <c r="DE215" i="1"/>
  <c r="DF215" i="1"/>
  <c r="DG215" i="1"/>
  <c r="DH215" i="1"/>
  <c r="DI215" i="1"/>
  <c r="DJ215" i="1"/>
  <c r="DK215" i="1"/>
  <c r="DL215" i="1"/>
  <c r="DM215" i="1"/>
  <c r="DN215" i="1"/>
  <c r="DO215" i="1"/>
  <c r="DP215" i="1"/>
  <c r="DQ215" i="1"/>
  <c r="DR215" i="1"/>
  <c r="DS215" i="1"/>
  <c r="DT215" i="1"/>
  <c r="DU215" i="1"/>
  <c r="DV215" i="1"/>
  <c r="DW215" i="1"/>
  <c r="DX215" i="1"/>
  <c r="DY215" i="1"/>
  <c r="DZ215" i="1"/>
  <c r="EA215" i="1"/>
  <c r="EB215" i="1"/>
  <c r="EC215" i="1"/>
  <c r="ED215" i="1"/>
  <c r="EE215" i="1"/>
  <c r="EF215" i="1"/>
  <c r="EG215" i="1"/>
  <c r="EH215" i="1"/>
  <c r="EI215" i="1"/>
  <c r="EJ215" i="1"/>
  <c r="EK215" i="1"/>
  <c r="EL215" i="1"/>
  <c r="EM215" i="1"/>
  <c r="EN215" i="1"/>
  <c r="EO215" i="1"/>
  <c r="EP215" i="1"/>
  <c r="EQ215" i="1"/>
  <c r="ER215" i="1"/>
  <c r="ES215" i="1"/>
  <c r="ET215" i="1"/>
  <c r="EU215" i="1"/>
  <c r="EV215" i="1"/>
  <c r="EW215" i="1"/>
  <c r="EX215" i="1"/>
  <c r="EY215" i="1"/>
  <c r="EZ215" i="1"/>
  <c r="FA215" i="1"/>
  <c r="FB215" i="1"/>
  <c r="FC215" i="1"/>
  <c r="FD215" i="1"/>
  <c r="FE215" i="1"/>
  <c r="FF215" i="1"/>
  <c r="FG215" i="1"/>
  <c r="FH215" i="1"/>
  <c r="FI215" i="1"/>
  <c r="FJ215" i="1"/>
  <c r="FK215" i="1"/>
  <c r="FL215" i="1"/>
  <c r="FM215" i="1"/>
  <c r="FN215" i="1"/>
  <c r="FO215" i="1"/>
  <c r="FP215" i="1"/>
  <c r="FQ215" i="1"/>
  <c r="FR215" i="1"/>
  <c r="FS215" i="1"/>
  <c r="FT215" i="1"/>
  <c r="FU215" i="1"/>
  <c r="FV215" i="1"/>
  <c r="FW215" i="1"/>
  <c r="FX215" i="1"/>
  <c r="FY215" i="1"/>
  <c r="FZ215" i="1"/>
  <c r="GA215" i="1"/>
  <c r="GB215" i="1"/>
  <c r="GC215" i="1"/>
  <c r="GD215" i="1"/>
  <c r="GE215" i="1"/>
  <c r="GF215" i="1"/>
  <c r="GG215" i="1"/>
  <c r="GH215" i="1"/>
  <c r="GI215" i="1"/>
  <c r="GJ215" i="1"/>
  <c r="GK215" i="1"/>
  <c r="GL215" i="1"/>
  <c r="GM215" i="1"/>
  <c r="GN215" i="1"/>
  <c r="GO215" i="1"/>
  <c r="GP215" i="1"/>
  <c r="GQ215" i="1"/>
  <c r="GR215" i="1"/>
  <c r="GS215" i="1"/>
  <c r="GT215" i="1"/>
  <c r="GU215" i="1"/>
  <c r="GV215" i="1"/>
  <c r="GW215" i="1"/>
  <c r="GX215" i="1"/>
  <c r="C217" i="1"/>
  <c r="D217" i="1"/>
  <c r="I217" i="1"/>
  <c r="I218" i="1" s="1"/>
  <c r="GX218" i="1" s="1"/>
  <c r="AC217" i="1"/>
  <c r="AD217" i="1"/>
  <c r="AB217" i="1" s="1"/>
  <c r="AE217" i="1"/>
  <c r="AF217" i="1"/>
  <c r="CT217" i="1" s="1"/>
  <c r="S217" i="1" s="1"/>
  <c r="AG217" i="1"/>
  <c r="AH217" i="1"/>
  <c r="CV217" i="1" s="1"/>
  <c r="U217" i="1" s="1"/>
  <c r="AI217" i="1"/>
  <c r="AJ217" i="1"/>
  <c r="CX217" i="1" s="1"/>
  <c r="W217" i="1" s="1"/>
  <c r="CQ217" i="1"/>
  <c r="P217" i="1" s="1"/>
  <c r="CS217" i="1"/>
  <c r="R217" i="1" s="1"/>
  <c r="CU217" i="1"/>
  <c r="T217" i="1" s="1"/>
  <c r="CW217" i="1"/>
  <c r="V217" i="1" s="1"/>
  <c r="FR217" i="1"/>
  <c r="GL217" i="1"/>
  <c r="GN217" i="1"/>
  <c r="GP217" i="1"/>
  <c r="GV217" i="1"/>
  <c r="HC217" i="1"/>
  <c r="GX217" i="1" s="1"/>
  <c r="AC218" i="1"/>
  <c r="AB218" i="1" s="1"/>
  <c r="AE218" i="1"/>
  <c r="AD218" i="1" s="1"/>
  <c r="CR218" i="1" s="1"/>
  <c r="Q218" i="1" s="1"/>
  <c r="AF218" i="1"/>
  <c r="AG218" i="1"/>
  <c r="CU218" i="1" s="1"/>
  <c r="T218" i="1" s="1"/>
  <c r="AH218" i="1"/>
  <c r="AI218" i="1"/>
  <c r="CW218" i="1" s="1"/>
  <c r="V218" i="1" s="1"/>
  <c r="AJ218" i="1"/>
  <c r="CT218" i="1"/>
  <c r="S218" i="1" s="1"/>
  <c r="CV218" i="1"/>
  <c r="U218" i="1" s="1"/>
  <c r="CX218" i="1"/>
  <c r="W218" i="1" s="1"/>
  <c r="FR218" i="1"/>
  <c r="GL218" i="1"/>
  <c r="GN218" i="1"/>
  <c r="GP218" i="1"/>
  <c r="GV218" i="1"/>
  <c r="HC218" i="1"/>
  <c r="C219" i="1"/>
  <c r="D219" i="1"/>
  <c r="I219" i="1"/>
  <c r="I220" i="1" s="1"/>
  <c r="GX220" i="1" s="1"/>
  <c r="AC219" i="1"/>
  <c r="AD219" i="1"/>
  <c r="AB219" i="1" s="1"/>
  <c r="AE219" i="1"/>
  <c r="AF219" i="1"/>
  <c r="CT219" i="1" s="1"/>
  <c r="S219" i="1" s="1"/>
  <c r="AG219" i="1"/>
  <c r="AH219" i="1"/>
  <c r="CV219" i="1" s="1"/>
  <c r="U219" i="1" s="1"/>
  <c r="AI219" i="1"/>
  <c r="AJ219" i="1"/>
  <c r="CX219" i="1" s="1"/>
  <c r="W219" i="1" s="1"/>
  <c r="CQ219" i="1"/>
  <c r="P219" i="1" s="1"/>
  <c r="CS219" i="1"/>
  <c r="R219" i="1" s="1"/>
  <c r="CU219" i="1"/>
  <c r="T219" i="1" s="1"/>
  <c r="CW219" i="1"/>
  <c r="V219" i="1" s="1"/>
  <c r="FR219" i="1"/>
  <c r="GL219" i="1"/>
  <c r="GN219" i="1"/>
  <c r="GP219" i="1"/>
  <c r="GV219" i="1"/>
  <c r="HC219" i="1"/>
  <c r="GX219" i="1" s="1"/>
  <c r="AC220" i="1"/>
  <c r="AE220" i="1"/>
  <c r="AD220" i="1" s="1"/>
  <c r="CR220" i="1" s="1"/>
  <c r="Q220" i="1" s="1"/>
  <c r="AF220" i="1"/>
  <c r="AG220" i="1"/>
  <c r="CU220" i="1" s="1"/>
  <c r="T220" i="1" s="1"/>
  <c r="AH220" i="1"/>
  <c r="AI220" i="1"/>
  <c r="CW220" i="1" s="1"/>
  <c r="V220" i="1" s="1"/>
  <c r="AJ220" i="1"/>
  <c r="CT220" i="1"/>
  <c r="S220" i="1" s="1"/>
  <c r="CV220" i="1"/>
  <c r="CX220" i="1"/>
  <c r="W220" i="1" s="1"/>
  <c r="FR220" i="1"/>
  <c r="GL220" i="1"/>
  <c r="GN220" i="1"/>
  <c r="GP220" i="1"/>
  <c r="GV220" i="1"/>
  <c r="HC220" i="1"/>
  <c r="C221" i="1"/>
  <c r="D221" i="1"/>
  <c r="I221" i="1"/>
  <c r="I222" i="1" s="1"/>
  <c r="GX222" i="1" s="1"/>
  <c r="AC221" i="1"/>
  <c r="AD221" i="1"/>
  <c r="AB221" i="1" s="1"/>
  <c r="AE221" i="1"/>
  <c r="AF221" i="1"/>
  <c r="CT221" i="1" s="1"/>
  <c r="S221" i="1" s="1"/>
  <c r="AG221" i="1"/>
  <c r="AH221" i="1"/>
  <c r="CV221" i="1" s="1"/>
  <c r="U221" i="1" s="1"/>
  <c r="AI221" i="1"/>
  <c r="AJ221" i="1"/>
  <c r="CX221" i="1" s="1"/>
  <c r="W221" i="1" s="1"/>
  <c r="CQ221" i="1"/>
  <c r="P221" i="1" s="1"/>
  <c r="CS221" i="1"/>
  <c r="R221" i="1" s="1"/>
  <c r="CU221" i="1"/>
  <c r="T221" i="1" s="1"/>
  <c r="CW221" i="1"/>
  <c r="V221" i="1" s="1"/>
  <c r="FR221" i="1"/>
  <c r="GL221" i="1"/>
  <c r="GN221" i="1"/>
  <c r="GP221" i="1"/>
  <c r="GV221" i="1"/>
  <c r="HC221" i="1"/>
  <c r="GX221" i="1" s="1"/>
  <c r="AC222" i="1"/>
  <c r="AB222" i="1" s="1"/>
  <c r="AE222" i="1"/>
  <c r="AD222" i="1" s="1"/>
  <c r="CR222" i="1" s="1"/>
  <c r="Q222" i="1" s="1"/>
  <c r="AF222" i="1"/>
  <c r="AG222" i="1"/>
  <c r="CU222" i="1" s="1"/>
  <c r="T222" i="1" s="1"/>
  <c r="AH222" i="1"/>
  <c r="AI222" i="1"/>
  <c r="CW222" i="1" s="1"/>
  <c r="V222" i="1" s="1"/>
  <c r="AJ222" i="1"/>
  <c r="CT222" i="1"/>
  <c r="S222" i="1" s="1"/>
  <c r="CV222" i="1"/>
  <c r="U222" i="1" s="1"/>
  <c r="CX222" i="1"/>
  <c r="W222" i="1" s="1"/>
  <c r="FR222" i="1"/>
  <c r="GL222" i="1"/>
  <c r="GN222" i="1"/>
  <c r="GP222" i="1"/>
  <c r="GV222" i="1"/>
  <c r="HC222" i="1"/>
  <c r="I223" i="1"/>
  <c r="AC223" i="1"/>
  <c r="AD223" i="1"/>
  <c r="AB223" i="1" s="1"/>
  <c r="AE223" i="1"/>
  <c r="AF223" i="1"/>
  <c r="CT223" i="1" s="1"/>
  <c r="S223" i="1" s="1"/>
  <c r="AG223" i="1"/>
  <c r="AH223" i="1"/>
  <c r="CV223" i="1" s="1"/>
  <c r="U223" i="1" s="1"/>
  <c r="AI223" i="1"/>
  <c r="AJ223" i="1"/>
  <c r="CX223" i="1" s="1"/>
  <c r="W223" i="1" s="1"/>
  <c r="CQ223" i="1"/>
  <c r="P223" i="1" s="1"/>
  <c r="CS223" i="1"/>
  <c r="R223" i="1" s="1"/>
  <c r="CU223" i="1"/>
  <c r="T223" i="1" s="1"/>
  <c r="CW223" i="1"/>
  <c r="V223" i="1" s="1"/>
  <c r="FR223" i="1"/>
  <c r="GL223" i="1"/>
  <c r="GN223" i="1"/>
  <c r="GP223" i="1"/>
  <c r="GV223" i="1"/>
  <c r="HC223" i="1"/>
  <c r="GX223" i="1" s="1"/>
  <c r="C224" i="1"/>
  <c r="D224" i="1"/>
  <c r="I224" i="1"/>
  <c r="AC224" i="1"/>
  <c r="AB224" i="1" s="1"/>
  <c r="AE224" i="1"/>
  <c r="AD224" i="1" s="1"/>
  <c r="CR224" i="1" s="1"/>
  <c r="Q224" i="1" s="1"/>
  <c r="AF224" i="1"/>
  <c r="AG224" i="1"/>
  <c r="CU224" i="1" s="1"/>
  <c r="T224" i="1" s="1"/>
  <c r="AH224" i="1"/>
  <c r="AI224" i="1"/>
  <c r="CW224" i="1" s="1"/>
  <c r="V224" i="1" s="1"/>
  <c r="AJ224" i="1"/>
  <c r="CT224" i="1"/>
  <c r="S224" i="1" s="1"/>
  <c r="CV224" i="1"/>
  <c r="U224" i="1" s="1"/>
  <c r="CX224" i="1"/>
  <c r="W224" i="1" s="1"/>
  <c r="FR224" i="1"/>
  <c r="GL224" i="1"/>
  <c r="GN224" i="1"/>
  <c r="GP224" i="1"/>
  <c r="GV224" i="1"/>
  <c r="GX224" i="1"/>
  <c r="HC224" i="1"/>
  <c r="I225" i="1"/>
  <c r="AC225" i="1"/>
  <c r="AD225" i="1"/>
  <c r="AB225" i="1" s="1"/>
  <c r="AE225" i="1"/>
  <c r="AF225" i="1"/>
  <c r="CT225" i="1" s="1"/>
  <c r="S225" i="1" s="1"/>
  <c r="AG225" i="1"/>
  <c r="AH225" i="1"/>
  <c r="CV225" i="1" s="1"/>
  <c r="U225" i="1" s="1"/>
  <c r="AI225" i="1"/>
  <c r="AJ225" i="1"/>
  <c r="CX225" i="1" s="1"/>
  <c r="W225" i="1" s="1"/>
  <c r="CQ225" i="1"/>
  <c r="P225" i="1" s="1"/>
  <c r="CS225" i="1"/>
  <c r="R225" i="1" s="1"/>
  <c r="CU225" i="1"/>
  <c r="T225" i="1" s="1"/>
  <c r="CW225" i="1"/>
  <c r="V225" i="1" s="1"/>
  <c r="FR225" i="1"/>
  <c r="GL225" i="1"/>
  <c r="GN225" i="1"/>
  <c r="GP225" i="1"/>
  <c r="GV225" i="1"/>
  <c r="HC225" i="1"/>
  <c r="GX225" i="1" s="1"/>
  <c r="C226" i="1"/>
  <c r="D226" i="1"/>
  <c r="I226" i="1"/>
  <c r="AC226" i="1"/>
  <c r="AE226" i="1"/>
  <c r="AD226" i="1" s="1"/>
  <c r="CR226" i="1" s="1"/>
  <c r="Q226" i="1" s="1"/>
  <c r="AF226" i="1"/>
  <c r="AG226" i="1"/>
  <c r="CU226" i="1" s="1"/>
  <c r="T226" i="1" s="1"/>
  <c r="AH226" i="1"/>
  <c r="AI226" i="1"/>
  <c r="CW226" i="1" s="1"/>
  <c r="V226" i="1" s="1"/>
  <c r="AJ226" i="1"/>
  <c r="CT226" i="1"/>
  <c r="S226" i="1" s="1"/>
  <c r="CV226" i="1"/>
  <c r="U226" i="1" s="1"/>
  <c r="CX226" i="1"/>
  <c r="W226" i="1" s="1"/>
  <c r="FR226" i="1"/>
  <c r="GL226" i="1"/>
  <c r="GN226" i="1"/>
  <c r="GP226" i="1"/>
  <c r="GV226" i="1"/>
  <c r="GX226" i="1"/>
  <c r="HC226" i="1"/>
  <c r="I227" i="1"/>
  <c r="AC227" i="1"/>
  <c r="AD227" i="1"/>
  <c r="AB227" i="1" s="1"/>
  <c r="AE227" i="1"/>
  <c r="AF227" i="1"/>
  <c r="CT227" i="1" s="1"/>
  <c r="S227" i="1" s="1"/>
  <c r="AG227" i="1"/>
  <c r="AH227" i="1"/>
  <c r="CV227" i="1" s="1"/>
  <c r="U227" i="1" s="1"/>
  <c r="AI227" i="1"/>
  <c r="AJ227" i="1"/>
  <c r="CX227" i="1" s="1"/>
  <c r="W227" i="1" s="1"/>
  <c r="CQ227" i="1"/>
  <c r="P227" i="1" s="1"/>
  <c r="CS227" i="1"/>
  <c r="R227" i="1" s="1"/>
  <c r="CU227" i="1"/>
  <c r="T227" i="1" s="1"/>
  <c r="CW227" i="1"/>
  <c r="V227" i="1" s="1"/>
  <c r="FR227" i="1"/>
  <c r="GL227" i="1"/>
  <c r="GN227" i="1"/>
  <c r="GP227" i="1"/>
  <c r="GV227" i="1"/>
  <c r="HC227" i="1"/>
  <c r="GX227" i="1" s="1"/>
  <c r="I228" i="1"/>
  <c r="AC228" i="1"/>
  <c r="AB228" i="1" s="1"/>
  <c r="AE228" i="1"/>
  <c r="AD228" i="1" s="1"/>
  <c r="CR228" i="1" s="1"/>
  <c r="Q228" i="1" s="1"/>
  <c r="AF228" i="1"/>
  <c r="AG228" i="1"/>
  <c r="CU228" i="1" s="1"/>
  <c r="T228" i="1" s="1"/>
  <c r="AH228" i="1"/>
  <c r="AI228" i="1"/>
  <c r="CW228" i="1" s="1"/>
  <c r="V228" i="1" s="1"/>
  <c r="AJ228" i="1"/>
  <c r="CT228" i="1"/>
  <c r="S228" i="1" s="1"/>
  <c r="CV228" i="1"/>
  <c r="U228" i="1" s="1"/>
  <c r="CX228" i="1"/>
  <c r="W228" i="1" s="1"/>
  <c r="FR228" i="1"/>
  <c r="GL228" i="1"/>
  <c r="GN228" i="1"/>
  <c r="GP228" i="1"/>
  <c r="GV228" i="1"/>
  <c r="GX228" i="1"/>
  <c r="HC228" i="1"/>
  <c r="C229" i="1"/>
  <c r="D229" i="1"/>
  <c r="I229" i="1"/>
  <c r="I230" i="1" s="1"/>
  <c r="GX230" i="1" s="1"/>
  <c r="AC229" i="1"/>
  <c r="AD229" i="1"/>
  <c r="AB229" i="1" s="1"/>
  <c r="AE229" i="1"/>
  <c r="AF229" i="1"/>
  <c r="CT229" i="1" s="1"/>
  <c r="S229" i="1" s="1"/>
  <c r="AG229" i="1"/>
  <c r="AH229" i="1"/>
  <c r="CV229" i="1" s="1"/>
  <c r="U229" i="1" s="1"/>
  <c r="AI229" i="1"/>
  <c r="AJ229" i="1"/>
  <c r="CX229" i="1" s="1"/>
  <c r="W229" i="1" s="1"/>
  <c r="CQ229" i="1"/>
  <c r="P229" i="1" s="1"/>
  <c r="CS229" i="1"/>
  <c r="R229" i="1" s="1"/>
  <c r="CU229" i="1"/>
  <c r="T229" i="1" s="1"/>
  <c r="CW229" i="1"/>
  <c r="V229" i="1" s="1"/>
  <c r="FR229" i="1"/>
  <c r="GL229" i="1"/>
  <c r="GN229" i="1"/>
  <c r="GP229" i="1"/>
  <c r="GV229" i="1"/>
  <c r="HC229" i="1"/>
  <c r="GX229" i="1" s="1"/>
  <c r="AC230" i="1"/>
  <c r="AB230" i="1" s="1"/>
  <c r="AE230" i="1"/>
  <c r="AD230" i="1" s="1"/>
  <c r="CR230" i="1" s="1"/>
  <c r="Q230" i="1" s="1"/>
  <c r="AF230" i="1"/>
  <c r="AG230" i="1"/>
  <c r="CU230" i="1" s="1"/>
  <c r="T230" i="1" s="1"/>
  <c r="AH230" i="1"/>
  <c r="AI230" i="1"/>
  <c r="CW230" i="1" s="1"/>
  <c r="V230" i="1" s="1"/>
  <c r="AJ230" i="1"/>
  <c r="CT230" i="1"/>
  <c r="S230" i="1" s="1"/>
  <c r="CV230" i="1"/>
  <c r="U230" i="1" s="1"/>
  <c r="CX230" i="1"/>
  <c r="W230" i="1" s="1"/>
  <c r="FR230" i="1"/>
  <c r="GL230" i="1"/>
  <c r="GN230" i="1"/>
  <c r="GP230" i="1"/>
  <c r="GV230" i="1"/>
  <c r="HC230" i="1"/>
  <c r="C231" i="1"/>
  <c r="D231" i="1"/>
  <c r="I231" i="1"/>
  <c r="I232" i="1" s="1"/>
  <c r="GX232" i="1" s="1"/>
  <c r="AC231" i="1"/>
  <c r="AD231" i="1"/>
  <c r="AB231" i="1" s="1"/>
  <c r="AE231" i="1"/>
  <c r="AF231" i="1"/>
  <c r="CT231" i="1" s="1"/>
  <c r="S231" i="1" s="1"/>
  <c r="AG231" i="1"/>
  <c r="AH231" i="1"/>
  <c r="CV231" i="1" s="1"/>
  <c r="U231" i="1" s="1"/>
  <c r="AI231" i="1"/>
  <c r="AJ231" i="1"/>
  <c r="CX231" i="1" s="1"/>
  <c r="W231" i="1" s="1"/>
  <c r="CQ231" i="1"/>
  <c r="P231" i="1" s="1"/>
  <c r="CS231" i="1"/>
  <c r="R231" i="1" s="1"/>
  <c r="CU231" i="1"/>
  <c r="T231" i="1" s="1"/>
  <c r="CW231" i="1"/>
  <c r="V231" i="1" s="1"/>
  <c r="FR231" i="1"/>
  <c r="BY235" i="1" s="1"/>
  <c r="GL231" i="1"/>
  <c r="GN231" i="1"/>
  <c r="GP231" i="1"/>
  <c r="GV231" i="1"/>
  <c r="HC231" i="1"/>
  <c r="GX231" i="1" s="1"/>
  <c r="AC232" i="1"/>
  <c r="AE232" i="1"/>
  <c r="AD232" i="1" s="1"/>
  <c r="CR232" i="1" s="1"/>
  <c r="Q232" i="1" s="1"/>
  <c r="AF232" i="1"/>
  <c r="AG232" i="1"/>
  <c r="CU232" i="1" s="1"/>
  <c r="T232" i="1" s="1"/>
  <c r="AH232" i="1"/>
  <c r="AI232" i="1"/>
  <c r="CW232" i="1" s="1"/>
  <c r="V232" i="1" s="1"/>
  <c r="AJ232" i="1"/>
  <c r="CT232" i="1"/>
  <c r="S232" i="1" s="1"/>
  <c r="CV232" i="1"/>
  <c r="CX232" i="1"/>
  <c r="W232" i="1" s="1"/>
  <c r="FR232" i="1"/>
  <c r="GL232" i="1"/>
  <c r="GN232" i="1"/>
  <c r="GP232" i="1"/>
  <c r="GV232" i="1"/>
  <c r="HC232" i="1"/>
  <c r="C233" i="1"/>
  <c r="D233" i="1"/>
  <c r="I233" i="1"/>
  <c r="AC233" i="1"/>
  <c r="AD233" i="1"/>
  <c r="AB233" i="1" s="1"/>
  <c r="AE233" i="1"/>
  <c r="AF233" i="1"/>
  <c r="CT233" i="1" s="1"/>
  <c r="S233" i="1" s="1"/>
  <c r="AG233" i="1"/>
  <c r="AH233" i="1"/>
  <c r="CV233" i="1" s="1"/>
  <c r="U233" i="1" s="1"/>
  <c r="AI233" i="1"/>
  <c r="AJ233" i="1"/>
  <c r="CX233" i="1" s="1"/>
  <c r="W233" i="1" s="1"/>
  <c r="CQ233" i="1"/>
  <c r="P233" i="1" s="1"/>
  <c r="CS233" i="1"/>
  <c r="R233" i="1" s="1"/>
  <c r="CU233" i="1"/>
  <c r="T233" i="1" s="1"/>
  <c r="CW233" i="1"/>
  <c r="V233" i="1" s="1"/>
  <c r="FR233" i="1"/>
  <c r="GL233" i="1"/>
  <c r="GO233" i="1"/>
  <c r="GP233" i="1"/>
  <c r="GV233" i="1"/>
  <c r="HC233" i="1"/>
  <c r="GX233" i="1" s="1"/>
  <c r="B235" i="1"/>
  <c r="B215" i="1" s="1"/>
  <c r="C235" i="1"/>
  <c r="C215" i="1" s="1"/>
  <c r="D235" i="1"/>
  <c r="D215" i="1" s="1"/>
  <c r="F235" i="1"/>
  <c r="F215" i="1" s="1"/>
  <c r="G235" i="1"/>
  <c r="G215" i="1" s="1"/>
  <c r="BX235" i="1"/>
  <c r="AO235" i="1" s="1"/>
  <c r="BZ235" i="1"/>
  <c r="AQ235" i="1" s="1"/>
  <c r="CD235" i="1"/>
  <c r="AU235" i="1" s="1"/>
  <c r="CK235" i="1"/>
  <c r="CK215" i="1" s="1"/>
  <c r="CL235" i="1"/>
  <c r="BC235" i="1" s="1"/>
  <c r="CM235" i="1"/>
  <c r="CM215" i="1" s="1"/>
  <c r="D265" i="1"/>
  <c r="E267" i="1"/>
  <c r="F267" i="1"/>
  <c r="Z267" i="1"/>
  <c r="AA267" i="1"/>
  <c r="AM267" i="1"/>
  <c r="AN267" i="1"/>
  <c r="BE267" i="1"/>
  <c r="BF267" i="1"/>
  <c r="BG267" i="1"/>
  <c r="BH267" i="1"/>
  <c r="BI267" i="1"/>
  <c r="BJ267" i="1"/>
  <c r="BK267" i="1"/>
  <c r="BL267" i="1"/>
  <c r="BM267" i="1"/>
  <c r="BN267" i="1"/>
  <c r="BO267" i="1"/>
  <c r="BP267" i="1"/>
  <c r="BQ267" i="1"/>
  <c r="BR267" i="1"/>
  <c r="BS267" i="1"/>
  <c r="BT267" i="1"/>
  <c r="BU267" i="1"/>
  <c r="BV267" i="1"/>
  <c r="BW267" i="1"/>
  <c r="CN267" i="1"/>
  <c r="CO267" i="1"/>
  <c r="CP267" i="1"/>
  <c r="CQ267" i="1"/>
  <c r="CR267" i="1"/>
  <c r="CS267" i="1"/>
  <c r="CT267" i="1"/>
  <c r="CU267" i="1"/>
  <c r="CV267" i="1"/>
  <c r="CW267" i="1"/>
  <c r="CX267" i="1"/>
  <c r="CY267" i="1"/>
  <c r="CZ267" i="1"/>
  <c r="DA267" i="1"/>
  <c r="DB267" i="1"/>
  <c r="DC267" i="1"/>
  <c r="DD267" i="1"/>
  <c r="DE267" i="1"/>
  <c r="DF267" i="1"/>
  <c r="DG267" i="1"/>
  <c r="DH267" i="1"/>
  <c r="DI267" i="1"/>
  <c r="DJ267" i="1"/>
  <c r="DK267" i="1"/>
  <c r="DL267" i="1"/>
  <c r="DM267" i="1"/>
  <c r="DN267" i="1"/>
  <c r="DO267" i="1"/>
  <c r="DP267" i="1"/>
  <c r="DQ267" i="1"/>
  <c r="DR267" i="1"/>
  <c r="DS267" i="1"/>
  <c r="DT267" i="1"/>
  <c r="DU267" i="1"/>
  <c r="DV267" i="1"/>
  <c r="DW267" i="1"/>
  <c r="DX267" i="1"/>
  <c r="DY267" i="1"/>
  <c r="DZ267" i="1"/>
  <c r="EA267" i="1"/>
  <c r="EB267" i="1"/>
  <c r="EC267" i="1"/>
  <c r="ED267" i="1"/>
  <c r="EE267" i="1"/>
  <c r="EF267" i="1"/>
  <c r="EG267" i="1"/>
  <c r="EH267" i="1"/>
  <c r="EI267" i="1"/>
  <c r="EJ267" i="1"/>
  <c r="EK267" i="1"/>
  <c r="EL267" i="1"/>
  <c r="EM267" i="1"/>
  <c r="EN267" i="1"/>
  <c r="EO267" i="1"/>
  <c r="EP267" i="1"/>
  <c r="EQ267" i="1"/>
  <c r="ER267" i="1"/>
  <c r="ES267" i="1"/>
  <c r="ET267" i="1"/>
  <c r="EU267" i="1"/>
  <c r="EV267" i="1"/>
  <c r="EW267" i="1"/>
  <c r="EX267" i="1"/>
  <c r="EY267" i="1"/>
  <c r="EZ267" i="1"/>
  <c r="FA267" i="1"/>
  <c r="FB267" i="1"/>
  <c r="FC267" i="1"/>
  <c r="FD267" i="1"/>
  <c r="FE267" i="1"/>
  <c r="FF267" i="1"/>
  <c r="FG267" i="1"/>
  <c r="FH267" i="1"/>
  <c r="FI267" i="1"/>
  <c r="FJ267" i="1"/>
  <c r="FK267" i="1"/>
  <c r="FL267" i="1"/>
  <c r="FM267" i="1"/>
  <c r="FN267" i="1"/>
  <c r="FO267" i="1"/>
  <c r="FP267" i="1"/>
  <c r="FQ267" i="1"/>
  <c r="FR267" i="1"/>
  <c r="FS267" i="1"/>
  <c r="FT267" i="1"/>
  <c r="FU267" i="1"/>
  <c r="FV267" i="1"/>
  <c r="FW267" i="1"/>
  <c r="FX267" i="1"/>
  <c r="FY267" i="1"/>
  <c r="FZ267" i="1"/>
  <c r="GA267" i="1"/>
  <c r="GB267" i="1"/>
  <c r="GC267" i="1"/>
  <c r="GD267" i="1"/>
  <c r="GE267" i="1"/>
  <c r="GF267" i="1"/>
  <c r="GG267" i="1"/>
  <c r="GH267" i="1"/>
  <c r="GI267" i="1"/>
  <c r="GJ267" i="1"/>
  <c r="GK267" i="1"/>
  <c r="GL267" i="1"/>
  <c r="GM267" i="1"/>
  <c r="GN267" i="1"/>
  <c r="GO267" i="1"/>
  <c r="GP267" i="1"/>
  <c r="GQ267" i="1"/>
  <c r="GR267" i="1"/>
  <c r="GS267" i="1"/>
  <c r="GT267" i="1"/>
  <c r="GU267" i="1"/>
  <c r="GV267" i="1"/>
  <c r="GW267" i="1"/>
  <c r="GX267" i="1"/>
  <c r="I269" i="1"/>
  <c r="O269" i="1"/>
  <c r="P269" i="1"/>
  <c r="AC272" i="1" s="1"/>
  <c r="Q269" i="1"/>
  <c r="R269" i="1"/>
  <c r="AE272" i="1" s="1"/>
  <c r="S269" i="1"/>
  <c r="T269" i="1"/>
  <c r="AG272" i="1" s="1"/>
  <c r="U269" i="1"/>
  <c r="V269" i="1"/>
  <c r="AI272" i="1" s="1"/>
  <c r="W269" i="1"/>
  <c r="X269" i="1"/>
  <c r="AK272" i="1" s="1"/>
  <c r="Y269" i="1"/>
  <c r="AB269" i="1"/>
  <c r="CP269" i="1" s="1"/>
  <c r="AC269" i="1"/>
  <c r="AD269" i="1"/>
  <c r="AE269" i="1"/>
  <c r="AF269" i="1"/>
  <c r="AG269" i="1"/>
  <c r="AH269" i="1"/>
  <c r="AI269" i="1"/>
  <c r="AJ269" i="1"/>
  <c r="FR269" i="1"/>
  <c r="GL269" i="1"/>
  <c r="GO269" i="1"/>
  <c r="GP269" i="1"/>
  <c r="GV269" i="1"/>
  <c r="GX269" i="1"/>
  <c r="I270" i="1"/>
  <c r="O270" i="1"/>
  <c r="P270" i="1"/>
  <c r="Q270" i="1"/>
  <c r="R270" i="1"/>
  <c r="S270" i="1"/>
  <c r="T270" i="1"/>
  <c r="U270" i="1"/>
  <c r="V270" i="1"/>
  <c r="W270" i="1"/>
  <c r="X270" i="1"/>
  <c r="Y270" i="1"/>
  <c r="AB270" i="1"/>
  <c r="AC270" i="1"/>
  <c r="AD270" i="1"/>
  <c r="AE270" i="1"/>
  <c r="AF270" i="1"/>
  <c r="AG270" i="1"/>
  <c r="AH270" i="1"/>
  <c r="AI270" i="1"/>
  <c r="AJ270" i="1"/>
  <c r="CP270" i="1"/>
  <c r="GM270" i="1" s="1"/>
  <c r="HD270" i="1" s="1"/>
  <c r="FR270" i="1"/>
  <c r="GL270" i="1"/>
  <c r="BZ272" i="1" s="1"/>
  <c r="GN270" i="1"/>
  <c r="GO270" i="1"/>
  <c r="GP270" i="1"/>
  <c r="CD272" i="1" s="1"/>
  <c r="GV270" i="1"/>
  <c r="GX270" i="1"/>
  <c r="CJ272" i="1" s="1"/>
  <c r="B272" i="1"/>
  <c r="B267" i="1" s="1"/>
  <c r="C272" i="1"/>
  <c r="C267" i="1" s="1"/>
  <c r="D272" i="1"/>
  <c r="D267" i="1" s="1"/>
  <c r="F272" i="1"/>
  <c r="G272" i="1"/>
  <c r="G267" i="1" s="1"/>
  <c r="AB272" i="1"/>
  <c r="AB267" i="1" s="1"/>
  <c r="AD272" i="1"/>
  <c r="AD267" i="1" s="1"/>
  <c r="AF272" i="1"/>
  <c r="AF267" i="1" s="1"/>
  <c r="AH272" i="1"/>
  <c r="AH267" i="1" s="1"/>
  <c r="AJ272" i="1"/>
  <c r="AJ267" i="1" s="1"/>
  <c r="AL272" i="1"/>
  <c r="AL267" i="1" s="1"/>
  <c r="BX272" i="1"/>
  <c r="BX267" i="1" s="1"/>
  <c r="BY272" i="1"/>
  <c r="BY267" i="1" s="1"/>
  <c r="CC272" i="1"/>
  <c r="CC267" i="1" s="1"/>
  <c r="CK272" i="1"/>
  <c r="CK267" i="1" s="1"/>
  <c r="CL272" i="1"/>
  <c r="CL267" i="1" s="1"/>
  <c r="B302" i="1"/>
  <c r="B22" i="1" s="1"/>
  <c r="C302" i="1"/>
  <c r="C22" i="1" s="1"/>
  <c r="D302" i="1"/>
  <c r="D22" i="1" s="1"/>
  <c r="F302" i="1"/>
  <c r="F22" i="1" s="1"/>
  <c r="G302" i="1"/>
  <c r="G22" i="1" s="1"/>
  <c r="B332" i="1"/>
  <c r="B18" i="1" s="1"/>
  <c r="C332" i="1"/>
  <c r="C18" i="1" s="1"/>
  <c r="D332" i="1"/>
  <c r="D18" i="1" s="1"/>
  <c r="F332" i="1"/>
  <c r="F18" i="1" s="1"/>
  <c r="G332" i="1"/>
  <c r="G18" i="1" s="1"/>
  <c r="W825" i="5" l="1"/>
  <c r="J564" i="5"/>
  <c r="O564" i="5" s="1"/>
  <c r="V401" i="5"/>
  <c r="J622" i="5"/>
  <c r="O622" i="5" s="1"/>
  <c r="G269" i="5"/>
  <c r="N269" i="5" s="1"/>
  <c r="W802" i="5"/>
  <c r="J701" i="5"/>
  <c r="O701" i="5" s="1"/>
  <c r="J492" i="5"/>
  <c r="O492" i="5" s="1"/>
  <c r="J472" i="5"/>
  <c r="O472" i="5" s="1"/>
  <c r="G458" i="5"/>
  <c r="N458" i="5" s="1"/>
  <c r="J369" i="5"/>
  <c r="O369" i="5" s="1"/>
  <c r="J337" i="5"/>
  <c r="O337" i="5" s="1"/>
  <c r="J328" i="5"/>
  <c r="O328" i="5" s="1"/>
  <c r="J259" i="5"/>
  <c r="O259" i="5" s="1"/>
  <c r="J772" i="5" s="1"/>
  <c r="V525" i="5"/>
  <c r="G391" i="5"/>
  <c r="N391" i="5" s="1"/>
  <c r="G764" i="5"/>
  <c r="N764" i="5" s="1"/>
  <c r="J641" i="5"/>
  <c r="O641" i="5" s="1"/>
  <c r="J224" i="5"/>
  <c r="O224" i="5" s="1"/>
  <c r="W784" i="5"/>
  <c r="V764" i="5"/>
  <c r="G712" i="5"/>
  <c r="N712" i="5" s="1"/>
  <c r="G492" i="5"/>
  <c r="N492" i="5" s="1"/>
  <c r="V317" i="5"/>
  <c r="G564" i="5"/>
  <c r="N564" i="5" s="1"/>
  <c r="V458" i="5"/>
  <c r="G259" i="5"/>
  <c r="N259" i="5" s="1"/>
  <c r="G432" i="5"/>
  <c r="N432" i="5" s="1"/>
  <c r="W836" i="5"/>
  <c r="W813" i="5"/>
  <c r="G802" i="5"/>
  <c r="N802" i="5" s="1"/>
  <c r="J724" i="5"/>
  <c r="O724" i="5" s="1"/>
  <c r="V536" i="5"/>
  <c r="G690" i="5"/>
  <c r="N690" i="5" s="1"/>
  <c r="W651" i="5"/>
  <c r="V328" i="5"/>
  <c r="V269" i="5"/>
  <c r="V391" i="5"/>
  <c r="V380" i="5"/>
  <c r="V369" i="5"/>
  <c r="V348" i="5"/>
  <c r="V550" i="5"/>
  <c r="G441" i="5"/>
  <c r="N441" i="5" s="1"/>
  <c r="G306" i="5"/>
  <c r="N306" i="5" s="1"/>
  <c r="G25" i="5" s="1"/>
  <c r="G294" i="5"/>
  <c r="N294" i="5" s="1"/>
  <c r="J661" i="5"/>
  <c r="O661" i="5" s="1"/>
  <c r="J550" i="5"/>
  <c r="O550" i="5" s="1"/>
  <c r="J525" i="5"/>
  <c r="O525" i="5" s="1"/>
  <c r="J513" i="5"/>
  <c r="O513" i="5" s="1"/>
  <c r="J269" i="5"/>
  <c r="O269" i="5" s="1"/>
  <c r="G847" i="5"/>
  <c r="N847" i="5" s="1"/>
  <c r="J813" i="5"/>
  <c r="O813" i="5" s="1"/>
  <c r="J712" i="5"/>
  <c r="O712" i="5" s="1"/>
  <c r="J536" i="5"/>
  <c r="O536" i="5" s="1"/>
  <c r="J432" i="5"/>
  <c r="O432" i="5" s="1"/>
  <c r="J380" i="5"/>
  <c r="O380" i="5" s="1"/>
  <c r="J212" i="5"/>
  <c r="O212" i="5" s="1"/>
  <c r="W847" i="5"/>
  <c r="G836" i="5"/>
  <c r="N836" i="5" s="1"/>
  <c r="G680" i="5"/>
  <c r="N680" i="5" s="1"/>
  <c r="G630" i="5"/>
  <c r="N630" i="5" s="1"/>
  <c r="W724" i="5"/>
  <c r="G27" i="5" s="1"/>
  <c r="V441" i="5"/>
  <c r="V306" i="5"/>
  <c r="V411" i="5"/>
  <c r="V294" i="5"/>
  <c r="G26" i="5" s="1"/>
  <c r="G672" i="5"/>
  <c r="N672" i="5" s="1"/>
  <c r="G622" i="5"/>
  <c r="N622" i="5" s="1"/>
  <c r="G813" i="5"/>
  <c r="N813" i="5" s="1"/>
  <c r="G857" i="5" s="1"/>
  <c r="W641" i="5"/>
  <c r="G29" i="5"/>
  <c r="J857" i="5"/>
  <c r="AJ875" i="5" s="1"/>
  <c r="G869" i="5"/>
  <c r="J869" i="5"/>
  <c r="AK267" i="1"/>
  <c r="X272" i="1"/>
  <c r="AI267" i="1"/>
  <c r="V272" i="1"/>
  <c r="AE267" i="1"/>
  <c r="R272" i="1"/>
  <c r="AC267" i="1"/>
  <c r="P272" i="1"/>
  <c r="CE272" i="1"/>
  <c r="CF272" i="1"/>
  <c r="CH272" i="1"/>
  <c r="AQ215" i="1"/>
  <c r="F245" i="1"/>
  <c r="CJ267" i="1"/>
  <c r="BA272" i="1"/>
  <c r="CD267" i="1"/>
  <c r="AU272" i="1"/>
  <c r="BC215" i="1"/>
  <c r="F251" i="1"/>
  <c r="AU215" i="1"/>
  <c r="F254" i="1"/>
  <c r="AO215" i="1"/>
  <c r="F239" i="1"/>
  <c r="CY233" i="1"/>
  <c r="X233" i="1" s="1"/>
  <c r="CZ233" i="1"/>
  <c r="Y233" i="1" s="1"/>
  <c r="U232" i="1"/>
  <c r="AB232" i="1"/>
  <c r="BY215" i="1"/>
  <c r="AP235" i="1"/>
  <c r="CI235" i="1"/>
  <c r="CY229" i="1"/>
  <c r="X229" i="1" s="1"/>
  <c r="CZ229" i="1"/>
  <c r="Y229" i="1" s="1"/>
  <c r="AB226" i="1"/>
  <c r="CY225" i="1"/>
  <c r="X225" i="1" s="1"/>
  <c r="CZ225" i="1"/>
  <c r="Y225" i="1" s="1"/>
  <c r="CY221" i="1"/>
  <c r="X221" i="1" s="1"/>
  <c r="CZ221" i="1"/>
  <c r="Y221" i="1" s="1"/>
  <c r="U220" i="1"/>
  <c r="AB220" i="1"/>
  <c r="CJ235" i="1"/>
  <c r="AI235" i="1"/>
  <c r="AJ235" i="1"/>
  <c r="AH235" i="1"/>
  <c r="CY217" i="1"/>
  <c r="X217" i="1" s="1"/>
  <c r="CZ217" i="1"/>
  <c r="Y217" i="1" s="1"/>
  <c r="AF235" i="1"/>
  <c r="CY181" i="1"/>
  <c r="X181" i="1" s="1"/>
  <c r="CG272" i="1"/>
  <c r="CI272" i="1"/>
  <c r="BZ267" i="1"/>
  <c r="AQ272" i="1"/>
  <c r="GM269" i="1"/>
  <c r="GN269" i="1"/>
  <c r="CB272" i="1" s="1"/>
  <c r="AG267" i="1"/>
  <c r="T272" i="1"/>
  <c r="CY231" i="1"/>
  <c r="X231" i="1" s="1"/>
  <c r="CZ231" i="1"/>
  <c r="Y231" i="1" s="1"/>
  <c r="CY227" i="1"/>
  <c r="X227" i="1" s="1"/>
  <c r="CZ227" i="1"/>
  <c r="Y227" i="1" s="1"/>
  <c r="CY223" i="1"/>
  <c r="X223" i="1" s="1"/>
  <c r="CZ223" i="1"/>
  <c r="Y223" i="1" s="1"/>
  <c r="CY219" i="1"/>
  <c r="X219" i="1" s="1"/>
  <c r="CZ219" i="1"/>
  <c r="Y219" i="1" s="1"/>
  <c r="AG235" i="1"/>
  <c r="BY26" i="1"/>
  <c r="AP183" i="1"/>
  <c r="CI183" i="1"/>
  <c r="BC272" i="1"/>
  <c r="AO272" i="1"/>
  <c r="Y272" i="1"/>
  <c r="W272" i="1"/>
  <c r="U272" i="1"/>
  <c r="S272" i="1"/>
  <c r="Q272" i="1"/>
  <c r="O272" i="1"/>
  <c r="CG235" i="1"/>
  <c r="BD235" i="1"/>
  <c r="BB235" i="1"/>
  <c r="CR233" i="1"/>
  <c r="Q233" i="1" s="1"/>
  <c r="CP233" i="1" s="1"/>
  <c r="O233" i="1" s="1"/>
  <c r="CS232" i="1"/>
  <c r="R232" i="1" s="1"/>
  <c r="CZ232" i="1" s="1"/>
  <c r="Y232" i="1" s="1"/>
  <c r="CQ232" i="1"/>
  <c r="P232" i="1" s="1"/>
  <c r="CP232" i="1" s="1"/>
  <c r="O232" i="1" s="1"/>
  <c r="CR231" i="1"/>
  <c r="Q231" i="1" s="1"/>
  <c r="CP231" i="1" s="1"/>
  <c r="O231" i="1" s="1"/>
  <c r="CS230" i="1"/>
  <c r="R230" i="1" s="1"/>
  <c r="CZ230" i="1" s="1"/>
  <c r="Y230" i="1" s="1"/>
  <c r="CQ230" i="1"/>
  <c r="P230" i="1" s="1"/>
  <c r="CP230" i="1" s="1"/>
  <c r="O230" i="1" s="1"/>
  <c r="CR229" i="1"/>
  <c r="Q229" i="1" s="1"/>
  <c r="CP229" i="1" s="1"/>
  <c r="O229" i="1" s="1"/>
  <c r="CS228" i="1"/>
  <c r="R228" i="1" s="1"/>
  <c r="CZ228" i="1" s="1"/>
  <c r="Y228" i="1" s="1"/>
  <c r="CQ228" i="1"/>
  <c r="P228" i="1" s="1"/>
  <c r="CP228" i="1" s="1"/>
  <c r="O228" i="1" s="1"/>
  <c r="CR227" i="1"/>
  <c r="Q227" i="1" s="1"/>
  <c r="CP227" i="1" s="1"/>
  <c r="O227" i="1" s="1"/>
  <c r="CS226" i="1"/>
  <c r="R226" i="1" s="1"/>
  <c r="CZ226" i="1" s="1"/>
  <c r="Y226" i="1" s="1"/>
  <c r="CQ226" i="1"/>
  <c r="P226" i="1" s="1"/>
  <c r="CP226" i="1" s="1"/>
  <c r="O226" i="1" s="1"/>
  <c r="CX574" i="3"/>
  <c r="CX576" i="3"/>
  <c r="CX578" i="3"/>
  <c r="CX580" i="3"/>
  <c r="CX575" i="3"/>
  <c r="CX577" i="3"/>
  <c r="CX579" i="3"/>
  <c r="CX581" i="3"/>
  <c r="CR225" i="1"/>
  <c r="Q225" i="1" s="1"/>
  <c r="CP225" i="1" s="1"/>
  <c r="O225" i="1" s="1"/>
  <c r="CS224" i="1"/>
  <c r="R224" i="1" s="1"/>
  <c r="CZ224" i="1" s="1"/>
  <c r="Y224" i="1" s="1"/>
  <c r="CQ224" i="1"/>
  <c r="P224" i="1" s="1"/>
  <c r="CP224" i="1" s="1"/>
  <c r="O224" i="1" s="1"/>
  <c r="CX564" i="3"/>
  <c r="CX566" i="3"/>
  <c r="CX568" i="3"/>
  <c r="CX570" i="3"/>
  <c r="CX572" i="3"/>
  <c r="CX563" i="3"/>
  <c r="CX565" i="3"/>
  <c r="CX567" i="3"/>
  <c r="CX569" i="3"/>
  <c r="CX571" i="3"/>
  <c r="CX573" i="3"/>
  <c r="CR223" i="1"/>
  <c r="Q223" i="1" s="1"/>
  <c r="CP223" i="1" s="1"/>
  <c r="O223" i="1" s="1"/>
  <c r="CS222" i="1"/>
  <c r="R222" i="1" s="1"/>
  <c r="CY222" i="1" s="1"/>
  <c r="X222" i="1" s="1"/>
  <c r="CQ222" i="1"/>
  <c r="P222" i="1" s="1"/>
  <c r="CP222" i="1" s="1"/>
  <c r="O222" i="1" s="1"/>
  <c r="CR221" i="1"/>
  <c r="Q221" i="1" s="1"/>
  <c r="CP221" i="1" s="1"/>
  <c r="O221" i="1" s="1"/>
  <c r="CS220" i="1"/>
  <c r="R220" i="1" s="1"/>
  <c r="CZ220" i="1" s="1"/>
  <c r="Y220" i="1" s="1"/>
  <c r="CQ220" i="1"/>
  <c r="P220" i="1" s="1"/>
  <c r="CP220" i="1" s="1"/>
  <c r="O220" i="1" s="1"/>
  <c r="CR219" i="1"/>
  <c r="Q219" i="1" s="1"/>
  <c r="CP219" i="1" s="1"/>
  <c r="O219" i="1" s="1"/>
  <c r="CS218" i="1"/>
  <c r="R218" i="1" s="1"/>
  <c r="CZ218" i="1" s="1"/>
  <c r="Y218" i="1" s="1"/>
  <c r="CQ218" i="1"/>
  <c r="P218" i="1" s="1"/>
  <c r="CP218" i="1" s="1"/>
  <c r="O218" i="1" s="1"/>
  <c r="CR217" i="1"/>
  <c r="Q217" i="1" s="1"/>
  <c r="CL215" i="1"/>
  <c r="CD215" i="1"/>
  <c r="BZ215" i="1"/>
  <c r="BX215" i="1"/>
  <c r="CK26" i="1"/>
  <c r="BB183" i="1"/>
  <c r="CG183" i="1"/>
  <c r="BD183" i="1"/>
  <c r="AO183" i="1"/>
  <c r="CQ180" i="1"/>
  <c r="P180" i="1" s="1"/>
  <c r="CZ179" i="1"/>
  <c r="Y179" i="1" s="1"/>
  <c r="CY179" i="1"/>
  <c r="X179" i="1" s="1"/>
  <c r="CP177" i="1"/>
  <c r="O177" i="1" s="1"/>
  <c r="CZ175" i="1"/>
  <c r="Y175" i="1" s="1"/>
  <c r="CY175" i="1"/>
  <c r="X175" i="1" s="1"/>
  <c r="CP173" i="1"/>
  <c r="O173" i="1" s="1"/>
  <c r="CZ171" i="1"/>
  <c r="Y171" i="1" s="1"/>
  <c r="CY171" i="1"/>
  <c r="X171" i="1" s="1"/>
  <c r="AB170" i="1"/>
  <c r="CP169" i="1"/>
  <c r="O169" i="1" s="1"/>
  <c r="CZ167" i="1"/>
  <c r="Y167" i="1" s="1"/>
  <c r="CY167" i="1"/>
  <c r="X167" i="1" s="1"/>
  <c r="CP165" i="1"/>
  <c r="O165" i="1" s="1"/>
  <c r="AB164" i="1"/>
  <c r="CZ163" i="1"/>
  <c r="Y163" i="1" s="1"/>
  <c r="CY163" i="1"/>
  <c r="X163" i="1" s="1"/>
  <c r="CP161" i="1"/>
  <c r="O161" i="1" s="1"/>
  <c r="AB160" i="1"/>
  <c r="CZ159" i="1"/>
  <c r="Y159" i="1" s="1"/>
  <c r="CY159" i="1"/>
  <c r="X159" i="1" s="1"/>
  <c r="AB158" i="1"/>
  <c r="CP157" i="1"/>
  <c r="O157" i="1" s="1"/>
  <c r="CZ155" i="1"/>
  <c r="Y155" i="1" s="1"/>
  <c r="CY155" i="1"/>
  <c r="X155" i="1" s="1"/>
  <c r="AB154" i="1"/>
  <c r="CP153" i="1"/>
  <c r="O153" i="1" s="1"/>
  <c r="CZ151" i="1"/>
  <c r="Y151" i="1" s="1"/>
  <c r="CY151" i="1"/>
  <c r="X151" i="1" s="1"/>
  <c r="AB150" i="1"/>
  <c r="CP149" i="1"/>
  <c r="O149" i="1" s="1"/>
  <c r="AB148" i="1"/>
  <c r="CZ147" i="1"/>
  <c r="Y147" i="1" s="1"/>
  <c r="CY147" i="1"/>
  <c r="X147" i="1" s="1"/>
  <c r="CP145" i="1"/>
  <c r="O145" i="1" s="1"/>
  <c r="AB144" i="1"/>
  <c r="CZ143" i="1"/>
  <c r="Y143" i="1" s="1"/>
  <c r="CY143" i="1"/>
  <c r="X143" i="1" s="1"/>
  <c r="CP141" i="1"/>
  <c r="O141" i="1" s="1"/>
  <c r="CZ139" i="1"/>
  <c r="Y139" i="1" s="1"/>
  <c r="CY139" i="1"/>
  <c r="X139" i="1" s="1"/>
  <c r="AB138" i="1"/>
  <c r="CP137" i="1"/>
  <c r="O137" i="1" s="1"/>
  <c r="AB136" i="1"/>
  <c r="CZ135" i="1"/>
  <c r="Y135" i="1" s="1"/>
  <c r="CY135" i="1"/>
  <c r="X135" i="1" s="1"/>
  <c r="CP133" i="1"/>
  <c r="O133" i="1" s="1"/>
  <c r="AB132" i="1"/>
  <c r="CZ131" i="1"/>
  <c r="Y131" i="1" s="1"/>
  <c r="CY131" i="1"/>
  <c r="X131" i="1" s="1"/>
  <c r="CP129" i="1"/>
  <c r="O129" i="1" s="1"/>
  <c r="CZ127" i="1"/>
  <c r="Y127" i="1" s="1"/>
  <c r="CY127" i="1"/>
  <c r="X127" i="1" s="1"/>
  <c r="AB126" i="1"/>
  <c r="CP125" i="1"/>
  <c r="O125" i="1" s="1"/>
  <c r="AB124" i="1"/>
  <c r="CZ123" i="1"/>
  <c r="Y123" i="1" s="1"/>
  <c r="CY123" i="1"/>
  <c r="X123" i="1" s="1"/>
  <c r="AB122" i="1"/>
  <c r="CP121" i="1"/>
  <c r="O121" i="1" s="1"/>
  <c r="CZ119" i="1"/>
  <c r="Y119" i="1" s="1"/>
  <c r="BB272" i="1"/>
  <c r="AT272" i="1"/>
  <c r="AP272" i="1"/>
  <c r="CX602" i="3"/>
  <c r="CX601" i="3"/>
  <c r="CX592" i="3"/>
  <c r="CX594" i="3"/>
  <c r="CX596" i="3"/>
  <c r="CX598" i="3"/>
  <c r="CX600" i="3"/>
  <c r="CX591" i="3"/>
  <c r="CX593" i="3"/>
  <c r="CX595" i="3"/>
  <c r="CX597" i="3"/>
  <c r="CX599" i="3"/>
  <c r="CX582" i="3"/>
  <c r="CX584" i="3"/>
  <c r="CX586" i="3"/>
  <c r="CX588" i="3"/>
  <c r="CX590" i="3"/>
  <c r="CX583" i="3"/>
  <c r="CX585" i="3"/>
  <c r="CX587" i="3"/>
  <c r="CX589" i="3"/>
  <c r="CX558" i="3"/>
  <c r="CX560" i="3"/>
  <c r="CX562" i="3"/>
  <c r="CX559" i="3"/>
  <c r="CX561" i="3"/>
  <c r="CX556" i="3"/>
  <c r="CX555" i="3"/>
  <c r="CX557" i="3"/>
  <c r="CX552" i="3"/>
  <c r="CX554" i="3"/>
  <c r="CX553" i="3"/>
  <c r="BC183" i="1"/>
  <c r="AU183" i="1"/>
  <c r="AQ183" i="1"/>
  <c r="CZ181" i="1"/>
  <c r="Y181" i="1" s="1"/>
  <c r="GN181" i="1" s="1"/>
  <c r="AB181" i="1"/>
  <c r="AD180" i="1"/>
  <c r="CR180" i="1" s="1"/>
  <c r="Q180" i="1" s="1"/>
  <c r="CS180" i="1"/>
  <c r="R180" i="1" s="1"/>
  <c r="CZ180" i="1" s="1"/>
  <c r="Y180" i="1" s="1"/>
  <c r="GN179" i="1"/>
  <c r="GM179" i="1"/>
  <c r="CZ177" i="1"/>
  <c r="Y177" i="1" s="1"/>
  <c r="CY177" i="1"/>
  <c r="X177" i="1" s="1"/>
  <c r="GN175" i="1"/>
  <c r="GM175" i="1"/>
  <c r="CZ173" i="1"/>
  <c r="Y173" i="1" s="1"/>
  <c r="CY173" i="1"/>
  <c r="X173" i="1" s="1"/>
  <c r="GM171" i="1"/>
  <c r="GO171" i="1"/>
  <c r="CZ169" i="1"/>
  <c r="Y169" i="1" s="1"/>
  <c r="CY169" i="1"/>
  <c r="X169" i="1" s="1"/>
  <c r="GM167" i="1"/>
  <c r="GO167" i="1"/>
  <c r="CZ165" i="1"/>
  <c r="Y165" i="1" s="1"/>
  <c r="CY165" i="1"/>
  <c r="X165" i="1" s="1"/>
  <c r="GM163" i="1"/>
  <c r="GO163" i="1"/>
  <c r="CZ161" i="1"/>
  <c r="Y161" i="1" s="1"/>
  <c r="CY161" i="1"/>
  <c r="X161" i="1" s="1"/>
  <c r="GM159" i="1"/>
  <c r="GO159" i="1"/>
  <c r="CZ157" i="1"/>
  <c r="Y157" i="1" s="1"/>
  <c r="CY157" i="1"/>
  <c r="X157" i="1" s="1"/>
  <c r="GM155" i="1"/>
  <c r="GO155" i="1"/>
  <c r="CZ153" i="1"/>
  <c r="Y153" i="1" s="1"/>
  <c r="CY153" i="1"/>
  <c r="X153" i="1" s="1"/>
  <c r="GM151" i="1"/>
  <c r="GO151" i="1"/>
  <c r="CZ149" i="1"/>
  <c r="Y149" i="1" s="1"/>
  <c r="CY149" i="1"/>
  <c r="X149" i="1" s="1"/>
  <c r="GM147" i="1"/>
  <c r="GO147" i="1"/>
  <c r="CZ145" i="1"/>
  <c r="Y145" i="1" s="1"/>
  <c r="CY145" i="1"/>
  <c r="X145" i="1" s="1"/>
  <c r="GN143" i="1"/>
  <c r="GM143" i="1"/>
  <c r="CZ141" i="1"/>
  <c r="Y141" i="1" s="1"/>
  <c r="CY141" i="1"/>
  <c r="X141" i="1" s="1"/>
  <c r="GN139" i="1"/>
  <c r="GM139" i="1"/>
  <c r="CZ137" i="1"/>
  <c r="Y137" i="1" s="1"/>
  <c r="CY137" i="1"/>
  <c r="X137" i="1" s="1"/>
  <c r="GN135" i="1"/>
  <c r="GM135" i="1"/>
  <c r="CZ133" i="1"/>
  <c r="Y133" i="1" s="1"/>
  <c r="CY133" i="1"/>
  <c r="X133" i="1" s="1"/>
  <c r="GN131" i="1"/>
  <c r="GM131" i="1"/>
  <c r="CZ129" i="1"/>
  <c r="Y129" i="1" s="1"/>
  <c r="CY129" i="1"/>
  <c r="X129" i="1" s="1"/>
  <c r="GN127" i="1"/>
  <c r="GM127" i="1"/>
  <c r="CZ125" i="1"/>
  <c r="Y125" i="1" s="1"/>
  <c r="CY125" i="1"/>
  <c r="X125" i="1" s="1"/>
  <c r="GM123" i="1"/>
  <c r="GO123" i="1"/>
  <c r="CZ121" i="1"/>
  <c r="Y121" i="1" s="1"/>
  <c r="CY121" i="1"/>
  <c r="X121" i="1" s="1"/>
  <c r="GM119" i="1"/>
  <c r="GO119" i="1"/>
  <c r="AB179" i="1"/>
  <c r="AB177" i="1"/>
  <c r="CX536" i="3"/>
  <c r="CX538" i="3"/>
  <c r="CX540" i="3"/>
  <c r="CX537" i="3"/>
  <c r="CX539" i="3"/>
  <c r="CX541" i="3"/>
  <c r="AB175" i="1"/>
  <c r="CX532" i="3"/>
  <c r="CX534" i="3"/>
  <c r="CX531" i="3"/>
  <c r="CX533" i="3"/>
  <c r="CX535" i="3"/>
  <c r="AB173" i="1"/>
  <c r="AB171" i="1"/>
  <c r="CX520" i="3"/>
  <c r="CX522" i="3"/>
  <c r="CX524" i="3"/>
  <c r="CX526" i="3"/>
  <c r="CX528" i="3"/>
  <c r="CX519" i="3"/>
  <c r="CX521" i="3"/>
  <c r="CX523" i="3"/>
  <c r="CX525" i="3"/>
  <c r="CX527" i="3"/>
  <c r="AB169" i="1"/>
  <c r="CX512" i="3"/>
  <c r="CX514" i="3"/>
  <c r="CX516" i="3"/>
  <c r="CX518" i="3"/>
  <c r="CX513" i="3"/>
  <c r="CX515" i="3"/>
  <c r="CX517" i="3"/>
  <c r="AB167" i="1"/>
  <c r="CX502" i="3"/>
  <c r="CX504" i="3"/>
  <c r="CX506" i="3"/>
  <c r="CX508" i="3"/>
  <c r="CX510" i="3"/>
  <c r="CX501" i="3"/>
  <c r="CX503" i="3"/>
  <c r="CX505" i="3"/>
  <c r="CX507" i="3"/>
  <c r="CX509" i="3"/>
  <c r="CX511" i="3"/>
  <c r="AB165" i="1"/>
  <c r="AB163" i="1"/>
  <c r="AB161" i="1"/>
  <c r="AB159" i="1"/>
  <c r="AB157" i="1"/>
  <c r="CX476" i="3"/>
  <c r="CX478" i="3"/>
  <c r="CX480" i="3"/>
  <c r="CX477" i="3"/>
  <c r="CX479" i="3"/>
  <c r="AB155" i="1"/>
  <c r="CX470" i="3"/>
  <c r="CX472" i="3"/>
  <c r="CX474" i="3"/>
  <c r="CX469" i="3"/>
  <c r="CX471" i="3"/>
  <c r="CX473" i="3"/>
  <c r="CX475" i="3"/>
  <c r="AB153" i="1"/>
  <c r="CX460" i="3"/>
  <c r="CX462" i="3"/>
  <c r="CX464" i="3"/>
  <c r="CX466" i="3"/>
  <c r="CX468" i="3"/>
  <c r="CX459" i="3"/>
  <c r="CX461" i="3"/>
  <c r="CX463" i="3"/>
  <c r="CX465" i="3"/>
  <c r="CX467" i="3"/>
  <c r="AB151" i="1"/>
  <c r="CX454" i="3"/>
  <c r="CX456" i="3"/>
  <c r="CX458" i="3"/>
  <c r="CX453" i="3"/>
  <c r="CX455" i="3"/>
  <c r="CX457" i="3"/>
  <c r="AB149" i="1"/>
  <c r="CX446" i="3"/>
  <c r="CX448" i="3"/>
  <c r="CX450" i="3"/>
  <c r="CX452" i="3"/>
  <c r="CX445" i="3"/>
  <c r="CX447" i="3"/>
  <c r="CX449" i="3"/>
  <c r="CX451" i="3"/>
  <c r="AB147" i="1"/>
  <c r="CX416" i="3"/>
  <c r="CX418" i="3"/>
  <c r="CX420" i="3"/>
  <c r="CX422" i="3"/>
  <c r="CX417" i="3"/>
  <c r="CX419" i="3"/>
  <c r="CX421" i="3"/>
  <c r="AB145" i="1"/>
  <c r="AB143" i="1"/>
  <c r="AB141" i="1"/>
  <c r="AB139" i="1"/>
  <c r="AB137" i="1"/>
  <c r="CX380" i="3"/>
  <c r="CX382" i="3"/>
  <c r="CX384" i="3"/>
  <c r="CX386" i="3"/>
  <c r="CX388" i="3"/>
  <c r="CX379" i="3"/>
  <c r="CX381" i="3"/>
  <c r="CX383" i="3"/>
  <c r="CX385" i="3"/>
  <c r="CX387" i="3"/>
  <c r="AB135" i="1"/>
  <c r="AB133" i="1"/>
  <c r="AB131" i="1"/>
  <c r="AB129" i="1"/>
  <c r="AB127" i="1"/>
  <c r="CX344" i="3"/>
  <c r="CX346" i="3"/>
  <c r="CX348" i="3"/>
  <c r="CX350" i="3"/>
  <c r="CX352" i="3"/>
  <c r="CX354" i="3"/>
  <c r="CX356" i="3"/>
  <c r="CX345" i="3"/>
  <c r="CX347" i="3"/>
  <c r="CX349" i="3"/>
  <c r="CX351" i="3"/>
  <c r="CX353" i="3"/>
  <c r="CX355" i="3"/>
  <c r="AB125" i="1"/>
  <c r="CX338" i="3"/>
  <c r="CX337" i="3"/>
  <c r="CX339" i="3"/>
  <c r="CX340" i="3"/>
  <c r="CX342" i="3"/>
  <c r="CX341" i="3"/>
  <c r="CX343" i="3"/>
  <c r="AB123" i="1"/>
  <c r="AB121" i="1"/>
  <c r="AB119" i="1"/>
  <c r="CQ118" i="1"/>
  <c r="P118" i="1" s="1"/>
  <c r="CZ117" i="1"/>
  <c r="Y117" i="1" s="1"/>
  <c r="AB117" i="1"/>
  <c r="CQ116" i="1"/>
  <c r="CZ115" i="1"/>
  <c r="Y115" i="1" s="1"/>
  <c r="AB115" i="1"/>
  <c r="CQ114" i="1"/>
  <c r="P114" i="1" s="1"/>
  <c r="CZ113" i="1"/>
  <c r="Y113" i="1" s="1"/>
  <c r="AB113" i="1"/>
  <c r="CX308" i="3"/>
  <c r="CX310" i="3"/>
  <c r="CX312" i="3"/>
  <c r="CX314" i="3"/>
  <c r="CX316" i="3"/>
  <c r="CX318" i="3"/>
  <c r="CX320" i="3"/>
  <c r="CX322" i="3"/>
  <c r="CX324" i="3"/>
  <c r="CX326" i="3"/>
  <c r="CX328" i="3"/>
  <c r="CX307" i="3"/>
  <c r="CX309" i="3"/>
  <c r="CX311" i="3"/>
  <c r="CX313" i="3"/>
  <c r="CX315" i="3"/>
  <c r="CX317" i="3"/>
  <c r="CX319" i="3"/>
  <c r="CX321" i="3"/>
  <c r="CX323" i="3"/>
  <c r="CX325" i="3"/>
  <c r="CX327" i="3"/>
  <c r="I114" i="1"/>
  <c r="U114" i="1" s="1"/>
  <c r="I116" i="1"/>
  <c r="I118" i="1"/>
  <c r="U118" i="1" s="1"/>
  <c r="CQ112" i="1"/>
  <c r="P112" i="1" s="1"/>
  <c r="AD110" i="1"/>
  <c r="CR110" i="1" s="1"/>
  <c r="Q110" i="1" s="1"/>
  <c r="CS110" i="1"/>
  <c r="R110" i="1" s="1"/>
  <c r="CZ110" i="1" s="1"/>
  <c r="Y110" i="1" s="1"/>
  <c r="CZ109" i="1"/>
  <c r="Y109" i="1" s="1"/>
  <c r="AB109" i="1"/>
  <c r="CQ108" i="1"/>
  <c r="P108" i="1" s="1"/>
  <c r="CZ107" i="1"/>
  <c r="Y107" i="1" s="1"/>
  <c r="AB107" i="1"/>
  <c r="AD106" i="1"/>
  <c r="CR106" i="1" s="1"/>
  <c r="Q106" i="1" s="1"/>
  <c r="CS106" i="1"/>
  <c r="R106" i="1" s="1"/>
  <c r="CZ106" i="1" s="1"/>
  <c r="Y106" i="1" s="1"/>
  <c r="CQ104" i="1"/>
  <c r="CQ102" i="1"/>
  <c r="CQ100" i="1"/>
  <c r="P100" i="1" s="1"/>
  <c r="CZ99" i="1"/>
  <c r="Y99" i="1" s="1"/>
  <c r="AB99" i="1"/>
  <c r="AD98" i="1"/>
  <c r="CR98" i="1" s="1"/>
  <c r="Q98" i="1" s="1"/>
  <c r="CS98" i="1"/>
  <c r="R98" i="1" s="1"/>
  <c r="CZ98" i="1" s="1"/>
  <c r="Y98" i="1" s="1"/>
  <c r="CZ95" i="1"/>
  <c r="Y95" i="1" s="1"/>
  <c r="CY95" i="1"/>
  <c r="X95" i="1" s="1"/>
  <c r="CZ91" i="1"/>
  <c r="Y91" i="1" s="1"/>
  <c r="CY91" i="1"/>
  <c r="X91" i="1" s="1"/>
  <c r="CZ87" i="1"/>
  <c r="Y87" i="1" s="1"/>
  <c r="CY87" i="1"/>
  <c r="X87" i="1" s="1"/>
  <c r="CZ83" i="1"/>
  <c r="Y83" i="1" s="1"/>
  <c r="CY83" i="1"/>
  <c r="X83" i="1" s="1"/>
  <c r="CZ79" i="1"/>
  <c r="Y79" i="1" s="1"/>
  <c r="CY79" i="1"/>
  <c r="X79" i="1" s="1"/>
  <c r="CS178" i="1"/>
  <c r="R178" i="1" s="1"/>
  <c r="CY178" i="1" s="1"/>
  <c r="X178" i="1" s="1"/>
  <c r="CQ178" i="1"/>
  <c r="P178" i="1" s="1"/>
  <c r="CP178" i="1" s="1"/>
  <c r="O178" i="1" s="1"/>
  <c r="CX542" i="3"/>
  <c r="CX544" i="3"/>
  <c r="CX546" i="3"/>
  <c r="CX548" i="3"/>
  <c r="CX550" i="3"/>
  <c r="CX543" i="3"/>
  <c r="CX545" i="3"/>
  <c r="CX547" i="3"/>
  <c r="CX549" i="3"/>
  <c r="CS176" i="1"/>
  <c r="CQ176" i="1"/>
  <c r="I176" i="1"/>
  <c r="GX176" i="1" s="1"/>
  <c r="CS174" i="1"/>
  <c r="R174" i="1" s="1"/>
  <c r="CY174" i="1" s="1"/>
  <c r="X174" i="1" s="1"/>
  <c r="CQ174" i="1"/>
  <c r="P174" i="1" s="1"/>
  <c r="CP174" i="1" s="1"/>
  <c r="O174" i="1" s="1"/>
  <c r="CX530" i="3"/>
  <c r="CX529" i="3"/>
  <c r="CS172" i="1"/>
  <c r="CQ172" i="1"/>
  <c r="P172" i="1" s="1"/>
  <c r="I172" i="1"/>
  <c r="GX172" i="1" s="1"/>
  <c r="CS170" i="1"/>
  <c r="CQ170" i="1"/>
  <c r="I170" i="1"/>
  <c r="GX170" i="1" s="1"/>
  <c r="CS168" i="1"/>
  <c r="CQ168" i="1"/>
  <c r="P168" i="1" s="1"/>
  <c r="I168" i="1"/>
  <c r="GX168" i="1" s="1"/>
  <c r="CS166" i="1"/>
  <c r="R166" i="1" s="1"/>
  <c r="CY166" i="1" s="1"/>
  <c r="X166" i="1" s="1"/>
  <c r="CQ166" i="1"/>
  <c r="P166" i="1" s="1"/>
  <c r="CP166" i="1" s="1"/>
  <c r="O166" i="1" s="1"/>
  <c r="CS164" i="1"/>
  <c r="R164" i="1" s="1"/>
  <c r="CY164" i="1" s="1"/>
  <c r="X164" i="1" s="1"/>
  <c r="CQ164" i="1"/>
  <c r="P164" i="1" s="1"/>
  <c r="CP164" i="1" s="1"/>
  <c r="O164" i="1" s="1"/>
  <c r="CX496" i="3"/>
  <c r="CX498" i="3"/>
  <c r="CX500" i="3"/>
  <c r="CX497" i="3"/>
  <c r="CX499" i="3"/>
  <c r="CS162" i="1"/>
  <c r="R162" i="1" s="1"/>
  <c r="CY162" i="1" s="1"/>
  <c r="X162" i="1" s="1"/>
  <c r="CQ162" i="1"/>
  <c r="P162" i="1" s="1"/>
  <c r="CP162" i="1" s="1"/>
  <c r="O162" i="1" s="1"/>
  <c r="CX492" i="3"/>
  <c r="CX494" i="3"/>
  <c r="CX493" i="3"/>
  <c r="CX495" i="3"/>
  <c r="CS160" i="1"/>
  <c r="R160" i="1" s="1"/>
  <c r="CY160" i="1" s="1"/>
  <c r="X160" i="1" s="1"/>
  <c r="CQ160" i="1"/>
  <c r="P160" i="1" s="1"/>
  <c r="CP160" i="1" s="1"/>
  <c r="O160" i="1" s="1"/>
  <c r="CX482" i="3"/>
  <c r="CX484" i="3"/>
  <c r="CX486" i="3"/>
  <c r="CX488" i="3"/>
  <c r="CX490" i="3"/>
  <c r="CX481" i="3"/>
  <c r="CX483" i="3"/>
  <c r="CX485" i="3"/>
  <c r="CX487" i="3"/>
  <c r="CX489" i="3"/>
  <c r="CX491" i="3"/>
  <c r="CS158" i="1"/>
  <c r="CQ158" i="1"/>
  <c r="I158" i="1"/>
  <c r="GX158" i="1" s="1"/>
  <c r="CS156" i="1"/>
  <c r="CQ156" i="1"/>
  <c r="P156" i="1" s="1"/>
  <c r="I156" i="1"/>
  <c r="GX156" i="1" s="1"/>
  <c r="CS154" i="1"/>
  <c r="CQ154" i="1"/>
  <c r="I154" i="1"/>
  <c r="GX154" i="1" s="1"/>
  <c r="CS152" i="1"/>
  <c r="CQ152" i="1"/>
  <c r="P152" i="1" s="1"/>
  <c r="I152" i="1"/>
  <c r="GX152" i="1" s="1"/>
  <c r="CS150" i="1"/>
  <c r="CQ150" i="1"/>
  <c r="I150" i="1"/>
  <c r="GX150" i="1" s="1"/>
  <c r="CS148" i="1"/>
  <c r="R148" i="1" s="1"/>
  <c r="CZ148" i="1" s="1"/>
  <c r="Y148" i="1" s="1"/>
  <c r="CQ148" i="1"/>
  <c r="P148" i="1" s="1"/>
  <c r="CP148" i="1" s="1"/>
  <c r="O148" i="1" s="1"/>
  <c r="CX424" i="3"/>
  <c r="CX426" i="3"/>
  <c r="CX428" i="3"/>
  <c r="CX430" i="3"/>
  <c r="CX432" i="3"/>
  <c r="CX434" i="3"/>
  <c r="CX436" i="3"/>
  <c r="CX438" i="3"/>
  <c r="CX440" i="3"/>
  <c r="CX442" i="3"/>
  <c r="CX444" i="3"/>
  <c r="CX423" i="3"/>
  <c r="CX425" i="3"/>
  <c r="CX427" i="3"/>
  <c r="CX429" i="3"/>
  <c r="CX431" i="3"/>
  <c r="CX433" i="3"/>
  <c r="CX435" i="3"/>
  <c r="CX437" i="3"/>
  <c r="CX439" i="3"/>
  <c r="CX441" i="3"/>
  <c r="CX443" i="3"/>
  <c r="CS146" i="1"/>
  <c r="R146" i="1" s="1"/>
  <c r="CY146" i="1" s="1"/>
  <c r="X146" i="1" s="1"/>
  <c r="CQ146" i="1"/>
  <c r="P146" i="1" s="1"/>
  <c r="CP146" i="1" s="1"/>
  <c r="O146" i="1" s="1"/>
  <c r="CX408" i="3"/>
  <c r="CX410" i="3"/>
  <c r="CX412" i="3"/>
  <c r="CX414" i="3"/>
  <c r="CX409" i="3"/>
  <c r="CX411" i="3"/>
  <c r="CX413" i="3"/>
  <c r="CX415" i="3"/>
  <c r="CS144" i="1"/>
  <c r="R144" i="1" s="1"/>
  <c r="CZ144" i="1" s="1"/>
  <c r="Y144" i="1" s="1"/>
  <c r="CQ144" i="1"/>
  <c r="P144" i="1" s="1"/>
  <c r="CP144" i="1" s="1"/>
  <c r="O144" i="1" s="1"/>
  <c r="CX400" i="3"/>
  <c r="CX402" i="3"/>
  <c r="CX404" i="3"/>
  <c r="CX406" i="3"/>
  <c r="CX399" i="3"/>
  <c r="CX401" i="3"/>
  <c r="CX403" i="3"/>
  <c r="CX405" i="3"/>
  <c r="CX407" i="3"/>
  <c r="CS142" i="1"/>
  <c r="R142" i="1" s="1"/>
  <c r="CY142" i="1" s="1"/>
  <c r="X142" i="1" s="1"/>
  <c r="CQ142" i="1"/>
  <c r="P142" i="1" s="1"/>
  <c r="CP142" i="1" s="1"/>
  <c r="O142" i="1" s="1"/>
  <c r="CX390" i="3"/>
  <c r="CX392" i="3"/>
  <c r="CX394" i="3"/>
  <c r="CX396" i="3"/>
  <c r="CX398" i="3"/>
  <c r="CX389" i="3"/>
  <c r="CX391" i="3"/>
  <c r="CX393" i="3"/>
  <c r="CX395" i="3"/>
  <c r="CX397" i="3"/>
  <c r="CS140" i="1"/>
  <c r="CQ140" i="1"/>
  <c r="I140" i="1"/>
  <c r="GX140" i="1" s="1"/>
  <c r="CS138" i="1"/>
  <c r="CQ138" i="1"/>
  <c r="P138" i="1" s="1"/>
  <c r="I138" i="1"/>
  <c r="GX138" i="1" s="1"/>
  <c r="CS136" i="1"/>
  <c r="R136" i="1" s="1"/>
  <c r="CZ136" i="1" s="1"/>
  <c r="Y136" i="1" s="1"/>
  <c r="CQ136" i="1"/>
  <c r="P136" i="1" s="1"/>
  <c r="CP136" i="1" s="1"/>
  <c r="O136" i="1" s="1"/>
  <c r="CS134" i="1"/>
  <c r="R134" i="1" s="1"/>
  <c r="CY134" i="1" s="1"/>
  <c r="X134" i="1" s="1"/>
  <c r="CQ134" i="1"/>
  <c r="P134" i="1" s="1"/>
  <c r="CP134" i="1" s="1"/>
  <c r="O134" i="1" s="1"/>
  <c r="CS132" i="1"/>
  <c r="R132" i="1" s="1"/>
  <c r="CZ132" i="1" s="1"/>
  <c r="Y132" i="1" s="1"/>
  <c r="CQ132" i="1"/>
  <c r="P132" i="1" s="1"/>
  <c r="CP132" i="1" s="1"/>
  <c r="O132" i="1" s="1"/>
  <c r="CX370" i="3"/>
  <c r="CX372" i="3"/>
  <c r="CX374" i="3"/>
  <c r="CX376" i="3"/>
  <c r="CX378" i="3"/>
  <c r="CX369" i="3"/>
  <c r="CX371" i="3"/>
  <c r="CX373" i="3"/>
  <c r="CX375" i="3"/>
  <c r="CX377" i="3"/>
  <c r="CS130" i="1"/>
  <c r="R130" i="1" s="1"/>
  <c r="CY130" i="1" s="1"/>
  <c r="X130" i="1" s="1"/>
  <c r="CQ130" i="1"/>
  <c r="P130" i="1" s="1"/>
  <c r="CP130" i="1" s="1"/>
  <c r="O130" i="1" s="1"/>
  <c r="CX358" i="3"/>
  <c r="CX360" i="3"/>
  <c r="CX362" i="3"/>
  <c r="CX364" i="3"/>
  <c r="CX366" i="3"/>
  <c r="CX368" i="3"/>
  <c r="CX357" i="3"/>
  <c r="CX359" i="3"/>
  <c r="CX361" i="3"/>
  <c r="CX363" i="3"/>
  <c r="CX365" i="3"/>
  <c r="CX367" i="3"/>
  <c r="CS128" i="1"/>
  <c r="CQ128" i="1"/>
  <c r="I128" i="1"/>
  <c r="GX128" i="1" s="1"/>
  <c r="CS126" i="1"/>
  <c r="CQ126" i="1"/>
  <c r="P126" i="1" s="1"/>
  <c r="I126" i="1"/>
  <c r="GX126" i="1" s="1"/>
  <c r="CS124" i="1"/>
  <c r="R124" i="1" s="1"/>
  <c r="CZ124" i="1" s="1"/>
  <c r="Y124" i="1" s="1"/>
  <c r="CQ124" i="1"/>
  <c r="P124" i="1" s="1"/>
  <c r="CP124" i="1" s="1"/>
  <c r="O124" i="1" s="1"/>
  <c r="CX330" i="3"/>
  <c r="CX332" i="3"/>
  <c r="CX334" i="3"/>
  <c r="CX336" i="3"/>
  <c r="CX329" i="3"/>
  <c r="CX331" i="3"/>
  <c r="CX333" i="3"/>
  <c r="CX335" i="3"/>
  <c r="CS122" i="1"/>
  <c r="CQ122" i="1"/>
  <c r="I122" i="1"/>
  <c r="GX122" i="1" s="1"/>
  <c r="CS120" i="1"/>
  <c r="CQ120" i="1"/>
  <c r="P120" i="1" s="1"/>
  <c r="I120" i="1"/>
  <c r="GX120" i="1" s="1"/>
  <c r="V118" i="1"/>
  <c r="T118" i="1"/>
  <c r="AD118" i="1"/>
  <c r="CR118" i="1" s="1"/>
  <c r="Q118" i="1" s="1"/>
  <c r="CS118" i="1"/>
  <c r="R118" i="1" s="1"/>
  <c r="CY117" i="1"/>
  <c r="X117" i="1" s="1"/>
  <c r="GO117" i="1" s="1"/>
  <c r="V116" i="1"/>
  <c r="T116" i="1"/>
  <c r="AD116" i="1"/>
  <c r="CR116" i="1" s="1"/>
  <c r="Q116" i="1" s="1"/>
  <c r="CS116" i="1"/>
  <c r="R116" i="1" s="1"/>
  <c r="CY115" i="1"/>
  <c r="X115" i="1" s="1"/>
  <c r="GO115" i="1" s="1"/>
  <c r="V114" i="1"/>
  <c r="T114" i="1"/>
  <c r="AD114" i="1"/>
  <c r="CR114" i="1" s="1"/>
  <c r="Q114" i="1" s="1"/>
  <c r="CS114" i="1"/>
  <c r="R114" i="1" s="1"/>
  <c r="CY113" i="1"/>
  <c r="X113" i="1" s="1"/>
  <c r="GO113" i="1" s="1"/>
  <c r="AD112" i="1"/>
  <c r="CR112" i="1" s="1"/>
  <c r="Q112" i="1" s="1"/>
  <c r="CS112" i="1"/>
  <c r="R112" i="1" s="1"/>
  <c r="CZ112" i="1" s="1"/>
  <c r="Y112" i="1" s="1"/>
  <c r="CZ111" i="1"/>
  <c r="Y111" i="1" s="1"/>
  <c r="GM111" i="1" s="1"/>
  <c r="AB111" i="1"/>
  <c r="AB110" i="1"/>
  <c r="CQ110" i="1"/>
  <c r="P110" i="1" s="1"/>
  <c r="CP110" i="1" s="1"/>
  <c r="O110" i="1" s="1"/>
  <c r="CY109" i="1"/>
  <c r="X109" i="1" s="1"/>
  <c r="GO109" i="1" s="1"/>
  <c r="AD108" i="1"/>
  <c r="CR108" i="1" s="1"/>
  <c r="Q108" i="1" s="1"/>
  <c r="CS108" i="1"/>
  <c r="R108" i="1" s="1"/>
  <c r="CZ108" i="1" s="1"/>
  <c r="Y108" i="1" s="1"/>
  <c r="CY107" i="1"/>
  <c r="X107" i="1" s="1"/>
  <c r="GN107" i="1" s="1"/>
  <c r="AB106" i="1"/>
  <c r="CQ106" i="1"/>
  <c r="P106" i="1" s="1"/>
  <c r="CP106" i="1" s="1"/>
  <c r="O106" i="1" s="1"/>
  <c r="CZ105" i="1"/>
  <c r="Y105" i="1" s="1"/>
  <c r="GM105" i="1" s="1"/>
  <c r="AB105" i="1"/>
  <c r="AD104" i="1"/>
  <c r="CR104" i="1" s="1"/>
  <c r="CS104" i="1"/>
  <c r="CZ103" i="1"/>
  <c r="Y103" i="1" s="1"/>
  <c r="GM103" i="1" s="1"/>
  <c r="AB103" i="1"/>
  <c r="CX280" i="3"/>
  <c r="CX282" i="3"/>
  <c r="CX284" i="3"/>
  <c r="CX281" i="3"/>
  <c r="CX283" i="3"/>
  <c r="I104" i="1"/>
  <c r="AD102" i="1"/>
  <c r="CR102" i="1" s="1"/>
  <c r="CS102" i="1"/>
  <c r="CZ101" i="1"/>
  <c r="Y101" i="1" s="1"/>
  <c r="GM101" i="1" s="1"/>
  <c r="AB101" i="1"/>
  <c r="CX276" i="3"/>
  <c r="CX278" i="3"/>
  <c r="CX275" i="3"/>
  <c r="CX277" i="3"/>
  <c r="CX279" i="3"/>
  <c r="I102" i="1"/>
  <c r="AD100" i="1"/>
  <c r="CR100" i="1" s="1"/>
  <c r="Q100" i="1" s="1"/>
  <c r="CS100" i="1"/>
  <c r="R100" i="1" s="1"/>
  <c r="CZ100" i="1" s="1"/>
  <c r="Y100" i="1" s="1"/>
  <c r="CY99" i="1"/>
  <c r="X99" i="1" s="1"/>
  <c r="GN99" i="1" s="1"/>
  <c r="AB98" i="1"/>
  <c r="CQ98" i="1"/>
  <c r="P98" i="1" s="1"/>
  <c r="CP98" i="1" s="1"/>
  <c r="O98" i="1" s="1"/>
  <c r="GM97" i="1"/>
  <c r="CZ97" i="1"/>
  <c r="Y97" i="1" s="1"/>
  <c r="GN97" i="1" s="1"/>
  <c r="CP95" i="1"/>
  <c r="O95" i="1" s="1"/>
  <c r="AB94" i="1"/>
  <c r="CZ93" i="1"/>
  <c r="Y93" i="1" s="1"/>
  <c r="CY93" i="1"/>
  <c r="X93" i="1" s="1"/>
  <c r="GM93" i="1" s="1"/>
  <c r="CP91" i="1"/>
  <c r="O91" i="1" s="1"/>
  <c r="AB90" i="1"/>
  <c r="CZ89" i="1"/>
  <c r="Y89" i="1" s="1"/>
  <c r="CY89" i="1"/>
  <c r="X89" i="1" s="1"/>
  <c r="GM89" i="1" s="1"/>
  <c r="CP87" i="1"/>
  <c r="O87" i="1" s="1"/>
  <c r="AB86" i="1"/>
  <c r="CZ85" i="1"/>
  <c r="Y85" i="1" s="1"/>
  <c r="CY85" i="1"/>
  <c r="X85" i="1" s="1"/>
  <c r="GM85" i="1" s="1"/>
  <c r="CP83" i="1"/>
  <c r="O83" i="1" s="1"/>
  <c r="AB82" i="1"/>
  <c r="CZ81" i="1"/>
  <c r="Y81" i="1" s="1"/>
  <c r="CY81" i="1"/>
  <c r="X81" i="1" s="1"/>
  <c r="GM81" i="1" s="1"/>
  <c r="CP79" i="1"/>
  <c r="O79" i="1" s="1"/>
  <c r="CZ76" i="1"/>
  <c r="Y76" i="1" s="1"/>
  <c r="CZ68" i="1"/>
  <c r="Y68" i="1" s="1"/>
  <c r="CZ58" i="1"/>
  <c r="Y58" i="1" s="1"/>
  <c r="AB97" i="1"/>
  <c r="AB95" i="1"/>
  <c r="AB93" i="1"/>
  <c r="AB91" i="1"/>
  <c r="AB89" i="1"/>
  <c r="AB87" i="1"/>
  <c r="AB85" i="1"/>
  <c r="AB83" i="1"/>
  <c r="AB81" i="1"/>
  <c r="AB79" i="1"/>
  <c r="CQ78" i="1"/>
  <c r="P78" i="1" s="1"/>
  <c r="CZ77" i="1"/>
  <c r="Y77" i="1" s="1"/>
  <c r="AB77" i="1"/>
  <c r="AD76" i="1"/>
  <c r="CR76" i="1" s="1"/>
  <c r="Q76" i="1" s="1"/>
  <c r="CS76" i="1"/>
  <c r="R76" i="1" s="1"/>
  <c r="CY76" i="1" s="1"/>
  <c r="X76" i="1" s="1"/>
  <c r="CQ74" i="1"/>
  <c r="P74" i="1" s="1"/>
  <c r="CZ73" i="1"/>
  <c r="Y73" i="1" s="1"/>
  <c r="AB73" i="1"/>
  <c r="AD72" i="1"/>
  <c r="CR72" i="1" s="1"/>
  <c r="Q72" i="1" s="1"/>
  <c r="CS72" i="1"/>
  <c r="R72" i="1" s="1"/>
  <c r="CY72" i="1" s="1"/>
  <c r="X72" i="1" s="1"/>
  <c r="CQ70" i="1"/>
  <c r="P70" i="1" s="1"/>
  <c r="CZ69" i="1"/>
  <c r="Y69" i="1" s="1"/>
  <c r="AB69" i="1"/>
  <c r="AD68" i="1"/>
  <c r="CR68" i="1" s="1"/>
  <c r="Q68" i="1" s="1"/>
  <c r="CS68" i="1"/>
  <c r="R68" i="1" s="1"/>
  <c r="CY68" i="1" s="1"/>
  <c r="X68" i="1" s="1"/>
  <c r="CQ66" i="1"/>
  <c r="P66" i="1" s="1"/>
  <c r="AD64" i="1"/>
  <c r="CR64" i="1" s="1"/>
  <c r="Q64" i="1" s="1"/>
  <c r="CS64" i="1"/>
  <c r="R64" i="1" s="1"/>
  <c r="CY64" i="1" s="1"/>
  <c r="X64" i="1" s="1"/>
  <c r="CQ62" i="1"/>
  <c r="CQ60" i="1"/>
  <c r="P60" i="1" s="1"/>
  <c r="CZ59" i="1"/>
  <c r="Y59" i="1" s="1"/>
  <c r="AB59" i="1"/>
  <c r="AD58" i="1"/>
  <c r="CR58" i="1" s="1"/>
  <c r="Q58" i="1" s="1"/>
  <c r="CS58" i="1"/>
  <c r="R58" i="1" s="1"/>
  <c r="CY58" i="1" s="1"/>
  <c r="X58" i="1" s="1"/>
  <c r="CQ56" i="1"/>
  <c r="P56" i="1" s="1"/>
  <c r="CY53" i="1"/>
  <c r="X53" i="1" s="1"/>
  <c r="CZ53" i="1"/>
  <c r="Y53" i="1" s="1"/>
  <c r="CY48" i="1"/>
  <c r="X48" i="1" s="1"/>
  <c r="CZ48" i="1"/>
  <c r="Y48" i="1" s="1"/>
  <c r="CY44" i="1"/>
  <c r="X44" i="1" s="1"/>
  <c r="CZ44" i="1"/>
  <c r="Y44" i="1" s="1"/>
  <c r="CZ37" i="1"/>
  <c r="Y37" i="1" s="1"/>
  <c r="CY37" i="1"/>
  <c r="X37" i="1" s="1"/>
  <c r="CY36" i="1"/>
  <c r="X36" i="1" s="1"/>
  <c r="CZ36" i="1"/>
  <c r="Y36" i="1" s="1"/>
  <c r="CP36" i="1"/>
  <c r="O36" i="1" s="1"/>
  <c r="CZ35" i="1"/>
  <c r="Y35" i="1" s="1"/>
  <c r="CY35" i="1"/>
  <c r="X35" i="1" s="1"/>
  <c r="CP35" i="1"/>
  <c r="O35" i="1" s="1"/>
  <c r="CZ33" i="1"/>
  <c r="Y33" i="1" s="1"/>
  <c r="CY33" i="1"/>
  <c r="X33" i="1" s="1"/>
  <c r="CP33" i="1"/>
  <c r="O33" i="1" s="1"/>
  <c r="CY30" i="1"/>
  <c r="X30" i="1" s="1"/>
  <c r="CZ30" i="1"/>
  <c r="Y30" i="1" s="1"/>
  <c r="CZ29" i="1"/>
  <c r="Y29" i="1" s="1"/>
  <c r="CY29" i="1"/>
  <c r="X29" i="1" s="1"/>
  <c r="CX290" i="3"/>
  <c r="CX292" i="3"/>
  <c r="CX294" i="3"/>
  <c r="CX296" i="3"/>
  <c r="CX298" i="3"/>
  <c r="CX300" i="3"/>
  <c r="CX302" i="3"/>
  <c r="CX304" i="3"/>
  <c r="CX306" i="3"/>
  <c r="CX291" i="3"/>
  <c r="CX293" i="3"/>
  <c r="CX295" i="3"/>
  <c r="CX297" i="3"/>
  <c r="CX299" i="3"/>
  <c r="CX301" i="3"/>
  <c r="CX303" i="3"/>
  <c r="CX305" i="3"/>
  <c r="CX286" i="3"/>
  <c r="CX288" i="3"/>
  <c r="CX287" i="3"/>
  <c r="CX289" i="3"/>
  <c r="CX268" i="3"/>
  <c r="CX270" i="3"/>
  <c r="CX272" i="3"/>
  <c r="CX274" i="3"/>
  <c r="CX267" i="3"/>
  <c r="CX269" i="3"/>
  <c r="CX271" i="3"/>
  <c r="CX273" i="3"/>
  <c r="CX262" i="3"/>
  <c r="CX264" i="3"/>
  <c r="CX266" i="3"/>
  <c r="CX263" i="3"/>
  <c r="CX265" i="3"/>
  <c r="CS96" i="1"/>
  <c r="R96" i="1" s="1"/>
  <c r="CZ96" i="1" s="1"/>
  <c r="Y96" i="1" s="1"/>
  <c r="CQ96" i="1"/>
  <c r="P96" i="1" s="1"/>
  <c r="CP96" i="1" s="1"/>
  <c r="O96" i="1" s="1"/>
  <c r="CX256" i="3"/>
  <c r="CX258" i="3"/>
  <c r="CX260" i="3"/>
  <c r="CX257" i="3"/>
  <c r="CX259" i="3"/>
  <c r="CX261" i="3"/>
  <c r="CS94" i="1"/>
  <c r="R94" i="1" s="1"/>
  <c r="CZ94" i="1" s="1"/>
  <c r="Y94" i="1" s="1"/>
  <c r="CQ94" i="1"/>
  <c r="P94" i="1" s="1"/>
  <c r="CP94" i="1" s="1"/>
  <c r="O94" i="1" s="1"/>
  <c r="CX250" i="3"/>
  <c r="CX252" i="3"/>
  <c r="CX254" i="3"/>
  <c r="CX251" i="3"/>
  <c r="CX253" i="3"/>
  <c r="CX255" i="3"/>
  <c r="CS92" i="1"/>
  <c r="R92" i="1" s="1"/>
  <c r="CZ92" i="1" s="1"/>
  <c r="Y92" i="1" s="1"/>
  <c r="CQ92" i="1"/>
  <c r="P92" i="1" s="1"/>
  <c r="CP92" i="1" s="1"/>
  <c r="O92" i="1" s="1"/>
  <c r="CX242" i="3"/>
  <c r="CX244" i="3"/>
  <c r="CX246" i="3"/>
  <c r="CX248" i="3"/>
  <c r="CX243" i="3"/>
  <c r="CX245" i="3"/>
  <c r="CX247" i="3"/>
  <c r="CX249" i="3"/>
  <c r="CS90" i="1"/>
  <c r="R90" i="1" s="1"/>
  <c r="CZ90" i="1" s="1"/>
  <c r="Y90" i="1" s="1"/>
  <c r="CQ90" i="1"/>
  <c r="P90" i="1" s="1"/>
  <c r="CP90" i="1" s="1"/>
  <c r="O90" i="1" s="1"/>
  <c r="CX232" i="3"/>
  <c r="CX234" i="3"/>
  <c r="CX236" i="3"/>
  <c r="CX238" i="3"/>
  <c r="CX240" i="3"/>
  <c r="CX233" i="3"/>
  <c r="CX235" i="3"/>
  <c r="CX237" i="3"/>
  <c r="CX239" i="3"/>
  <c r="CX241" i="3"/>
  <c r="CS88" i="1"/>
  <c r="R88" i="1" s="1"/>
  <c r="CZ88" i="1" s="1"/>
  <c r="Y88" i="1" s="1"/>
  <c r="CQ88" i="1"/>
  <c r="P88" i="1" s="1"/>
  <c r="CP88" i="1" s="1"/>
  <c r="O88" i="1" s="1"/>
  <c r="CX226" i="3"/>
  <c r="CX228" i="3"/>
  <c r="CX230" i="3"/>
  <c r="CX225" i="3"/>
  <c r="CX227" i="3"/>
  <c r="CX229" i="3"/>
  <c r="CX231" i="3"/>
  <c r="CS86" i="1"/>
  <c r="R86" i="1" s="1"/>
  <c r="CZ86" i="1" s="1"/>
  <c r="Y86" i="1" s="1"/>
  <c r="CQ86" i="1"/>
  <c r="P86" i="1" s="1"/>
  <c r="CP86" i="1" s="1"/>
  <c r="O86" i="1" s="1"/>
  <c r="CX218" i="3"/>
  <c r="CX220" i="3"/>
  <c r="CX222" i="3"/>
  <c r="CX224" i="3"/>
  <c r="CX219" i="3"/>
  <c r="CX221" i="3"/>
  <c r="CX223" i="3"/>
  <c r="CS84" i="1"/>
  <c r="R84" i="1" s="1"/>
  <c r="CZ84" i="1" s="1"/>
  <c r="Y84" i="1" s="1"/>
  <c r="CQ84" i="1"/>
  <c r="P84" i="1" s="1"/>
  <c r="CP84" i="1" s="1"/>
  <c r="O84" i="1" s="1"/>
  <c r="CX216" i="3"/>
  <c r="CX215" i="3"/>
  <c r="CX217" i="3"/>
  <c r="CS82" i="1"/>
  <c r="R82" i="1" s="1"/>
  <c r="CZ82" i="1" s="1"/>
  <c r="Y82" i="1" s="1"/>
  <c r="CQ82" i="1"/>
  <c r="P82" i="1" s="1"/>
  <c r="CP82" i="1" s="1"/>
  <c r="O82" i="1" s="1"/>
  <c r="CX206" i="3"/>
  <c r="CX208" i="3"/>
  <c r="CX210" i="3"/>
  <c r="CX212" i="3"/>
  <c r="CX214" i="3"/>
  <c r="CX207" i="3"/>
  <c r="CX209" i="3"/>
  <c r="CX211" i="3"/>
  <c r="CX213" i="3"/>
  <c r="CS80" i="1"/>
  <c r="R80" i="1" s="1"/>
  <c r="CZ80" i="1" s="1"/>
  <c r="Y80" i="1" s="1"/>
  <c r="CQ80" i="1"/>
  <c r="P80" i="1" s="1"/>
  <c r="CP80" i="1" s="1"/>
  <c r="O80" i="1" s="1"/>
  <c r="CX198" i="3"/>
  <c r="CX200" i="3"/>
  <c r="CX202" i="3"/>
  <c r="CX204" i="3"/>
  <c r="CX199" i="3"/>
  <c r="CX201" i="3"/>
  <c r="CX203" i="3"/>
  <c r="CX205" i="3"/>
  <c r="AD78" i="1"/>
  <c r="CR78" i="1" s="1"/>
  <c r="Q78" i="1" s="1"/>
  <c r="CS78" i="1"/>
  <c r="R78" i="1" s="1"/>
  <c r="CZ78" i="1" s="1"/>
  <c r="Y78" i="1" s="1"/>
  <c r="CY77" i="1"/>
  <c r="X77" i="1" s="1"/>
  <c r="GM77" i="1" s="1"/>
  <c r="AB76" i="1"/>
  <c r="CQ76" i="1"/>
  <c r="P76" i="1" s="1"/>
  <c r="CP76" i="1" s="1"/>
  <c r="O76" i="1" s="1"/>
  <c r="CZ75" i="1"/>
  <c r="Y75" i="1" s="1"/>
  <c r="GN75" i="1" s="1"/>
  <c r="AB75" i="1"/>
  <c r="AD74" i="1"/>
  <c r="CR74" i="1" s="1"/>
  <c r="Q74" i="1" s="1"/>
  <c r="CS74" i="1"/>
  <c r="R74" i="1" s="1"/>
  <c r="CZ74" i="1" s="1"/>
  <c r="Y74" i="1" s="1"/>
  <c r="CY73" i="1"/>
  <c r="X73" i="1" s="1"/>
  <c r="GM73" i="1" s="1"/>
  <c r="AB72" i="1"/>
  <c r="CQ72" i="1"/>
  <c r="P72" i="1" s="1"/>
  <c r="CP72" i="1" s="1"/>
  <c r="O72" i="1" s="1"/>
  <c r="CZ71" i="1"/>
  <c r="Y71" i="1" s="1"/>
  <c r="GN71" i="1" s="1"/>
  <c r="AB71" i="1"/>
  <c r="AD70" i="1"/>
  <c r="CR70" i="1" s="1"/>
  <c r="Q70" i="1" s="1"/>
  <c r="CS70" i="1"/>
  <c r="R70" i="1" s="1"/>
  <c r="CZ70" i="1" s="1"/>
  <c r="Y70" i="1" s="1"/>
  <c r="CY69" i="1"/>
  <c r="X69" i="1" s="1"/>
  <c r="GM69" i="1" s="1"/>
  <c r="AB68" i="1"/>
  <c r="CQ68" i="1"/>
  <c r="P68" i="1" s="1"/>
  <c r="CP68" i="1" s="1"/>
  <c r="O68" i="1" s="1"/>
  <c r="CZ67" i="1"/>
  <c r="Y67" i="1" s="1"/>
  <c r="GN67" i="1" s="1"/>
  <c r="AB67" i="1"/>
  <c r="AD66" i="1"/>
  <c r="CR66" i="1" s="1"/>
  <c r="Q66" i="1" s="1"/>
  <c r="CS66" i="1"/>
  <c r="R66" i="1" s="1"/>
  <c r="CZ66" i="1" s="1"/>
  <c r="Y66" i="1" s="1"/>
  <c r="CZ65" i="1"/>
  <c r="Y65" i="1" s="1"/>
  <c r="GO65" i="1" s="1"/>
  <c r="AB65" i="1"/>
  <c r="AB64" i="1"/>
  <c r="CQ64" i="1"/>
  <c r="P64" i="1" s="1"/>
  <c r="CP64" i="1" s="1"/>
  <c r="O64" i="1" s="1"/>
  <c r="CZ63" i="1"/>
  <c r="Y63" i="1" s="1"/>
  <c r="GN63" i="1" s="1"/>
  <c r="AB63" i="1"/>
  <c r="T62" i="1"/>
  <c r="AD62" i="1"/>
  <c r="CR62" i="1" s="1"/>
  <c r="CS62" i="1"/>
  <c r="R62" i="1" s="1"/>
  <c r="CZ61" i="1"/>
  <c r="Y61" i="1" s="1"/>
  <c r="GN61" i="1" s="1"/>
  <c r="AB61" i="1"/>
  <c r="CX147" i="3"/>
  <c r="CX149" i="3"/>
  <c r="CX151" i="3"/>
  <c r="CX148" i="3"/>
  <c r="CX150" i="3"/>
  <c r="CX152" i="3"/>
  <c r="I62" i="1"/>
  <c r="U62" i="1" s="1"/>
  <c r="AD60" i="1"/>
  <c r="CR60" i="1" s="1"/>
  <c r="Q60" i="1" s="1"/>
  <c r="CS60" i="1"/>
  <c r="R60" i="1" s="1"/>
  <c r="CZ60" i="1" s="1"/>
  <c r="Y60" i="1" s="1"/>
  <c r="CY59" i="1"/>
  <c r="X59" i="1" s="1"/>
  <c r="GN59" i="1" s="1"/>
  <c r="AB58" i="1"/>
  <c r="CQ58" i="1"/>
  <c r="P58" i="1" s="1"/>
  <c r="CP58" i="1" s="1"/>
  <c r="O58" i="1" s="1"/>
  <c r="CZ57" i="1"/>
  <c r="Y57" i="1" s="1"/>
  <c r="GN57" i="1" s="1"/>
  <c r="AB57" i="1"/>
  <c r="AD56" i="1"/>
  <c r="CR56" i="1" s="1"/>
  <c r="Q56" i="1" s="1"/>
  <c r="CS56" i="1"/>
  <c r="R56" i="1" s="1"/>
  <c r="CY56" i="1" s="1"/>
  <c r="X56" i="1" s="1"/>
  <c r="CX184" i="3"/>
  <c r="CX186" i="3"/>
  <c r="CX188" i="3"/>
  <c r="CX190" i="3"/>
  <c r="CX192" i="3"/>
  <c r="CX194" i="3"/>
  <c r="CX196" i="3"/>
  <c r="CX185" i="3"/>
  <c r="CX187" i="3"/>
  <c r="CX189" i="3"/>
  <c r="CX191" i="3"/>
  <c r="CX193" i="3"/>
  <c r="CX195" i="3"/>
  <c r="CX197" i="3"/>
  <c r="CX172" i="3"/>
  <c r="CX174" i="3"/>
  <c r="CX176" i="3"/>
  <c r="CX178" i="3"/>
  <c r="CX180" i="3"/>
  <c r="CX182" i="3"/>
  <c r="CX171" i="3"/>
  <c r="CX173" i="3"/>
  <c r="CX175" i="3"/>
  <c r="CX177" i="3"/>
  <c r="CX179" i="3"/>
  <c r="CX181" i="3"/>
  <c r="CX183" i="3"/>
  <c r="CX167" i="3"/>
  <c r="CX169" i="3"/>
  <c r="CX166" i="3"/>
  <c r="CX168" i="3"/>
  <c r="CX170" i="3"/>
  <c r="CX161" i="3"/>
  <c r="CX163" i="3"/>
  <c r="CX165" i="3"/>
  <c r="CX160" i="3"/>
  <c r="CX162" i="3"/>
  <c r="CX164" i="3"/>
  <c r="CX153" i="3"/>
  <c r="CX155" i="3"/>
  <c r="CX157" i="3"/>
  <c r="CX159" i="3"/>
  <c r="CX154" i="3"/>
  <c r="CX156" i="3"/>
  <c r="CX158" i="3"/>
  <c r="CX139" i="3"/>
  <c r="CX141" i="3"/>
  <c r="CX143" i="3"/>
  <c r="CX145" i="3"/>
  <c r="CX138" i="3"/>
  <c r="CX140" i="3"/>
  <c r="CX142" i="3"/>
  <c r="CX144" i="3"/>
  <c r="CX146" i="3"/>
  <c r="CZ55" i="1"/>
  <c r="Y55" i="1" s="1"/>
  <c r="AB55" i="1"/>
  <c r="CR55" i="1"/>
  <c r="Q55" i="1" s="1"/>
  <c r="CP55" i="1" s="1"/>
  <c r="O55" i="1" s="1"/>
  <c r="U54" i="1"/>
  <c r="AB54" i="1"/>
  <c r="CP53" i="1"/>
  <c r="O53" i="1" s="1"/>
  <c r="AB52" i="1"/>
  <c r="CY50" i="1"/>
  <c r="X50" i="1" s="1"/>
  <c r="CZ50" i="1"/>
  <c r="Y50" i="1" s="1"/>
  <c r="CZ49" i="1"/>
  <c r="Y49" i="1" s="1"/>
  <c r="CP48" i="1"/>
  <c r="O48" i="1" s="1"/>
  <c r="AB47" i="1"/>
  <c r="CY46" i="1"/>
  <c r="X46" i="1" s="1"/>
  <c r="CZ46" i="1"/>
  <c r="Y46" i="1" s="1"/>
  <c r="CZ45" i="1"/>
  <c r="Y45" i="1" s="1"/>
  <c r="CP44" i="1"/>
  <c r="O44" i="1" s="1"/>
  <c r="AB43" i="1"/>
  <c r="CY42" i="1"/>
  <c r="X42" i="1" s="1"/>
  <c r="CZ42" i="1"/>
  <c r="Y42" i="1" s="1"/>
  <c r="CZ41" i="1"/>
  <c r="Y41" i="1" s="1"/>
  <c r="CY41" i="1"/>
  <c r="X41" i="1" s="1"/>
  <c r="CP41" i="1"/>
  <c r="O41" i="1" s="1"/>
  <c r="CY40" i="1"/>
  <c r="X40" i="1" s="1"/>
  <c r="GN40" i="1" s="1"/>
  <c r="CZ40" i="1"/>
  <c r="Y40" i="1" s="1"/>
  <c r="CZ39" i="1"/>
  <c r="Y39" i="1" s="1"/>
  <c r="CY39" i="1"/>
  <c r="X39" i="1" s="1"/>
  <c r="CP39" i="1"/>
  <c r="O39" i="1" s="1"/>
  <c r="CY38" i="1"/>
  <c r="X38" i="1" s="1"/>
  <c r="CZ38" i="1"/>
  <c r="Y38" i="1" s="1"/>
  <c r="CP38" i="1"/>
  <c r="O38" i="1" s="1"/>
  <c r="CP37" i="1"/>
  <c r="O37" i="1" s="1"/>
  <c r="AB36" i="1"/>
  <c r="AB35" i="1"/>
  <c r="CY34" i="1"/>
  <c r="X34" i="1" s="1"/>
  <c r="CZ34" i="1"/>
  <c r="Y34" i="1" s="1"/>
  <c r="AB34" i="1"/>
  <c r="CR34" i="1"/>
  <c r="Q34" i="1" s="1"/>
  <c r="CP34" i="1" s="1"/>
  <c r="O34" i="1" s="1"/>
  <c r="AB33" i="1"/>
  <c r="CY32" i="1"/>
  <c r="X32" i="1" s="1"/>
  <c r="CZ32" i="1"/>
  <c r="Y32" i="1" s="1"/>
  <c r="CZ31" i="1"/>
  <c r="Y31" i="1" s="1"/>
  <c r="CY31" i="1"/>
  <c r="X31" i="1" s="1"/>
  <c r="CP31" i="1"/>
  <c r="O31" i="1" s="1"/>
  <c r="CP29" i="1"/>
  <c r="O29" i="1" s="1"/>
  <c r="CS54" i="1"/>
  <c r="R54" i="1" s="1"/>
  <c r="CZ54" i="1" s="1"/>
  <c r="Y54" i="1" s="1"/>
  <c r="CQ54" i="1"/>
  <c r="P54" i="1" s="1"/>
  <c r="CP54" i="1" s="1"/>
  <c r="O54" i="1" s="1"/>
  <c r="CR53" i="1"/>
  <c r="Q53" i="1" s="1"/>
  <c r="CS52" i="1"/>
  <c r="R52" i="1" s="1"/>
  <c r="CZ52" i="1" s="1"/>
  <c r="Y52" i="1" s="1"/>
  <c r="CQ52" i="1"/>
  <c r="P52" i="1" s="1"/>
  <c r="CP52" i="1" s="1"/>
  <c r="O52" i="1" s="1"/>
  <c r="CR50" i="1"/>
  <c r="Q50" i="1" s="1"/>
  <c r="CP50" i="1" s="1"/>
  <c r="O50" i="1" s="1"/>
  <c r="CS49" i="1"/>
  <c r="R49" i="1" s="1"/>
  <c r="CY49" i="1" s="1"/>
  <c r="X49" i="1" s="1"/>
  <c r="CQ49" i="1"/>
  <c r="P49" i="1" s="1"/>
  <c r="CP49" i="1" s="1"/>
  <c r="O49" i="1" s="1"/>
  <c r="CX101" i="3"/>
  <c r="CX103" i="3"/>
  <c r="CX102" i="3"/>
  <c r="CX104" i="3"/>
  <c r="CR48" i="1"/>
  <c r="Q48" i="1" s="1"/>
  <c r="CS47" i="1"/>
  <c r="R47" i="1" s="1"/>
  <c r="CY47" i="1" s="1"/>
  <c r="X47" i="1" s="1"/>
  <c r="CQ47" i="1"/>
  <c r="P47" i="1" s="1"/>
  <c r="CP47" i="1" s="1"/>
  <c r="O47" i="1" s="1"/>
  <c r="CX77" i="3"/>
  <c r="CX78" i="3"/>
  <c r="CR46" i="1"/>
  <c r="Q46" i="1" s="1"/>
  <c r="CP46" i="1" s="1"/>
  <c r="O46" i="1" s="1"/>
  <c r="CS45" i="1"/>
  <c r="R45" i="1" s="1"/>
  <c r="CY45" i="1" s="1"/>
  <c r="X45" i="1" s="1"/>
  <c r="CQ45" i="1"/>
  <c r="P45" i="1" s="1"/>
  <c r="CP45" i="1" s="1"/>
  <c r="O45" i="1" s="1"/>
  <c r="CX57" i="3"/>
  <c r="CX59" i="3"/>
  <c r="CX61" i="3"/>
  <c r="CX63" i="3"/>
  <c r="CX65" i="3"/>
  <c r="CX67" i="3"/>
  <c r="CX69" i="3"/>
  <c r="CX71" i="3"/>
  <c r="CX73" i="3"/>
  <c r="CX75" i="3"/>
  <c r="CX56" i="3"/>
  <c r="CX58" i="3"/>
  <c r="CX60" i="3"/>
  <c r="CX62" i="3"/>
  <c r="CX64" i="3"/>
  <c r="CX66" i="3"/>
  <c r="CX68" i="3"/>
  <c r="CX70" i="3"/>
  <c r="CX72" i="3"/>
  <c r="CX74" i="3"/>
  <c r="CR44" i="1"/>
  <c r="Q44" i="1" s="1"/>
  <c r="CS43" i="1"/>
  <c r="R43" i="1" s="1"/>
  <c r="CY43" i="1" s="1"/>
  <c r="X43" i="1" s="1"/>
  <c r="CQ43" i="1"/>
  <c r="P43" i="1" s="1"/>
  <c r="CX47" i="3"/>
  <c r="CX49" i="3"/>
  <c r="CX51" i="3"/>
  <c r="CX48" i="3"/>
  <c r="CX50" i="3"/>
  <c r="CX52" i="3"/>
  <c r="CR42" i="1"/>
  <c r="Q42" i="1" s="1"/>
  <c r="CP42" i="1" s="1"/>
  <c r="O42" i="1" s="1"/>
  <c r="AB37" i="1"/>
  <c r="CX39" i="3"/>
  <c r="CX41" i="3"/>
  <c r="CX40" i="3"/>
  <c r="CX35" i="3"/>
  <c r="CX37" i="3"/>
  <c r="CX36" i="3"/>
  <c r="CX38" i="3"/>
  <c r="CX27" i="3"/>
  <c r="CX29" i="3"/>
  <c r="CX31" i="3"/>
  <c r="CX26" i="3"/>
  <c r="CX28" i="3"/>
  <c r="CX30" i="3"/>
  <c r="CR32" i="1"/>
  <c r="Q32" i="1" s="1"/>
  <c r="CP32" i="1" s="1"/>
  <c r="O32" i="1" s="1"/>
  <c r="CX17" i="3"/>
  <c r="CX16" i="3"/>
  <c r="CX18" i="3"/>
  <c r="CR30" i="1"/>
  <c r="Q30" i="1" s="1"/>
  <c r="AB29" i="1"/>
  <c r="CX1" i="3"/>
  <c r="CX3" i="3"/>
  <c r="CX5" i="3"/>
  <c r="CX7" i="3"/>
  <c r="CX2" i="3"/>
  <c r="CX4" i="3"/>
  <c r="CX6" i="3"/>
  <c r="CX8" i="3"/>
  <c r="CX131" i="3"/>
  <c r="CX133" i="3"/>
  <c r="CX135" i="3"/>
  <c r="CX137" i="3"/>
  <c r="CX130" i="3"/>
  <c r="CX132" i="3"/>
  <c r="CX134" i="3"/>
  <c r="CX136" i="3"/>
  <c r="CX113" i="3"/>
  <c r="CX115" i="3"/>
  <c r="CX117" i="3"/>
  <c r="CX119" i="3"/>
  <c r="CX121" i="3"/>
  <c r="CX123" i="3"/>
  <c r="CX125" i="3"/>
  <c r="CX127" i="3"/>
  <c r="CX129" i="3"/>
  <c r="CX112" i="3"/>
  <c r="CX114" i="3"/>
  <c r="CX116" i="3"/>
  <c r="CX118" i="3"/>
  <c r="CX120" i="3"/>
  <c r="CX122" i="3"/>
  <c r="CX124" i="3"/>
  <c r="CX126" i="3"/>
  <c r="CX128" i="3"/>
  <c r="CX105" i="3"/>
  <c r="CX107" i="3"/>
  <c r="CX109" i="3"/>
  <c r="CX106" i="3"/>
  <c r="CX108" i="3"/>
  <c r="CX110" i="3"/>
  <c r="CX79" i="3"/>
  <c r="CX81" i="3"/>
  <c r="CX83" i="3"/>
  <c r="CX85" i="3"/>
  <c r="CX87" i="3"/>
  <c r="CX89" i="3"/>
  <c r="CX91" i="3"/>
  <c r="CX93" i="3"/>
  <c r="CX95" i="3"/>
  <c r="CX97" i="3"/>
  <c r="CX99" i="3"/>
  <c r="CX80" i="3"/>
  <c r="CX82" i="3"/>
  <c r="CX84" i="3"/>
  <c r="CX86" i="3"/>
  <c r="CX88" i="3"/>
  <c r="CX90" i="3"/>
  <c r="CX92" i="3"/>
  <c r="CX94" i="3"/>
  <c r="CX96" i="3"/>
  <c r="CX98" i="3"/>
  <c r="CX100" i="3"/>
  <c r="CX53" i="3"/>
  <c r="CX55" i="3"/>
  <c r="CX54" i="3"/>
  <c r="CX45" i="3"/>
  <c r="CX44" i="3"/>
  <c r="CX43" i="3"/>
  <c r="CX42" i="3"/>
  <c r="CX33" i="3"/>
  <c r="CX32" i="3"/>
  <c r="CX34" i="3"/>
  <c r="CX19" i="3"/>
  <c r="CX21" i="3"/>
  <c r="CX23" i="3"/>
  <c r="CX25" i="3"/>
  <c r="CX20" i="3"/>
  <c r="CX22" i="3"/>
  <c r="CX24" i="3"/>
  <c r="CX9" i="3"/>
  <c r="CX11" i="3"/>
  <c r="CX13" i="3"/>
  <c r="CX15" i="3"/>
  <c r="CX10" i="3"/>
  <c r="CX12" i="3"/>
  <c r="CX14" i="3"/>
  <c r="G772" i="5" l="1"/>
  <c r="AK875" i="5"/>
  <c r="AJ876" i="5"/>
  <c r="AK876" i="5" s="1"/>
  <c r="GM42" i="1"/>
  <c r="GN42" i="1"/>
  <c r="GM46" i="1"/>
  <c r="GN46" i="1"/>
  <c r="GM32" i="1"/>
  <c r="GN32" i="1"/>
  <c r="GM34" i="1"/>
  <c r="GN34" i="1"/>
  <c r="GN55" i="1"/>
  <c r="GM55" i="1"/>
  <c r="GM221" i="1"/>
  <c r="GO221" i="1"/>
  <c r="GM227" i="1"/>
  <c r="GO227" i="1"/>
  <c r="GM231" i="1"/>
  <c r="GO231" i="1"/>
  <c r="GM50" i="1"/>
  <c r="GN50" i="1"/>
  <c r="GM219" i="1"/>
  <c r="GO219" i="1"/>
  <c r="GM223" i="1"/>
  <c r="GO223" i="1"/>
  <c r="GM225" i="1"/>
  <c r="GO225" i="1"/>
  <c r="GM229" i="1"/>
  <c r="GO229" i="1"/>
  <c r="GM233" i="1"/>
  <c r="GN233" i="1"/>
  <c r="CB235" i="1" s="1"/>
  <c r="GN45" i="1"/>
  <c r="GM45" i="1"/>
  <c r="GN31" i="1"/>
  <c r="GM31" i="1"/>
  <c r="GM38" i="1"/>
  <c r="GN38" i="1"/>
  <c r="GN41" i="1"/>
  <c r="GM41" i="1"/>
  <c r="GM44" i="1"/>
  <c r="GN44" i="1"/>
  <c r="GM48" i="1"/>
  <c r="GN48" i="1"/>
  <c r="GM53" i="1"/>
  <c r="GN53" i="1"/>
  <c r="GM58" i="1"/>
  <c r="GN58" i="1"/>
  <c r="GM68" i="1"/>
  <c r="GN68" i="1"/>
  <c r="GM76" i="1"/>
  <c r="GN76" i="1"/>
  <c r="GN33" i="1"/>
  <c r="GM33" i="1"/>
  <c r="GM36" i="1"/>
  <c r="GN36" i="1"/>
  <c r="GM40" i="1"/>
  <c r="CZ47" i="1"/>
  <c r="Y47" i="1" s="1"/>
  <c r="CY52" i="1"/>
  <c r="X52" i="1" s="1"/>
  <c r="CY54" i="1"/>
  <c r="X54" i="1" s="1"/>
  <c r="AB56" i="1"/>
  <c r="CP60" i="1"/>
  <c r="O60" i="1" s="1"/>
  <c r="P62" i="1"/>
  <c r="CY66" i="1"/>
  <c r="X66" i="1" s="1"/>
  <c r="AB66" i="1"/>
  <c r="CP70" i="1"/>
  <c r="O70" i="1" s="1"/>
  <c r="CY74" i="1"/>
  <c r="X74" i="1" s="1"/>
  <c r="AB74" i="1"/>
  <c r="CP78" i="1"/>
  <c r="O78" i="1" s="1"/>
  <c r="GM57" i="1"/>
  <c r="GM61" i="1"/>
  <c r="GM63" i="1"/>
  <c r="CZ64" i="1"/>
  <c r="Y64" i="1" s="1"/>
  <c r="GM64" i="1" s="1"/>
  <c r="GM67" i="1"/>
  <c r="GM71" i="1"/>
  <c r="CZ72" i="1"/>
  <c r="Y72" i="1" s="1"/>
  <c r="GM75" i="1"/>
  <c r="GN79" i="1"/>
  <c r="GM79" i="1"/>
  <c r="CY80" i="1"/>
  <c r="X80" i="1" s="1"/>
  <c r="GN83" i="1"/>
  <c r="GM83" i="1"/>
  <c r="CY84" i="1"/>
  <c r="X84" i="1" s="1"/>
  <c r="GN87" i="1"/>
  <c r="GM87" i="1"/>
  <c r="CY88" i="1"/>
  <c r="X88" i="1" s="1"/>
  <c r="GN91" i="1"/>
  <c r="GM91" i="1"/>
  <c r="CY92" i="1"/>
  <c r="X92" i="1" s="1"/>
  <c r="GN95" i="1"/>
  <c r="GM95" i="1"/>
  <c r="CY96" i="1"/>
  <c r="X96" i="1" s="1"/>
  <c r="GX102" i="1"/>
  <c r="S102" i="1"/>
  <c r="W102" i="1"/>
  <c r="R102" i="1"/>
  <c r="T102" i="1"/>
  <c r="AG183" i="1" s="1"/>
  <c r="GX104" i="1"/>
  <c r="S104" i="1"/>
  <c r="W104" i="1"/>
  <c r="R104" i="1"/>
  <c r="T104" i="1"/>
  <c r="R122" i="1"/>
  <c r="R128" i="1"/>
  <c r="R140" i="1"/>
  <c r="R150" i="1"/>
  <c r="R154" i="1"/>
  <c r="R158" i="1"/>
  <c r="R170" i="1"/>
  <c r="R176" i="1"/>
  <c r="CZ56" i="1"/>
  <c r="Y56" i="1" s="1"/>
  <c r="GM59" i="1"/>
  <c r="GM65" i="1"/>
  <c r="GN69" i="1"/>
  <c r="GN73" i="1"/>
  <c r="GN77" i="1"/>
  <c r="GN81" i="1"/>
  <c r="CY82" i="1"/>
  <c r="X82" i="1" s="1"/>
  <c r="GM82" i="1" s="1"/>
  <c r="GN85" i="1"/>
  <c r="CY86" i="1"/>
  <c r="X86" i="1" s="1"/>
  <c r="GM86" i="1" s="1"/>
  <c r="GN89" i="1"/>
  <c r="CY90" i="1"/>
  <c r="X90" i="1" s="1"/>
  <c r="GN93" i="1"/>
  <c r="CY94" i="1"/>
  <c r="X94" i="1" s="1"/>
  <c r="CY100" i="1"/>
  <c r="X100" i="1" s="1"/>
  <c r="AB100" i="1"/>
  <c r="AB102" i="1"/>
  <c r="AB104" i="1"/>
  <c r="CP108" i="1"/>
  <c r="O108" i="1" s="1"/>
  <c r="CY112" i="1"/>
  <c r="X112" i="1" s="1"/>
  <c r="AB112" i="1"/>
  <c r="S116" i="1"/>
  <c r="W116" i="1"/>
  <c r="GX116" i="1"/>
  <c r="P116" i="1"/>
  <c r="CP116" i="1" s="1"/>
  <c r="O116" i="1" s="1"/>
  <c r="CY98" i="1"/>
  <c r="X98" i="1" s="1"/>
  <c r="GN101" i="1"/>
  <c r="GN103" i="1"/>
  <c r="GN105" i="1"/>
  <c r="CY106" i="1"/>
  <c r="X106" i="1" s="1"/>
  <c r="GN106" i="1" s="1"/>
  <c r="GM109" i="1"/>
  <c r="CY110" i="1"/>
  <c r="X110" i="1" s="1"/>
  <c r="GO110" i="1" s="1"/>
  <c r="GM113" i="1"/>
  <c r="GM115" i="1"/>
  <c r="GM117" i="1"/>
  <c r="Q122" i="1"/>
  <c r="V122" i="1"/>
  <c r="W122" i="1"/>
  <c r="CY124" i="1"/>
  <c r="X124" i="1" s="1"/>
  <c r="T126" i="1"/>
  <c r="S126" i="1"/>
  <c r="U128" i="1"/>
  <c r="CY132" i="1"/>
  <c r="X132" i="1" s="1"/>
  <c r="CY136" i="1"/>
  <c r="X136" i="1" s="1"/>
  <c r="T138" i="1"/>
  <c r="S138" i="1"/>
  <c r="U140" i="1"/>
  <c r="CY144" i="1"/>
  <c r="X144" i="1" s="1"/>
  <c r="GO144" i="1" s="1"/>
  <c r="CY148" i="1"/>
  <c r="X148" i="1" s="1"/>
  <c r="GN148" i="1" s="1"/>
  <c r="T150" i="1"/>
  <c r="S150" i="1"/>
  <c r="U152" i="1"/>
  <c r="T154" i="1"/>
  <c r="S154" i="1"/>
  <c r="U156" i="1"/>
  <c r="T158" i="1"/>
  <c r="S158" i="1"/>
  <c r="CZ160" i="1"/>
  <c r="Y160" i="1" s="1"/>
  <c r="GM160" i="1" s="1"/>
  <c r="CZ164" i="1"/>
  <c r="Y164" i="1" s="1"/>
  <c r="U168" i="1"/>
  <c r="T170" i="1"/>
  <c r="S170" i="1"/>
  <c r="U172" i="1"/>
  <c r="AQ26" i="1"/>
  <c r="F193" i="1"/>
  <c r="AQ302" i="1"/>
  <c r="BC26" i="1"/>
  <c r="F199" i="1"/>
  <c r="BC302" i="1"/>
  <c r="AT267" i="1"/>
  <c r="F290" i="1"/>
  <c r="GM99" i="1"/>
  <c r="U102" i="1"/>
  <c r="AH183" i="1" s="1"/>
  <c r="GM107" i="1"/>
  <c r="GO111" i="1"/>
  <c r="Q120" i="1"/>
  <c r="CP120" i="1" s="1"/>
  <c r="O120" i="1" s="1"/>
  <c r="V120" i="1"/>
  <c r="W120" i="1"/>
  <c r="Q128" i="1"/>
  <c r="V128" i="1"/>
  <c r="W128" i="1"/>
  <c r="CZ130" i="1"/>
  <c r="Y130" i="1" s="1"/>
  <c r="CZ134" i="1"/>
  <c r="Y134" i="1" s="1"/>
  <c r="Q140" i="1"/>
  <c r="V140" i="1"/>
  <c r="W140" i="1"/>
  <c r="CZ142" i="1"/>
  <c r="Y142" i="1" s="1"/>
  <c r="CZ146" i="1"/>
  <c r="Y146" i="1" s="1"/>
  <c r="GO146" i="1" s="1"/>
  <c r="Q152" i="1"/>
  <c r="CP152" i="1" s="1"/>
  <c r="O152" i="1" s="1"/>
  <c r="V152" i="1"/>
  <c r="W152" i="1"/>
  <c r="Q156" i="1"/>
  <c r="CP156" i="1" s="1"/>
  <c r="O156" i="1" s="1"/>
  <c r="V156" i="1"/>
  <c r="W156" i="1"/>
  <c r="CZ162" i="1"/>
  <c r="Y162" i="1" s="1"/>
  <c r="GM162" i="1" s="1"/>
  <c r="CZ166" i="1"/>
  <c r="Y166" i="1" s="1"/>
  <c r="Q168" i="1"/>
  <c r="CP168" i="1" s="1"/>
  <c r="O168" i="1" s="1"/>
  <c r="V168" i="1"/>
  <c r="W168" i="1"/>
  <c r="Q172" i="1"/>
  <c r="CP172" i="1" s="1"/>
  <c r="O172" i="1" s="1"/>
  <c r="V172" i="1"/>
  <c r="W172" i="1"/>
  <c r="CZ174" i="1"/>
  <c r="Y174" i="1" s="1"/>
  <c r="GN174" i="1" s="1"/>
  <c r="Q176" i="1"/>
  <c r="V176" i="1"/>
  <c r="W176" i="1"/>
  <c r="CZ178" i="1"/>
  <c r="Y178" i="1" s="1"/>
  <c r="GM178" i="1" s="1"/>
  <c r="CP180" i="1"/>
  <c r="O180" i="1" s="1"/>
  <c r="AO26" i="1"/>
  <c r="F187" i="1"/>
  <c r="AO302" i="1"/>
  <c r="CG26" i="1"/>
  <c r="AX183" i="1"/>
  <c r="GO218" i="1"/>
  <c r="GO224" i="1"/>
  <c r="BD215" i="1"/>
  <c r="F260" i="1"/>
  <c r="O267" i="1"/>
  <c r="F274" i="1"/>
  <c r="S267" i="1"/>
  <c r="F287" i="1"/>
  <c r="W267" i="1"/>
  <c r="F296" i="1"/>
  <c r="AO267" i="1"/>
  <c r="F276" i="1"/>
  <c r="GM181" i="1"/>
  <c r="CI26" i="1"/>
  <c r="AZ183" i="1"/>
  <c r="AC235" i="1"/>
  <c r="CY220" i="1"/>
  <c r="X220" i="1" s="1"/>
  <c r="CY226" i="1"/>
  <c r="X226" i="1" s="1"/>
  <c r="HD269" i="1"/>
  <c r="CM272" i="1" s="1"/>
  <c r="CA272" i="1"/>
  <c r="CG267" i="1"/>
  <c r="AX272" i="1"/>
  <c r="CY180" i="1"/>
  <c r="X180" i="1" s="1"/>
  <c r="S235" i="1"/>
  <c r="AF215" i="1"/>
  <c r="W235" i="1"/>
  <c r="AJ215" i="1"/>
  <c r="AI215" i="1"/>
  <c r="V235" i="1"/>
  <c r="CY218" i="1"/>
  <c r="X218" i="1" s="1"/>
  <c r="GM218" i="1" s="1"/>
  <c r="CZ222" i="1"/>
  <c r="Y222" i="1" s="1"/>
  <c r="GO222" i="1" s="1"/>
  <c r="CY224" i="1"/>
  <c r="X224" i="1" s="1"/>
  <c r="GM224" i="1" s="1"/>
  <c r="CY228" i="1"/>
  <c r="X228" i="1" s="1"/>
  <c r="GO228" i="1" s="1"/>
  <c r="CY230" i="1"/>
  <c r="X230" i="1" s="1"/>
  <c r="AP215" i="1"/>
  <c r="F244" i="1"/>
  <c r="AU267" i="1"/>
  <c r="F291" i="1"/>
  <c r="BA267" i="1"/>
  <c r="F292" i="1"/>
  <c r="CY232" i="1"/>
  <c r="X232" i="1" s="1"/>
  <c r="GO232" i="1" s="1"/>
  <c r="CF267" i="1"/>
  <c r="AW272" i="1"/>
  <c r="F275" i="1"/>
  <c r="P267" i="1"/>
  <c r="R267" i="1"/>
  <c r="F286" i="1"/>
  <c r="F295" i="1"/>
  <c r="V267" i="1"/>
  <c r="X267" i="1"/>
  <c r="F298" i="1"/>
  <c r="GN49" i="1"/>
  <c r="GM49" i="1"/>
  <c r="GN54" i="1"/>
  <c r="GM54" i="1"/>
  <c r="GM29" i="1"/>
  <c r="GO29" i="1"/>
  <c r="CP43" i="1"/>
  <c r="O43" i="1" s="1"/>
  <c r="GN47" i="1"/>
  <c r="GM47" i="1"/>
  <c r="GN52" i="1"/>
  <c r="GM52" i="1"/>
  <c r="CP30" i="1"/>
  <c r="O30" i="1" s="1"/>
  <c r="GN37" i="1"/>
  <c r="GM37" i="1"/>
  <c r="GN39" i="1"/>
  <c r="GM39" i="1"/>
  <c r="GX62" i="1"/>
  <c r="S62" i="1"/>
  <c r="W62" i="1"/>
  <c r="Q62" i="1"/>
  <c r="AD183" i="1" s="1"/>
  <c r="V62" i="1"/>
  <c r="GM72" i="1"/>
  <c r="GN72" i="1"/>
  <c r="GM80" i="1"/>
  <c r="GN80" i="1"/>
  <c r="GM84" i="1"/>
  <c r="GN84" i="1"/>
  <c r="GM88" i="1"/>
  <c r="GN88" i="1"/>
  <c r="GM90" i="1"/>
  <c r="GN90" i="1"/>
  <c r="GM92" i="1"/>
  <c r="GN92" i="1"/>
  <c r="GM94" i="1"/>
  <c r="GN94" i="1"/>
  <c r="GM96" i="1"/>
  <c r="GN96" i="1"/>
  <c r="GN35" i="1"/>
  <c r="GM35" i="1"/>
  <c r="CZ43" i="1"/>
  <c r="Y43" i="1" s="1"/>
  <c r="CP56" i="1"/>
  <c r="O56" i="1" s="1"/>
  <c r="CY60" i="1"/>
  <c r="X60" i="1" s="1"/>
  <c r="AB60" i="1"/>
  <c r="AB62" i="1"/>
  <c r="CP66" i="1"/>
  <c r="O66" i="1" s="1"/>
  <c r="CY70" i="1"/>
  <c r="X70" i="1" s="1"/>
  <c r="AB70" i="1"/>
  <c r="CP74" i="1"/>
  <c r="O74" i="1" s="1"/>
  <c r="CY78" i="1"/>
  <c r="X78" i="1" s="1"/>
  <c r="AB78" i="1"/>
  <c r="GM98" i="1"/>
  <c r="GN98" i="1"/>
  <c r="Q102" i="1"/>
  <c r="V102" i="1"/>
  <c r="Q104" i="1"/>
  <c r="V104" i="1"/>
  <c r="R120" i="1"/>
  <c r="AE183" i="1" s="1"/>
  <c r="P122" i="1"/>
  <c r="GM124" i="1"/>
  <c r="GN124" i="1"/>
  <c r="R126" i="1"/>
  <c r="P128" i="1"/>
  <c r="GM130" i="1"/>
  <c r="GN130" i="1"/>
  <c r="GM132" i="1"/>
  <c r="GN132" i="1"/>
  <c r="GM134" i="1"/>
  <c r="GN134" i="1"/>
  <c r="GM136" i="1"/>
  <c r="GN136" i="1"/>
  <c r="R138" i="1"/>
  <c r="P140" i="1"/>
  <c r="GM142" i="1"/>
  <c r="GN142" i="1"/>
  <c r="P150" i="1"/>
  <c r="R152" i="1"/>
  <c r="P154" i="1"/>
  <c r="R156" i="1"/>
  <c r="P158" i="1"/>
  <c r="GM164" i="1"/>
  <c r="GO164" i="1"/>
  <c r="GM166" i="1"/>
  <c r="GO166" i="1"/>
  <c r="R168" i="1"/>
  <c r="P170" i="1"/>
  <c r="R172" i="1"/>
  <c r="P176" i="1"/>
  <c r="CP100" i="1"/>
  <c r="O100" i="1" s="1"/>
  <c r="P102" i="1"/>
  <c r="CP102" i="1" s="1"/>
  <c r="O102" i="1" s="1"/>
  <c r="P104" i="1"/>
  <c r="CP104" i="1" s="1"/>
  <c r="O104" i="1" s="1"/>
  <c r="CY108" i="1"/>
  <c r="X108" i="1" s="1"/>
  <c r="AB108" i="1"/>
  <c r="CP112" i="1"/>
  <c r="O112" i="1" s="1"/>
  <c r="S118" i="1"/>
  <c r="W118" i="1"/>
  <c r="GX118" i="1"/>
  <c r="S114" i="1"/>
  <c r="W114" i="1"/>
  <c r="GX114" i="1"/>
  <c r="AB114" i="1"/>
  <c r="AB116" i="1"/>
  <c r="AB118" i="1"/>
  <c r="U120" i="1"/>
  <c r="T122" i="1"/>
  <c r="S122" i="1"/>
  <c r="Q126" i="1"/>
  <c r="CP126" i="1" s="1"/>
  <c r="O126" i="1" s="1"/>
  <c r="V126" i="1"/>
  <c r="W126" i="1"/>
  <c r="Q138" i="1"/>
  <c r="CP138" i="1" s="1"/>
  <c r="O138" i="1" s="1"/>
  <c r="V138" i="1"/>
  <c r="W138" i="1"/>
  <c r="Q150" i="1"/>
  <c r="V150" i="1"/>
  <c r="W150" i="1"/>
  <c r="Q154" i="1"/>
  <c r="V154" i="1"/>
  <c r="W154" i="1"/>
  <c r="Q158" i="1"/>
  <c r="V158" i="1"/>
  <c r="W158" i="1"/>
  <c r="Q170" i="1"/>
  <c r="V170" i="1"/>
  <c r="W170" i="1"/>
  <c r="U176" i="1"/>
  <c r="AU26" i="1"/>
  <c r="AU302" i="1"/>
  <c r="F202" i="1"/>
  <c r="F281" i="1"/>
  <c r="AP267" i="1"/>
  <c r="F285" i="1"/>
  <c r="BB267" i="1"/>
  <c r="U104" i="1"/>
  <c r="U116" i="1"/>
  <c r="T120" i="1"/>
  <c r="S120" i="1"/>
  <c r="GM121" i="1"/>
  <c r="GO121" i="1"/>
  <c r="U122" i="1"/>
  <c r="GN125" i="1"/>
  <c r="GM125" i="1"/>
  <c r="U126" i="1"/>
  <c r="T128" i="1"/>
  <c r="S128" i="1"/>
  <c r="GN129" i="1"/>
  <c r="GM129" i="1"/>
  <c r="GN133" i="1"/>
  <c r="GM133" i="1"/>
  <c r="GN137" i="1"/>
  <c r="GM137" i="1"/>
  <c r="U138" i="1"/>
  <c r="T140" i="1"/>
  <c r="S140" i="1"/>
  <c r="GN141" i="1"/>
  <c r="GM141" i="1"/>
  <c r="GM145" i="1"/>
  <c r="GO145" i="1"/>
  <c r="GM149" i="1"/>
  <c r="GO149" i="1"/>
  <c r="U150" i="1"/>
  <c r="T152" i="1"/>
  <c r="S152" i="1"/>
  <c r="GM153" i="1"/>
  <c r="GO153" i="1"/>
  <c r="U154" i="1"/>
  <c r="T156" i="1"/>
  <c r="S156" i="1"/>
  <c r="GM157" i="1"/>
  <c r="GO157" i="1"/>
  <c r="U158" i="1"/>
  <c r="GM161" i="1"/>
  <c r="GO161" i="1"/>
  <c r="GM165" i="1"/>
  <c r="GO165" i="1"/>
  <c r="T168" i="1"/>
  <c r="S168" i="1"/>
  <c r="GM169" i="1"/>
  <c r="GO169" i="1"/>
  <c r="U170" i="1"/>
  <c r="T172" i="1"/>
  <c r="S172" i="1"/>
  <c r="GM173" i="1"/>
  <c r="GO173" i="1"/>
  <c r="T176" i="1"/>
  <c r="S176" i="1"/>
  <c r="GN177" i="1"/>
  <c r="GM177" i="1"/>
  <c r="AB180" i="1"/>
  <c r="BD26" i="1"/>
  <c r="F208" i="1"/>
  <c r="BB26" i="1"/>
  <c r="F196" i="1"/>
  <c r="BB302" i="1"/>
  <c r="AD235" i="1"/>
  <c r="GM220" i="1"/>
  <c r="GO220" i="1"/>
  <c r="GM226" i="1"/>
  <c r="GO226" i="1"/>
  <c r="GM230" i="1"/>
  <c r="GO230" i="1"/>
  <c r="BB215" i="1"/>
  <c r="F248" i="1"/>
  <c r="CG215" i="1"/>
  <c r="AX235" i="1"/>
  <c r="Q267" i="1"/>
  <c r="F284" i="1"/>
  <c r="U267" i="1"/>
  <c r="F294" i="1"/>
  <c r="Y267" i="1"/>
  <c r="F299" i="1"/>
  <c r="BC267" i="1"/>
  <c r="F288" i="1"/>
  <c r="AP26" i="1"/>
  <c r="F192" i="1"/>
  <c r="AP302" i="1"/>
  <c r="CP217" i="1"/>
  <c r="O217" i="1" s="1"/>
  <c r="AG215" i="1"/>
  <c r="T235" i="1"/>
  <c r="F293" i="1"/>
  <c r="T267" i="1"/>
  <c r="CB267" i="1"/>
  <c r="AS272" i="1"/>
  <c r="AQ267" i="1"/>
  <c r="F282" i="1"/>
  <c r="CI267" i="1"/>
  <c r="AZ272" i="1"/>
  <c r="AL235" i="1"/>
  <c r="U235" i="1"/>
  <c r="AH215" i="1"/>
  <c r="AE235" i="1"/>
  <c r="BA235" i="1"/>
  <c r="CJ215" i="1"/>
  <c r="CI215" i="1"/>
  <c r="AZ235" i="1"/>
  <c r="CH267" i="1"/>
  <c r="AY272" i="1"/>
  <c r="CE267" i="1"/>
  <c r="AV272" i="1"/>
  <c r="AD26" i="1" l="1"/>
  <c r="Q183" i="1"/>
  <c r="AE26" i="1"/>
  <c r="R183" i="1"/>
  <c r="AH26" i="1"/>
  <c r="U183" i="1"/>
  <c r="AG26" i="1"/>
  <c r="T183" i="1"/>
  <c r="F277" i="1"/>
  <c r="AV267" i="1"/>
  <c r="AY267" i="1"/>
  <c r="F280" i="1"/>
  <c r="AZ215" i="1"/>
  <c r="F246" i="1"/>
  <c r="GM217" i="1"/>
  <c r="GO217" i="1"/>
  <c r="CC235" i="1" s="1"/>
  <c r="AB235" i="1"/>
  <c r="Q235" i="1"/>
  <c r="AD215" i="1"/>
  <c r="CY176" i="1"/>
  <c r="X176" i="1" s="1"/>
  <c r="CZ176" i="1"/>
  <c r="Y176" i="1" s="1"/>
  <c r="CY172" i="1"/>
  <c r="X172" i="1" s="1"/>
  <c r="GM172" i="1" s="1"/>
  <c r="CZ172" i="1"/>
  <c r="Y172" i="1" s="1"/>
  <c r="CY156" i="1"/>
  <c r="X156" i="1" s="1"/>
  <c r="GM156" i="1" s="1"/>
  <c r="CZ156" i="1"/>
  <c r="Y156" i="1" s="1"/>
  <c r="CY140" i="1"/>
  <c r="X140" i="1" s="1"/>
  <c r="CZ140" i="1"/>
  <c r="Y140" i="1" s="1"/>
  <c r="AU22" i="1"/>
  <c r="F321" i="1"/>
  <c r="AU332" i="1"/>
  <c r="CY118" i="1"/>
  <c r="X118" i="1" s="1"/>
  <c r="CZ118" i="1"/>
  <c r="Y118" i="1" s="1"/>
  <c r="GM100" i="1"/>
  <c r="GN100" i="1"/>
  <c r="CP140" i="1"/>
  <c r="O140" i="1" s="1"/>
  <c r="CP128" i="1"/>
  <c r="O128" i="1" s="1"/>
  <c r="CP122" i="1"/>
  <c r="O122" i="1" s="1"/>
  <c r="GM74" i="1"/>
  <c r="GN74" i="1"/>
  <c r="AI183" i="1"/>
  <c r="AJ183" i="1"/>
  <c r="CJ183" i="1"/>
  <c r="AC183" i="1"/>
  <c r="W215" i="1"/>
  <c r="F259" i="1"/>
  <c r="CM267" i="1"/>
  <c r="BD272" i="1"/>
  <c r="AZ26" i="1"/>
  <c r="F194" i="1"/>
  <c r="AZ302" i="1"/>
  <c r="GM232" i="1"/>
  <c r="GM228" i="1"/>
  <c r="GM222" i="1"/>
  <c r="GM180" i="1"/>
  <c r="GN180" i="1"/>
  <c r="AQ22" i="1"/>
  <c r="AQ332" i="1"/>
  <c r="F312" i="1"/>
  <c r="CY170" i="1"/>
  <c r="X170" i="1" s="1"/>
  <c r="CZ170" i="1"/>
  <c r="Y170" i="1" s="1"/>
  <c r="CY154" i="1"/>
  <c r="X154" i="1" s="1"/>
  <c r="CZ154" i="1"/>
  <c r="Y154" i="1" s="1"/>
  <c r="CY138" i="1"/>
  <c r="X138" i="1" s="1"/>
  <c r="GM138" i="1" s="1"/>
  <c r="CZ138" i="1"/>
  <c r="Y138" i="1" s="1"/>
  <c r="CY116" i="1"/>
  <c r="X116" i="1" s="1"/>
  <c r="GO116" i="1" s="1"/>
  <c r="CZ116" i="1"/>
  <c r="Y116" i="1" s="1"/>
  <c r="GN178" i="1"/>
  <c r="GM174" i="1"/>
  <c r="GO162" i="1"/>
  <c r="GO160" i="1"/>
  <c r="GM148" i="1"/>
  <c r="GM146" i="1"/>
  <c r="GM144" i="1"/>
  <c r="GM110" i="1"/>
  <c r="GM106" i="1"/>
  <c r="CY104" i="1"/>
  <c r="X104" i="1" s="1"/>
  <c r="GM104" i="1" s="1"/>
  <c r="CZ104" i="1"/>
  <c r="Y104" i="1" s="1"/>
  <c r="GM78" i="1"/>
  <c r="GN78" i="1"/>
  <c r="CP62" i="1"/>
  <c r="O62" i="1" s="1"/>
  <c r="GN86" i="1"/>
  <c r="GN82" i="1"/>
  <c r="GO64" i="1"/>
  <c r="AS235" i="1"/>
  <c r="CB215" i="1"/>
  <c r="AE215" i="1"/>
  <c r="R235" i="1"/>
  <c r="U215" i="1"/>
  <c r="F257" i="1"/>
  <c r="F283" i="1"/>
  <c r="AZ267" i="1"/>
  <c r="AS267" i="1"/>
  <c r="F289" i="1"/>
  <c r="T215" i="1"/>
  <c r="F256" i="1"/>
  <c r="AX215" i="1"/>
  <c r="F242" i="1"/>
  <c r="BA215" i="1"/>
  <c r="F255" i="1"/>
  <c r="Y235" i="1"/>
  <c r="AL215" i="1"/>
  <c r="AP22" i="1"/>
  <c r="F311" i="1"/>
  <c r="G16" i="2" s="1"/>
  <c r="G18" i="2" s="1"/>
  <c r="AP332" i="1"/>
  <c r="BB22" i="1"/>
  <c r="F315" i="1"/>
  <c r="BB332" i="1"/>
  <c r="CY168" i="1"/>
  <c r="X168" i="1" s="1"/>
  <c r="GM168" i="1" s="1"/>
  <c r="CZ168" i="1"/>
  <c r="Y168" i="1" s="1"/>
  <c r="CY152" i="1"/>
  <c r="X152" i="1" s="1"/>
  <c r="GM152" i="1" s="1"/>
  <c r="CZ152" i="1"/>
  <c r="Y152" i="1" s="1"/>
  <c r="CY128" i="1"/>
  <c r="X128" i="1" s="1"/>
  <c r="CZ128" i="1"/>
  <c r="Y128" i="1" s="1"/>
  <c r="CY120" i="1"/>
  <c r="X120" i="1" s="1"/>
  <c r="GM120" i="1" s="1"/>
  <c r="CZ120" i="1"/>
  <c r="Y120" i="1" s="1"/>
  <c r="CY122" i="1"/>
  <c r="X122" i="1" s="1"/>
  <c r="CZ122" i="1"/>
  <c r="Y122" i="1" s="1"/>
  <c r="CY114" i="1"/>
  <c r="X114" i="1" s="1"/>
  <c r="CZ114" i="1"/>
  <c r="Y114" i="1" s="1"/>
  <c r="GM112" i="1"/>
  <c r="GO112" i="1"/>
  <c r="CP176" i="1"/>
  <c r="O176" i="1" s="1"/>
  <c r="CP170" i="1"/>
  <c r="O170" i="1" s="1"/>
  <c r="CP158" i="1"/>
  <c r="O158" i="1" s="1"/>
  <c r="CP154" i="1"/>
  <c r="O154" i="1" s="1"/>
  <c r="CP150" i="1"/>
  <c r="O150" i="1" s="1"/>
  <c r="GM66" i="1"/>
  <c r="GN66" i="1"/>
  <c r="GM56" i="1"/>
  <c r="GN56" i="1"/>
  <c r="CY62" i="1"/>
  <c r="X62" i="1" s="1"/>
  <c r="AK183" i="1" s="1"/>
  <c r="CZ62" i="1"/>
  <c r="Y62" i="1" s="1"/>
  <c r="AL183" i="1" s="1"/>
  <c r="AF183" i="1"/>
  <c r="GM30" i="1"/>
  <c r="GO30" i="1"/>
  <c r="GN43" i="1"/>
  <c r="GM43" i="1"/>
  <c r="AW267" i="1"/>
  <c r="F278" i="1"/>
  <c r="V215" i="1"/>
  <c r="F258" i="1"/>
  <c r="AK235" i="1"/>
  <c r="S215" i="1"/>
  <c r="F250" i="1"/>
  <c r="F279" i="1"/>
  <c r="AX267" i="1"/>
  <c r="CA267" i="1"/>
  <c r="AR272" i="1"/>
  <c r="AC215" i="1"/>
  <c r="CF235" i="1"/>
  <c r="CH235" i="1"/>
  <c r="P235" i="1"/>
  <c r="CE235" i="1"/>
  <c r="AX26" i="1"/>
  <c r="F190" i="1"/>
  <c r="AX302" i="1"/>
  <c r="AO22" i="1"/>
  <c r="AO332" i="1"/>
  <c r="F306" i="1"/>
  <c r="BC22" i="1"/>
  <c r="F318" i="1"/>
  <c r="BC332" i="1"/>
  <c r="CY158" i="1"/>
  <c r="X158" i="1" s="1"/>
  <c r="CZ158" i="1"/>
  <c r="Y158" i="1" s="1"/>
  <c r="CY150" i="1"/>
  <c r="X150" i="1" s="1"/>
  <c r="CZ150" i="1"/>
  <c r="Y150" i="1" s="1"/>
  <c r="CY126" i="1"/>
  <c r="X126" i="1" s="1"/>
  <c r="GM126" i="1" s="1"/>
  <c r="CZ126" i="1"/>
  <c r="Y126" i="1" s="1"/>
  <c r="CP118" i="1"/>
  <c r="O118" i="1" s="1"/>
  <c r="CP114" i="1"/>
  <c r="O114" i="1" s="1"/>
  <c r="GM108" i="1"/>
  <c r="GO108" i="1"/>
  <c r="CY102" i="1"/>
  <c r="X102" i="1" s="1"/>
  <c r="GM102" i="1" s="1"/>
  <c r="CZ102" i="1"/>
  <c r="Y102" i="1" s="1"/>
  <c r="GM70" i="1"/>
  <c r="GN70" i="1"/>
  <c r="GM60" i="1"/>
  <c r="GN60" i="1"/>
  <c r="AL26" i="1" l="1"/>
  <c r="Y183" i="1"/>
  <c r="AK26" i="1"/>
  <c r="X183" i="1"/>
  <c r="GM118" i="1"/>
  <c r="GO118" i="1"/>
  <c r="AF26" i="1"/>
  <c r="S183" i="1"/>
  <c r="GM154" i="1"/>
  <c r="GO154" i="1"/>
  <c r="GM170" i="1"/>
  <c r="GO170" i="1"/>
  <c r="GN102" i="1"/>
  <c r="BB18" i="1"/>
  <c r="F345" i="1"/>
  <c r="F249" i="1"/>
  <c r="R215" i="1"/>
  <c r="GM116" i="1"/>
  <c r="AQ18" i="1"/>
  <c r="F342" i="1"/>
  <c r="BD267" i="1"/>
  <c r="F297" i="1"/>
  <c r="BD302" i="1"/>
  <c r="CJ26" i="1"/>
  <c r="BA183" i="1"/>
  <c r="AI26" i="1"/>
  <c r="V183" i="1"/>
  <c r="GM128" i="1"/>
  <c r="GN128" i="1"/>
  <c r="GN104" i="1"/>
  <c r="AU18" i="1"/>
  <c r="F351" i="1"/>
  <c r="Q215" i="1"/>
  <c r="F247" i="1"/>
  <c r="CC215" i="1"/>
  <c r="AT235" i="1"/>
  <c r="T26" i="1"/>
  <c r="T302" i="1"/>
  <c r="F204" i="1"/>
  <c r="U26" i="1"/>
  <c r="F205" i="1"/>
  <c r="U302" i="1"/>
  <c r="GO152" i="1"/>
  <c r="GO168" i="1"/>
  <c r="R26" i="1"/>
  <c r="F197" i="1"/>
  <c r="R302" i="1"/>
  <c r="GO120" i="1"/>
  <c r="GO156" i="1"/>
  <c r="GO172" i="1"/>
  <c r="Q26" i="1"/>
  <c r="F195" i="1"/>
  <c r="Q302" i="1"/>
  <c r="GN126" i="1"/>
  <c r="GN138" i="1"/>
  <c r="CE215" i="1"/>
  <c r="AV235" i="1"/>
  <c r="AY235" i="1"/>
  <c r="CH215" i="1"/>
  <c r="GM114" i="1"/>
  <c r="GO114" i="1"/>
  <c r="CC183" i="1" s="1"/>
  <c r="BC18" i="1"/>
  <c r="F348" i="1"/>
  <c r="AO18" i="1"/>
  <c r="F336" i="1"/>
  <c r="AX22" i="1"/>
  <c r="AX332" i="1"/>
  <c r="F309" i="1"/>
  <c r="P215" i="1"/>
  <c r="F238" i="1"/>
  <c r="AW235" i="1"/>
  <c r="CF215" i="1"/>
  <c r="AR267" i="1"/>
  <c r="F300" i="1"/>
  <c r="AK215" i="1"/>
  <c r="X235" i="1"/>
  <c r="AB183" i="1"/>
  <c r="GM150" i="1"/>
  <c r="GO150" i="1"/>
  <c r="GM158" i="1"/>
  <c r="GO158" i="1"/>
  <c r="GM176" i="1"/>
  <c r="GN176" i="1"/>
  <c r="AP18" i="1"/>
  <c r="F341" i="1"/>
  <c r="Y215" i="1"/>
  <c r="F262" i="1"/>
  <c r="AS215" i="1"/>
  <c r="F252" i="1"/>
  <c r="GM62" i="1"/>
  <c r="CA183" i="1" s="1"/>
  <c r="GN62" i="1"/>
  <c r="CB183" i="1" s="1"/>
  <c r="AZ22" i="1"/>
  <c r="F313" i="1"/>
  <c r="AZ332" i="1"/>
  <c r="AC26" i="1"/>
  <c r="P183" i="1"/>
  <c r="CF183" i="1"/>
  <c r="CH183" i="1"/>
  <c r="CE183" i="1"/>
  <c r="AJ26" i="1"/>
  <c r="W183" i="1"/>
  <c r="GM122" i="1"/>
  <c r="GO122" i="1"/>
  <c r="GM140" i="1"/>
  <c r="GN140" i="1"/>
  <c r="O235" i="1"/>
  <c r="AB215" i="1"/>
  <c r="CA235" i="1"/>
  <c r="CA26" i="1" l="1"/>
  <c r="AR183" i="1"/>
  <c r="CC26" i="1"/>
  <c r="AT183" i="1"/>
  <c r="CA215" i="1"/>
  <c r="AR235" i="1"/>
  <c r="O215" i="1"/>
  <c r="F237" i="1"/>
  <c r="W26" i="1"/>
  <c r="F207" i="1"/>
  <c r="W302" i="1"/>
  <c r="CE26" i="1"/>
  <c r="AV183" i="1"/>
  <c r="CF26" i="1"/>
  <c r="AW183" i="1"/>
  <c r="CH26" i="1"/>
  <c r="AY183" i="1"/>
  <c r="P26" i="1"/>
  <c r="P302" i="1"/>
  <c r="F186" i="1"/>
  <c r="AZ18" i="1"/>
  <c r="F343" i="1"/>
  <c r="F261" i="1"/>
  <c r="X215" i="1"/>
  <c r="AY215" i="1"/>
  <c r="F243" i="1"/>
  <c r="U22" i="1"/>
  <c r="U332" i="1"/>
  <c r="F324" i="1"/>
  <c r="T22" i="1"/>
  <c r="F323" i="1"/>
  <c r="T332" i="1"/>
  <c r="F253" i="1"/>
  <c r="AT215" i="1"/>
  <c r="S26" i="1"/>
  <c r="F198" i="1"/>
  <c r="S302" i="1"/>
  <c r="X26" i="1"/>
  <c r="F209" i="1"/>
  <c r="X302" i="1"/>
  <c r="CB26" i="1"/>
  <c r="AS183" i="1"/>
  <c r="AB26" i="1"/>
  <c r="O183" i="1"/>
  <c r="AW215" i="1"/>
  <c r="F241" i="1"/>
  <c r="AX18" i="1"/>
  <c r="F339" i="1"/>
  <c r="AV215" i="1"/>
  <c r="F240" i="1"/>
  <c r="Q22" i="1"/>
  <c r="F314" i="1"/>
  <c r="Q332" i="1"/>
  <c r="R22" i="1"/>
  <c r="R332" i="1"/>
  <c r="F316" i="1"/>
  <c r="V26" i="1"/>
  <c r="V302" i="1"/>
  <c r="F206" i="1"/>
  <c r="BA26" i="1"/>
  <c r="F203" i="1"/>
  <c r="BA302" i="1"/>
  <c r="BD22" i="1"/>
  <c r="BD332" i="1"/>
  <c r="F327" i="1"/>
  <c r="Y26" i="1"/>
  <c r="F210" i="1"/>
  <c r="Y302" i="1"/>
  <c r="Y22" i="1" l="1"/>
  <c r="Y332" i="1"/>
  <c r="F329" i="1"/>
  <c r="BA22" i="1"/>
  <c r="F322" i="1"/>
  <c r="H16" i="2" s="1"/>
  <c r="H18" i="2" s="1"/>
  <c r="BA332" i="1"/>
  <c r="V22" i="1"/>
  <c r="F325" i="1"/>
  <c r="V332" i="1"/>
  <c r="O26" i="1"/>
  <c r="F185" i="1"/>
  <c r="O302" i="1"/>
  <c r="AS26" i="1"/>
  <c r="F200" i="1"/>
  <c r="AS302" i="1"/>
  <c r="X22" i="1"/>
  <c r="F328" i="1"/>
  <c r="X332" i="1"/>
  <c r="T18" i="1"/>
  <c r="F353" i="1"/>
  <c r="U18" i="1"/>
  <c r="F354" i="1"/>
  <c r="F263" i="1"/>
  <c r="AR215" i="1"/>
  <c r="AT26" i="1"/>
  <c r="F201" i="1"/>
  <c r="AT302" i="1"/>
  <c r="AR26" i="1"/>
  <c r="F211" i="1"/>
  <c r="AR302" i="1"/>
  <c r="BD18" i="1"/>
  <c r="F357" i="1"/>
  <c r="R18" i="1"/>
  <c r="F346" i="1"/>
  <c r="Q18" i="1"/>
  <c r="F344" i="1"/>
  <c r="S22" i="1"/>
  <c r="S332" i="1"/>
  <c r="F317" i="1"/>
  <c r="J16" i="2" s="1"/>
  <c r="J18" i="2" s="1"/>
  <c r="P22" i="1"/>
  <c r="F305" i="1"/>
  <c r="P332" i="1"/>
  <c r="AY26" i="1"/>
  <c r="F191" i="1"/>
  <c r="AY302" i="1"/>
  <c r="AW26" i="1"/>
  <c r="F189" i="1"/>
  <c r="AW302" i="1"/>
  <c r="AV26" i="1"/>
  <c r="F188" i="1"/>
  <c r="AV302" i="1"/>
  <c r="W22" i="1"/>
  <c r="W332" i="1"/>
  <c r="F326" i="1"/>
  <c r="W18" i="1" l="1"/>
  <c r="F356" i="1"/>
  <c r="AW22" i="1"/>
  <c r="F308" i="1"/>
  <c r="AW332" i="1"/>
  <c r="P18" i="1"/>
  <c r="F335" i="1"/>
  <c r="S18" i="1"/>
  <c r="F347" i="1"/>
  <c r="AR22" i="1"/>
  <c r="F330" i="1"/>
  <c r="AR332" i="1"/>
  <c r="X18" i="1"/>
  <c r="F358" i="1"/>
  <c r="O22" i="1"/>
  <c r="F304" i="1"/>
  <c r="O332" i="1"/>
  <c r="BA18" i="1"/>
  <c r="F352" i="1"/>
  <c r="Y18" i="1"/>
  <c r="F359" i="1"/>
  <c r="AV22" i="1"/>
  <c r="F307" i="1"/>
  <c r="AV332" i="1"/>
  <c r="AY22" i="1"/>
  <c r="AY332" i="1"/>
  <c r="F310" i="1"/>
  <c r="AT22" i="1"/>
  <c r="AT332" i="1"/>
  <c r="F320" i="1"/>
  <c r="F16" i="2" s="1"/>
  <c r="F18" i="2" s="1"/>
  <c r="AS22" i="1"/>
  <c r="F319" i="1"/>
  <c r="E16" i="2" s="1"/>
  <c r="AS332" i="1"/>
  <c r="V18" i="1"/>
  <c r="F355" i="1"/>
  <c r="AY18" i="1" l="1"/>
  <c r="F340" i="1"/>
  <c r="AV18" i="1"/>
  <c r="F337" i="1"/>
  <c r="AR18" i="1"/>
  <c r="F360" i="1"/>
  <c r="F361" i="1" s="1"/>
  <c r="I16" i="2"/>
  <c r="I18" i="2" s="1"/>
  <c r="E18" i="2"/>
  <c r="AS18" i="1"/>
  <c r="F349" i="1"/>
  <c r="AT18" i="1"/>
  <c r="F350" i="1"/>
  <c r="O18" i="1"/>
  <c r="F334" i="1"/>
  <c r="AW18" i="1"/>
  <c r="F338" i="1"/>
  <c r="F362" i="1" l="1"/>
  <c r="F363" i="1"/>
  <c r="F364" i="1" l="1"/>
  <c r="F365" i="1" s="1"/>
</calcChain>
</file>

<file path=xl/sharedStrings.xml><?xml version="1.0" encoding="utf-8"?>
<sst xmlns="http://schemas.openxmlformats.org/spreadsheetml/2006/main" count="16357" uniqueCount="1480">
  <si>
    <t>Smeta.RU  (495) 974-1589</t>
  </si>
  <si>
    <t>_PS_</t>
  </si>
  <si>
    <t>Smeta.RU</t>
  </si>
  <si>
    <t/>
  </si>
  <si>
    <t>ДС, 115582, г. Москва, Шипиловский проезд, дом 59, к.2, стр.2</t>
  </si>
  <si>
    <t>Сметные нормы списания</t>
  </si>
  <si>
    <t>Коды ценников</t>
  </si>
  <si>
    <t>ФЕР-2020 И4</t>
  </si>
  <si>
    <t>ТР для Версии 11: Центральные регионы (с уч. п-ма 2536-ИП/12/ГС от 27.11.12, 01/57049-ЮЛ от 27.04.2018) от 27.04.2020 г</t>
  </si>
  <si>
    <t>ФЕР-2020 - изменения И4</t>
  </si>
  <si>
    <t>Поправки для ГСН (ФЕР) 2020 от 20.10.2020 г И4 Капитальный ремонт</t>
  </si>
  <si>
    <t>Новая локальная смета</t>
  </si>
  <si>
    <t>Новый раздел</t>
  </si>
  <si>
    <t>Общестроительные работы</t>
  </si>
  <si>
    <t>Демонтажные работы</t>
  </si>
  <si>
    <t>1</t>
  </si>
  <si>
    <t>м08-03-593-10</t>
  </si>
  <si>
    <t>Демонтаж табличек "Выход" с сохранением</t>
  </si>
  <si>
    <t>100 ШТ</t>
  </si>
  <si>
    <t>ФЕРм-2001, м08-03-593-10, приказ Минстроя России № 876/пр от 26.12.2019</t>
  </si>
  <si>
    <t>)*0</t>
  </si>
  <si>
    <t>)*1,35)*0,6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</si>
  <si>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</si>
  <si>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</si>
  <si>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</si>
  <si>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Мет.421/пр 04.08.20 Пр.10 Т.3 п. 1.2  Поправка: МР 519/пр Табл.3, п.2</t>
  </si>
  <si>
    <t>2</t>
  </si>
  <si>
    <t>м10-08-002-04</t>
  </si>
  <si>
    <t>Демонтаж датчиков охранных с сохранением для последующего монтажа</t>
  </si>
  <si>
    <t>ШТ</t>
  </si>
  <si>
    <t>ФЕРм-2001, м10-08-002-04, приказ Минстроя России № 876/пр от 26.12.2019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</si>
  <si>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</si>
  <si>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мФЕР-10</t>
  </si>
  <si>
    <t>3</t>
  </si>
  <si>
    <t>65-30-3</t>
  </si>
  <si>
    <t>Разборка воздуховодов из листовой стали толщиной: до 0,9 мм диаметром/периметром до 495 мм /1550 мм</t>
  </si>
  <si>
    <t>100 м2</t>
  </si>
  <si>
    <t>ФЕРр-2001, 65-30-3, приказ Минстроя России № 876/пр от 26.12.2019</t>
  </si>
  <si>
    <t>)*1,15</t>
  </si>
  <si>
    <t>Ремонтно-строительные работы</t>
  </si>
  <si>
    <t>Внтуренниие с/техработы:  демонтаж, разборка, промывка</t>
  </si>
  <si>
    <t>рФЕР-65</t>
  </si>
  <si>
    <t>Поправка: Мет.421/пр 04.08.20 Пр.10 Т.3 п. 1.2</t>
  </si>
  <si>
    <t>4</t>
  </si>
  <si>
    <t>09-04-012-01</t>
  </si>
  <si>
    <t>Демонтаж входной группы металлической</t>
  </si>
  <si>
    <t>м2</t>
  </si>
  <si>
    <t>ФЕР-2001, 09-04-012-01, приказ Минстроя России № 876/пр от 26.12.2019</t>
  </si>
  <si>
    <t>)*1,35)*0,7</t>
  </si>
  <si>
    <t>Металлические конструкции</t>
  </si>
  <si>
    <t>ФЕР-09</t>
  </si>
  <si>
    <t>Поправка: Мет.421/пр 04.08.20 Пр.10 Т.3 п. 1.2  Поправка: Прил. 9.3, п.5</t>
  </si>
  <si>
    <t>*0,9</t>
  </si>
  <si>
    <t>*0,85</t>
  </si>
  <si>
    <t>5</t>
  </si>
  <si>
    <t>09-03-046-03</t>
  </si>
  <si>
    <t>Демонтаж металлического тамбура с остеклением</t>
  </si>
  <si>
    <t>ФЕР-2001, 09-03-046-03, приказ Минстроя России № 876/пр от 26.12.2019</t>
  </si>
  <si>
    <t>6</t>
  </si>
  <si>
    <t>46-04-012-03</t>
  </si>
  <si>
    <t>Разборка деревянных заполнений проемов: дверных и воротных</t>
  </si>
  <si>
    <t>ФЕР-2001, 46-04-012-03, приказ Минстроя России № 876/пр от 26.12.2019</t>
  </si>
  <si>
    <t>Реконструкция зданий и сооружений</t>
  </si>
  <si>
    <t>ФЕР-46</t>
  </si>
  <si>
    <t>7</t>
  </si>
  <si>
    <t>46-04-011-02</t>
  </si>
  <si>
    <t>Демонтаж плитки бетонной напольной (в тамбуре)</t>
  </si>
  <si>
    <t>ФЕР-2001, 46-04-011-02, приказ Минстроя России № 876/пр от 26.12.2019</t>
  </si>
  <si>
    <t>7,1</t>
  </si>
  <si>
    <t>999-9900</t>
  </si>
  <si>
    <t>Строительный мусор</t>
  </si>
  <si>
    <t>т</t>
  </si>
  <si>
    <t>8</t>
  </si>
  <si>
    <t>54-3-2</t>
  </si>
  <si>
    <t>Демонтаж потолка из а/ц листов</t>
  </si>
  <si>
    <t>ФЕРр-2001, 54-3-2, приказ Минстроя России № 876/пр от 26.12.2019</t>
  </si>
  <si>
    <t>Перекрытия</t>
  </si>
  <si>
    <t>рФЕР-54</t>
  </si>
  <si>
    <t>9</t>
  </si>
  <si>
    <t>63-15-1</t>
  </si>
  <si>
    <t>Разборка элементов облицовки потолков с разборкой каркаса: Армстронг</t>
  </si>
  <si>
    <t>ФЕРр-2001, 63-15-1, приказ Минстроя России № 876/пр от 26.12.2019</t>
  </si>
  <si>
    <t>Стекольные, обойные, облицовочные работы</t>
  </si>
  <si>
    <t>рФЕР-63</t>
  </si>
  <si>
    <t>9,1</t>
  </si>
  <si>
    <t>999-9899</t>
  </si>
  <si>
    <t>Строительный мусор и масса возвратных материалов</t>
  </si>
  <si>
    <t>10</t>
  </si>
  <si>
    <t>57-3-1</t>
  </si>
  <si>
    <t>Разборка плинтусов: деревянных и из пластмассовых материалов</t>
  </si>
  <si>
    <t>100 м</t>
  </si>
  <si>
    <t>ФЕРр-2001, 57-3-1 приказ Минстроя России № 876/пр от 26.12.2019</t>
  </si>
  <si>
    <t>Полы</t>
  </si>
  <si>
    <t>рФЕР-57</t>
  </si>
  <si>
    <t>10,1</t>
  </si>
  <si>
    <t>11</t>
  </si>
  <si>
    <t>67-2-11</t>
  </si>
  <si>
    <t>Демонтаж кабельных каналов</t>
  </si>
  <si>
    <t>100 м труб</t>
  </si>
  <si>
    <t>ФЕРр-2001, 67-2-11, приказ Минстроя России № 876/пр от 26.12.2019</t>
  </si>
  <si>
    <t>Электромонтажные работы</t>
  </si>
  <si>
    <t>рФЕР-67</t>
  </si>
  <si>
    <t>12</t>
  </si>
  <si>
    <t>27-07-003-01</t>
  </si>
  <si>
    <t>Демонтаж бетонной плитки (площадка и ступени у входа)</t>
  </si>
  <si>
    <t>ФЕР-2001, 27-07-003-01, приказ Минстроя России № 876/пр от 26.12.2019</t>
  </si>
  <si>
    <t>)*1,35)*0,8</t>
  </si>
  <si>
    <t>Автомобильные дороги</t>
  </si>
  <si>
    <t>ФЕР-27</t>
  </si>
  <si>
    <t>Поправка: Мет.421/пр 04.08.20 Пр.10 Т.3 п. 1.2  Поправка: МР 519/пр Табл.2, п.1</t>
  </si>
  <si>
    <t>13</t>
  </si>
  <si>
    <t>46-04-003-01</t>
  </si>
  <si>
    <t>Демонтаж площадки, ступеней и пандуса из асфальтобетона</t>
  </si>
  <si>
    <t>м3</t>
  </si>
  <si>
    <t>ФЕР-2001, 46-04-003-01, приказ Минстроя России № 876/пр от 26.12.2019</t>
  </si>
  <si>
    <t>14</t>
  </si>
  <si>
    <t>09-03-030-01</t>
  </si>
  <si>
    <t>Демонтаж ограждения площадки из эл. сварн. трубы 20х20 мм</t>
  </si>
  <si>
    <t>ФЕР-2001, 09-03-030-01, приказ Минстроя России № 876/пр от 26.12.2019</t>
  </si>
  <si>
    <t>15</t>
  </si>
  <si>
    <t>09-05-016-01</t>
  </si>
  <si>
    <t>Демонтаж почтового ящика с сохранением</t>
  </si>
  <si>
    <t>ФЕР-2001 доп. 2, 09-05-016-01, приказ Минстроя России № 294/пр от 01.06.2020</t>
  </si>
  <si>
    <t>16</t>
  </si>
  <si>
    <t>09-05-014-01</t>
  </si>
  <si>
    <t>Демонтаж вывески ПВХ (информационной) с сохранением</t>
  </si>
  <si>
    <t>ФЕР-2001 доп. 1, 09-05-014-01, приказ Минстроя России № 172/пр от 30.03.2020</t>
  </si>
  <si>
    <t>17</t>
  </si>
  <si>
    <t>09-03-039-05</t>
  </si>
  <si>
    <t>Демонтаж урн с сохранением</t>
  </si>
  <si>
    <t>ФЕР-2001, 09-03-039-05, приказ Минстроя России № 876/пр от 26.12.2019</t>
  </si>
  <si>
    <t>18</t>
  </si>
  <si>
    <t>09-04-012-02</t>
  </si>
  <si>
    <t>Демонтаж доводчиков дверных</t>
  </si>
  <si>
    <t>ФЕР-2001, 09-04-012-02, приказ Минстроя России № 876/пр от 26.12.2019</t>
  </si>
  <si>
    <t>19</t>
  </si>
  <si>
    <t>68-12-4</t>
  </si>
  <si>
    <t>Разборка асфальтового покрытия толщиной 50 мм с резкой - 9  м.п. (под площадку входа и тактильную плитку)</t>
  </si>
  <si>
    <t>100 м3</t>
  </si>
  <si>
    <t>ФЕРр-2001, 68-12-4, приказ Минстроя России № 876/пр от 26.12.2019</t>
  </si>
  <si>
    <t>Благоустройство</t>
  </si>
  <si>
    <t>рФЕР-68</t>
  </si>
  <si>
    <t>20</t>
  </si>
  <si>
    <t>01-02-057-02</t>
  </si>
  <si>
    <t>Разработка грунта вручную в траншеях глубиной до 2 м без креплений с откосами, группа грунтов: 2</t>
  </si>
  <si>
    <t>ФЕР-2001, 01-02-057-02, приказ Минстроя России № 876/пр от 26.12.2019</t>
  </si>
  <si>
    <t>)*1,25)*1,35</t>
  </si>
  <si>
    <t>)*1,15)*1,35</t>
  </si>
  <si>
    <t>Земляные работы, выполняемые  ручным способом</t>
  </si>
  <si>
    <t>ФЕР-01</t>
  </si>
  <si>
    <t>Поправка: М-ка 421/пр 04.08.20 п.58 п.п. б)  Поправка: Мет.421/пр 04.08.20 Пр.10 Т.3 п. 1.2</t>
  </si>
  <si>
    <t>21</t>
  </si>
  <si>
    <t>10-06-032-01</t>
  </si>
  <si>
    <t>Устройство перегородок из гипсоволокнистых листов (ГВЛв) с одинарным металлическим каркасом и двухслойной обшивкой с обеих сторон</t>
  </si>
  <si>
    <t>ФЕР-2001, 10-06-032-01, приказ Минстроя России № 876/пр от 26.12.2019</t>
  </si>
  <si>
    <t>Деревянные конструкции</t>
  </si>
  <si>
    <t>ФЕР-10</t>
  </si>
  <si>
    <t>21,1</t>
  </si>
  <si>
    <t>12.2.05.05-0009</t>
  </si>
  <si>
    <t>Плиты теплоизоляционные минераловатные на синтетическом связующем, толщиной 60 мм</t>
  </si>
  <si>
    <t>КТЦ (Стройинформресурс) к ФЕР-2020, 12.2.05.05-0009</t>
  </si>
  <si>
    <t>22</t>
  </si>
  <si>
    <t>15-02-019-03</t>
  </si>
  <si>
    <t>Сплошное выравнивание внутренних поверхностей (однослойное оштукатуривание) из сухих растворных смесей толщиной до 10 мм: стен</t>
  </si>
  <si>
    <t>ФЕР-2001, 15-02-019-03, приказ Минстроя России № 876/пр от 26.12.2019</t>
  </si>
  <si>
    <t>Отделочные работы</t>
  </si>
  <si>
    <t>ФЕР-15</t>
  </si>
  <si>
    <t>22,1</t>
  </si>
  <si>
    <t>04.3.02.09-1015</t>
  </si>
  <si>
    <t>Смеси сухие штукатурно-клеевые на цементной основе для наружных и внутренних работ, фракции 1,5 м</t>
  </si>
  <si>
    <t>кг</t>
  </si>
  <si>
    <t>КТЦ (Стройинформресурс) к ФЕР-2020, 04.3.02.09-1015</t>
  </si>
  <si>
    <t>22,2</t>
  </si>
  <si>
    <t>14.4.01.02-0011</t>
  </si>
  <si>
    <t>л</t>
  </si>
  <si>
    <t>ФССЦ-2001, 14.4.01.02-0011, приказ Минстроя России № 876/пр от 26.12.2019</t>
  </si>
  <si>
    <t>23</t>
  </si>
  <si>
    <t>15-04-007-03</t>
  </si>
  <si>
    <t>Окраска водно-дисперсионными акриловыми составами улучшенная: по сборным конструкциям стен, подготовленным под окраску</t>
  </si>
  <si>
    <t>ФЕР-2001, 15-04-007-03, приказ Минстроя России № 876/пр от 26.12.2019</t>
  </si>
  <si>
    <t>23,1</t>
  </si>
  <si>
    <t>14.3.02.01-0005</t>
  </si>
  <si>
    <t>КТЦ (Стройинформресурс) к ФЕР-2020, 14.3.02.01-0005</t>
  </si>
  <si>
    <t>23,2</t>
  </si>
  <si>
    <t>24</t>
  </si>
  <si>
    <t>15-01-047-15</t>
  </si>
  <si>
    <t>Устройство потолка подвесного кассетного Армстронг алюминиевого с перфорацией, 600х600 мм, белый матовый</t>
  </si>
  <si>
    <t>ФЕР-2001 доп.4, 15-01-047-15, приказ Минстроя России № 636/пр от 20.10.2020</t>
  </si>
  <si>
    <t>24,1</t>
  </si>
  <si>
    <t>09.2.01.04-3025</t>
  </si>
  <si>
    <t>Панель потолочная металлическая: белая алюминиевая перфорированная с белой подвесной системой</t>
  </si>
  <si>
    <t>КТЦ (Стройинформресурс) к ФЕР-2020, 09.2.01.04-3025</t>
  </si>
  <si>
    <t>24,2</t>
  </si>
  <si>
    <t>01.6.04.02-0011</t>
  </si>
  <si>
    <t>Панели потолочные с комплектующими</t>
  </si>
  <si>
    <t>ФССЦ-2001, 01.6.04.02-0011, приказ Минстроя России № 876/пр от 26.12.2019</t>
  </si>
  <si>
    <t>25</t>
  </si>
  <si>
    <t>м08-03-593-19</t>
  </si>
  <si>
    <t>Светильник в подвесных потолках/Монтаж</t>
  </si>
  <si>
    <t>ФЕРм-2001, м08-03-593-19, приказ Минстроя России № 876/пр от 26.12.2019</t>
  </si>
  <si>
    <t>)*1,35</t>
  </si>
  <si>
    <t>25,1</t>
  </si>
  <si>
    <t>20.3.03.04-3127</t>
  </si>
  <si>
    <t>Светильник светодиодный 595х595мм, универсальный (встраиваемый/накладной), рассеиватель - призма, цвет свечения - холодный 4000К, защита от пыли и влаги не менее IP40, мощность 36W, световой поток не менее 110Лм на 1W мощности)</t>
  </si>
  <si>
    <t>КТЦ (Стройинформресурс) к ФЕР-2020, 20.3.03.04-3127</t>
  </si>
  <si>
    <t>26</t>
  </si>
  <si>
    <t>57-2-4</t>
  </si>
  <si>
    <t>Устройство приямка в тамбуре  для укладки ячеистого резинового ковра</t>
  </si>
  <si>
    <t>ФЕРр-2001, 57-2-4 приказ Минстроя России № 876/пр от 26.12.2019</t>
  </si>
  <si>
    <t>26,1</t>
  </si>
  <si>
    <t>27</t>
  </si>
  <si>
    <t>10-02-001-01</t>
  </si>
  <si>
    <t>Укладка ячеистого резинового ковра (толщина 16 мм) (приямок)</t>
  </si>
  <si>
    <t>ФЕР-2001, 10-02-001-01, приказ Минстроя России № 876/пр от 26.12.2019</t>
  </si>
  <si>
    <t>27,1</t>
  </si>
  <si>
    <t>01.6.03.04-0122</t>
  </si>
  <si>
    <t>Грязезащитный входной коврик в приямок. Материал: резина; высота 16 мм; цвет: черный; структура: ячеистая</t>
  </si>
  <si>
    <t>КТЦ (Стройинформресурс) к ФЕР-2020, 01.6.03.04-0122</t>
  </si>
  <si>
    <t>28</t>
  </si>
  <si>
    <t>11-01-047-01</t>
  </si>
  <si>
    <t>Устройство покрытий из плит керамогранитных размером 30х30 см</t>
  </si>
  <si>
    <t>ФЕР-2001 доп. 1, 11-01-047-01, приказ Минстроя России № 172/пр от 30.03.2020</t>
  </si>
  <si>
    <t>ФЕР-11</t>
  </si>
  <si>
    <t>28,1</t>
  </si>
  <si>
    <t>11.2.04.05-0001</t>
  </si>
  <si>
    <t>Рейки деревянные, сечение 8x18 мм</t>
  </si>
  <si>
    <t>ФССЦ-2001, 11.2.04.05-0001, приказ Минстроя России № 876/пр от 26.12.2019</t>
  </si>
  <si>
    <t>28,2</t>
  </si>
  <si>
    <t>14.1.06.02-0001</t>
  </si>
  <si>
    <t>Клей для облицовочных работ водостойкий (сухая смесь)</t>
  </si>
  <si>
    <t>ФССЦ-2001, 14.1.06.02-0001, приказ Минстроя России № 876/пр от 26.12.2019</t>
  </si>
  <si>
    <t>28,3</t>
  </si>
  <si>
    <t>14.4.01.02-0012</t>
  </si>
  <si>
    <t>Грунтовки для бетона и штукатурки укрепляющие, глубокого проникновения, быстросохнущие, паропроницаемые</t>
  </si>
  <si>
    <t>КТЦ (Стройинформресурс) к ФЕР-2020, 14.4.01.02-0012</t>
  </si>
  <si>
    <t>28,4</t>
  </si>
  <si>
    <t>06.2.05.03-0003</t>
  </si>
  <si>
    <t>Плитка керамогранитная многоцветная неполированная, размер 400x400x9 мм</t>
  </si>
  <si>
    <t>ФССЦ-2001, 06.2.05.03-0003, приказ Минстроя России № 876/пр от 26.12.2019</t>
  </si>
  <si>
    <t>28,5</t>
  </si>
  <si>
    <t>06.2.05.03-0021</t>
  </si>
  <si>
    <t>Керамический гранит неполированный, размером 300х300 мм</t>
  </si>
  <si>
    <t>КТЦ (Стройинформресурс) к ФЕР-2020, 06.2.05.03-0021</t>
  </si>
  <si>
    <t>29</t>
  </si>
  <si>
    <t>06-01-004-06</t>
  </si>
  <si>
    <t>Устройство бетонной входной площадки с армированием</t>
  </si>
  <si>
    <t>ФЕР-2001, 06-01-004-06, приказ Минстроя России № 876/пр от 26.12.2019</t>
  </si>
  <si>
    <t>Монолитные бетонные и железобетонные конструкции в промышленном строительстве</t>
  </si>
  <si>
    <t>ФЕР-06</t>
  </si>
  <si>
    <t>29,1</t>
  </si>
  <si>
    <t>04.1.02.05-0029</t>
  </si>
  <si>
    <t>Бетоны тяжелые на щебеночном или гравийном заполнителе, марка 350 (В25), крупность заполнителя 10 мм</t>
  </si>
  <si>
    <t>КТЦ (Стройинформресурс) к ФЕР-2020, 04.1.02.05-0029</t>
  </si>
  <si>
    <t>29,2</t>
  </si>
  <si>
    <t>01.7.16.03-0022</t>
  </si>
  <si>
    <t>Опалубка деревянная: Щиты опалубки ЩД 1.20.6, размером 1200х600х172 мм</t>
  </si>
  <si>
    <t>КТЦ (Стройинформресурс) к ФЕР-2020, 01.7.16.03-0022</t>
  </si>
  <si>
    <t>29,3</t>
  </si>
  <si>
    <t>08.4.03.03-0031</t>
  </si>
  <si>
    <t>Сталь арматурная, горячекатаная, периодического профиля для изготовления арматурных изделий на строительной площадке, класс А-III (А-400), марки стали 35ГС, 25Г2С, диаметр 10 мм</t>
  </si>
  <si>
    <t>КТЦ (Стройинформресурс) к ФЕР-2020, 08.4.03.03-0031</t>
  </si>
  <si>
    <t>30</t>
  </si>
  <si>
    <t>06-01-001-01</t>
  </si>
  <si>
    <t>Устройство бетонной подготовки 50 мм</t>
  </si>
  <si>
    <t>ФЕР-2001, 06-01-001-01, приказ Минстроя России № 876/пр от 26.12.2019</t>
  </si>
  <si>
    <t>30,1</t>
  </si>
  <si>
    <t>31</t>
  </si>
  <si>
    <t>27-07-001-01</t>
  </si>
  <si>
    <t>Устройство асфальтобетонных покрытий дорожек и тротуаров однослойных из литой мелкозернистой асфальтобетонной смеси толщиной 3 см</t>
  </si>
  <si>
    <t>ФЕР-2001 доп.4, 27-07-001-01, приказ Минстроя России № 636/пр от 20.10.2020</t>
  </si>
  <si>
    <t>31,1</t>
  </si>
  <si>
    <t>04.2.01.01-0052</t>
  </si>
  <si>
    <t>Смеси асфальтобетонные плотные мелкозернистые тип В марка III</t>
  </si>
  <si>
    <t>КТЦ (Стройинформресурс) к ФЕР-2020, 04.2.01.01-0052</t>
  </si>
  <si>
    <t>32</t>
  </si>
  <si>
    <t>27-07-001-02</t>
  </si>
  <si>
    <t>На каждые 0,5 см изменения толщины покрытия добавлять к расценке 27-07-001-01 (до 5 см)</t>
  </si>
  <si>
    <t>ФЕР-2001 доп.4, 27-07-001-02, приказ Минстроя России № 636/пр от 20.10.2020</t>
  </si>
  <si>
    <t>)*1,25)*1,35*4</t>
  </si>
  <si>
    <t>)*1,15)*1,35*4</t>
  </si>
  <si>
    <t>32,1</t>
  </si>
  <si>
    <t>33</t>
  </si>
  <si>
    <t>Укладка тактильной бетонной плитки 300х300х30 мм (желтая, конусообразный риф)</t>
  </si>
  <si>
    <t>33,1</t>
  </si>
  <si>
    <t>05.2.04.07-6006</t>
  </si>
  <si>
    <t>Плитка бетонная тротуарная тактильная из высокопрочного бетона с конусообразными, продольными, диагональными, квадратными рифами 300х300х30 мм, цвет желтый</t>
  </si>
  <si>
    <t>КТЦ (Стройинформресурс) к ФЕР-2020, 05.2.04.07-6006</t>
  </si>
  <si>
    <t>34</t>
  </si>
  <si>
    <t>Укладка тротуарной плитки 300х300х30мм</t>
  </si>
  <si>
    <t>34,1</t>
  </si>
  <si>
    <t>05.2.04.04-0004</t>
  </si>
  <si>
    <t>Плиты бетонные и цементно-песчаные для тротуаров, полов и облицовки, марки 300, толщиной 35 мм</t>
  </si>
  <si>
    <t>КТЦ (Стройинформресурс) к ФЕР-2020, 05.2.04.04-0004</t>
  </si>
  <si>
    <t>35</t>
  </si>
  <si>
    <t>11-01-038-02</t>
  </si>
  <si>
    <t>Устройство покрытий из плиток тактильных (ПВХ) 300х300х7 на клее</t>
  </si>
  <si>
    <t>ФЕР-2001, 11-01-038-02, приказ Минстроя России № 876/пр от 26.12.2019</t>
  </si>
  <si>
    <t>*0</t>
  </si>
  <si>
    <t>35,1</t>
  </si>
  <si>
    <t>15.1.02.27-3033</t>
  </si>
  <si>
    <t>Травмобезопасные покрытия: Плитка тактильная поливинилхлоридная, размером 300х300х7 мм</t>
  </si>
  <si>
    <t>КТЦ (Стройинформресурс) к ФЕР-2020, 15.1.02.27-3033</t>
  </si>
  <si>
    <t>36</t>
  </si>
  <si>
    <t>27-04-001-01</t>
  </si>
  <si>
    <t>Устройство подстилающих и выравнивающих слоев оснований из песка, 50 мм</t>
  </si>
  <si>
    <t>ФЕР-2001 доп. 2, 27-04-001-01, приказ Минстроя России № 294/пр от 01.06.2020</t>
  </si>
  <si>
    <t>36,1</t>
  </si>
  <si>
    <t>02.3.01.02-0033</t>
  </si>
  <si>
    <t>Песок природный обогащенный для строительных работ средний</t>
  </si>
  <si>
    <t>ФССЦ-2001, 02.3.01.02-0033, приказ Минстроя России № 876/пр от 26.12.2019</t>
  </si>
  <si>
    <t>37</t>
  </si>
  <si>
    <t>11-01-011-01</t>
  </si>
  <si>
    <t>Устройство стяжек цементных толщиной 20 мм</t>
  </si>
  <si>
    <t>ФЕР-2001 доп. 2, 11-01-011-01, приказ Минстроя России № 294/пр от 01.06.2020</t>
  </si>
  <si>
    <t>37,1</t>
  </si>
  <si>
    <t>04.3.02.13-0107</t>
  </si>
  <si>
    <t>Смеси сухие монтажно-кладочные , цементно-песчаные, В12,5 (М150), F100, крупность заполнителя не более 3,5 мм</t>
  </si>
  <si>
    <t>КТЦ (Стройинформресурс) к ФЕР-2020, 04.3.02.13-0107</t>
  </si>
  <si>
    <t>38</t>
  </si>
  <si>
    <t>06-03-004-12</t>
  </si>
  <si>
    <t>Армирование подстилающих слоев и набетонок</t>
  </si>
  <si>
    <t>ФЕР-2001 доп. 3, 06-03-004-12, приказ Минстроя России № 352/пр от 30.06.2020</t>
  </si>
  <si>
    <t>38,1</t>
  </si>
  <si>
    <t>08.1.02.17-0081</t>
  </si>
  <si>
    <t>Сетка стальная сварная из арматурной проволоки без покрытия, диаметр проволоки 3,0 мм, размером ячейки 50х50 мм (дорожная, кладочная)</t>
  </si>
  <si>
    <t>КТЦ (Стройинформресурс) к ФЕР-2020, 08.1.02.17-0081</t>
  </si>
  <si>
    <t>39</t>
  </si>
  <si>
    <t>11-01-011-02</t>
  </si>
  <si>
    <t>Устройство стяжек на каждые 5 мм изменения толщины стяжки добавлять или исключать к расценке 11- 01-011-01 (до 30мм)</t>
  </si>
  <si>
    <t>ФЕР-2001 доп. 2, 11-01-011-02, приказ Минстроя России № 294/пр от 01.06.2020</t>
  </si>
  <si>
    <t>)*1,25)*1,35*2</t>
  </si>
  <si>
    <t>)*1,15)*1,35*2</t>
  </si>
  <si>
    <t>39,1</t>
  </si>
  <si>
    <t>40</t>
  </si>
  <si>
    <t>13-03-003-21</t>
  </si>
  <si>
    <t>Нанесение контрастной полосы на площадку и пандус краской (ширина 50 мм)</t>
  </si>
  <si>
    <t>ФЕР-2001, 13-03-003-21, приказ Минстроя России № 876/пр от 26.12.2019</t>
  </si>
  <si>
    <t>Защита строительных конструкций</t>
  </si>
  <si>
    <t>ФЕР-13</t>
  </si>
  <si>
    <t>41</t>
  </si>
  <si>
    <t>09-03-050-01</t>
  </si>
  <si>
    <t>Обрамление площадки металлическим уголком 50х50х3</t>
  </si>
  <si>
    <t>ФЕР-2001, 09-03-050-01, приказ Минстроя России № 876/пр от 26.12.2019</t>
  </si>
  <si>
    <t>41,1</t>
  </si>
  <si>
    <t>08.3.08.02-3013</t>
  </si>
  <si>
    <t>Сталь угловая равнополочная общего назначения, марка Ст3сп, сечение 50х50 мм</t>
  </si>
  <si>
    <t>КТЦ (Стройинформресурс) к ФЕР-2020, 08.3.08.02-3013</t>
  </si>
  <si>
    <t>42</t>
  </si>
  <si>
    <t>Установка дверного доводчика к металлическим дверям</t>
  </si>
  <si>
    <t>42,1</t>
  </si>
  <si>
    <t>01.7.04.01-0001</t>
  </si>
  <si>
    <t>Доводчик дверной, усилие закрывания EN2-5</t>
  </si>
  <si>
    <t>КТЦ (Стройинформресурс) к ФЕР-2020, 01.7.04.01-0001</t>
  </si>
  <si>
    <t>43</t>
  </si>
  <si>
    <t>46-03-013-01</t>
  </si>
  <si>
    <t>Сверление вертикальных отверстий в бетонных конструкциях полов перфоратором глубиной 200 мм диаметром: до 20 мм</t>
  </si>
  <si>
    <t>100 отверстий</t>
  </si>
  <si>
    <t>ФЕР-2001, 46-03-013-01, приказ Минстроя России № 876/пр от 26.12.2019</t>
  </si>
  <si>
    <t>44</t>
  </si>
  <si>
    <t>09-05-003-01</t>
  </si>
  <si>
    <t>Установка ограничителя открывания двери</t>
  </si>
  <si>
    <t>ФЕР-2001, 09-05-003-01, приказ Минстроя России № 876/пр от 26.12.2019</t>
  </si>
  <si>
    <t>44,1</t>
  </si>
  <si>
    <t>01.7.04.11-0041</t>
  </si>
  <si>
    <t>Упоры дверные</t>
  </si>
  <si>
    <t>К-Т</t>
  </si>
  <si>
    <t>КТЦ (Стройинформресурс) к ФЕР-2020, 01.7.04.11-0041</t>
  </si>
  <si>
    <t>45</t>
  </si>
  <si>
    <t>м38-01-004-07</t>
  </si>
  <si>
    <t>ФЕРм-2001, м38-01-004-07, приказ Минстроя России № 876/пр от 26.12.2019</t>
  </si>
  <si>
    <t>Изготовление технологических конструкций  ( (НР= 66; СП=40%  )</t>
  </si>
  <si>
    <t>приг_ФЕРм-38</t>
  </si>
  <si>
    <t>45,1</t>
  </si>
  <si>
    <t>23.3.08.02-0148</t>
  </si>
  <si>
    <t>Трубы стальные бесшовные горячедеформированные и холоднодеформированные прямоугольные из углеродистой и легированной стали, наружный размер 80х40 мм, толщина стенки 3 мм</t>
  </si>
  <si>
    <t>ФССЦ-2001, 23.3.08.02-0148, приказ Минстроя России № 876/пр от 26.12.2019</t>
  </si>
  <si>
    <t>45,2</t>
  </si>
  <si>
    <t>23.3.08.02-0066</t>
  </si>
  <si>
    <t>Трубы стальные прямоугольные (ГОСТ 8645-86) размером: 40х20 мм, толщина стенки 3,0 мм</t>
  </si>
  <si>
    <t>м</t>
  </si>
  <si>
    <t>ФССЦ-2001, 23.3.08.02-0066, приказ Минстроя России № 876/пр от 26.12.2019</t>
  </si>
  <si>
    <t>45,3</t>
  </si>
  <si>
    <t>07.2.05.01-0041</t>
  </si>
  <si>
    <t>Настил пресованный решечетый оцинкованный ячейка 33х11мм толщина 30х2 мм/32,2гг/м2</t>
  </si>
  <si>
    <t>ФССЦ-2001, 07.2.05.01-0041, приказ Минстроя России № 876/пр от 26.12.2019</t>
  </si>
  <si>
    <t>45,4</t>
  </si>
  <si>
    <t>08.3.07.01-3197</t>
  </si>
  <si>
    <t>Сталь полосовая шириной 150 мм, толщиной 3 мм</t>
  </si>
  <si>
    <t>КТЦ (Стройинформресурс) к ФЕР-2020, 08.3.07.01-3197</t>
  </si>
  <si>
    <t>46</t>
  </si>
  <si>
    <t>м38-01-003-04</t>
  </si>
  <si>
    <t>ФЕРм-2001, м38-01-003-04, приказ Минстроя России № 876/пр от 26.12.2019</t>
  </si>
  <si>
    <t>46,1</t>
  </si>
  <si>
    <t>23.3.09.01-0079</t>
  </si>
  <si>
    <t>Трубы электросварные из коррозионностойкой стали 08Х18Н10, наружный диаметр 50,8 мм, толщина стенки 2,0 мм</t>
  </si>
  <si>
    <t>10 м</t>
  </si>
  <si>
    <t>ФССЦ-2001, 23.3.09.01-0079, приказ Минстроя России № 876/пр от 26.12.2019</t>
  </si>
  <si>
    <t>46,2</t>
  </si>
  <si>
    <t>23.3.09.01-0068</t>
  </si>
  <si>
    <t>Трубы электросварные из коррозионностойкой стали 08Х18Н10, наружный диаметр 38 мм, толщина стенки 2,0 мм</t>
  </si>
  <si>
    <t>ФССЦ-2001, 23.3.09.01-0068, приказ Минстроя России № 876/пр от 26.12.2019</t>
  </si>
  <si>
    <t>46,3</t>
  </si>
  <si>
    <t>23.3.09.01-0048</t>
  </si>
  <si>
    <t>Трубы электросварные из коррозионностойкой стали 08Х18Н10, наружный диаметр 16 мм, толщина стенки 2 мм</t>
  </si>
  <si>
    <t>ФССЦ-2001, 23.3.09.01-0048, приказ Минстроя России № 876/пр от 26.12.2019</t>
  </si>
  <si>
    <t>46,4</t>
  </si>
  <si>
    <t>07.2.06.01-3047</t>
  </si>
  <si>
    <t>Отвод 50,8мм 90° под сварку</t>
  </si>
  <si>
    <t>КТЦ (Стройинформресурс) к ФЕР-2020, 07.2.06.01-3047</t>
  </si>
  <si>
    <t>46,5</t>
  </si>
  <si>
    <t>Заглушка сварная плоская д38 мм</t>
  </si>
  <si>
    <t>46,6</t>
  </si>
  <si>
    <t>07.2.06.01-3046</t>
  </si>
  <si>
    <t>Заглушка для ригеля (полированная полусфера) - д16 мм</t>
  </si>
  <si>
    <t>КТЦ (Стройинформресурс) к ФЕР-2020, 07.2.06.01-3046</t>
  </si>
  <si>
    <t>46,7</t>
  </si>
  <si>
    <t>Ригеледержатель сквозной 16 мм для стоек 38 мм</t>
  </si>
  <si>
    <t>46,8</t>
  </si>
  <si>
    <t>07.2.06.01-0016</t>
  </si>
  <si>
    <t>Выносной отвод для поручня д 16 мм</t>
  </si>
  <si>
    <t>ФССЦ-2001, 07.2.06.01-0016, приказ Минстроя России № 876/пр от 26.12.2019</t>
  </si>
  <si>
    <t>46,9</t>
  </si>
  <si>
    <t>07.2.06.01-3022</t>
  </si>
  <si>
    <t>Декоративная крышка (кольцо) на стойку д38 мм</t>
  </si>
  <si>
    <t>КТЦ (Стройинформресурс) к ФЕР-2020, 07.2.06.01-3022</t>
  </si>
  <si>
    <t>46,10</t>
  </si>
  <si>
    <t>Заглушка сварная плоская д50 мм</t>
  </si>
  <si>
    <t>47</t>
  </si>
  <si>
    <t>13-03-002-04</t>
  </si>
  <si>
    <t>Огрунтовка металлических поверхностей за один раз: грунтовкой ГФ-021</t>
  </si>
  <si>
    <t>ФЕР-2001, 13-03-002-04, приказ Минстроя России № 876/пр от 26.12.2019</t>
  </si>
  <si>
    <t>48</t>
  </si>
  <si>
    <t>15-04-030-03</t>
  </si>
  <si>
    <t>Масляная окраска металлических поверхностей: стальных балок, труб диаметром более 50 мм и т.п., количество окрасок 2</t>
  </si>
  <si>
    <t>ФЕР-2001, 15-04-030-03, приказ Минстроя России № 876/пр от 26.12.2019</t>
  </si>
  <si>
    <t>48,1</t>
  </si>
  <si>
    <t>14.4.04.03-1006</t>
  </si>
  <si>
    <t>Эмаль алкидная финишная</t>
  </si>
  <si>
    <t>ФССЦ-2001, 14.4.04.03-1006, приказ Минстроя России № 876/пр от 26.12.2019</t>
  </si>
  <si>
    <t>49</t>
  </si>
  <si>
    <t>15-01-062-02</t>
  </si>
  <si>
    <t>Наружная облицовка поверхности стен в горизонтальном исполнении по металлическому каркасу (с его устройством): металлосайдингом без пароизоляционного слоя</t>
  </si>
  <si>
    <t>ФЕР-2001, 15-01-062-02, приказ Минстроя России № 876/пр от 26.12.2019</t>
  </si>
  <si>
    <t>49,1</t>
  </si>
  <si>
    <t>08.1.02.23-0001</t>
  </si>
  <si>
    <t>Сайдинг стальной с полимерным покрытием</t>
  </si>
  <si>
    <t>КТЦ (Стройинформресурс) к ФЕР-2020, 08.1.02.23-0001</t>
  </si>
  <si>
    <t>49,2</t>
  </si>
  <si>
    <t>08.1.02.23-0024</t>
  </si>
  <si>
    <t>Элементы для сайдинга стального (с покрытием полиэстер): Планка угла со стороной 50 мм</t>
  </si>
  <si>
    <t>КТЦ (Стройинформресурс) к ФЕР-2020, 08.1.02.23-0024</t>
  </si>
  <si>
    <t>50</t>
  </si>
  <si>
    <t>11-01-040-03</t>
  </si>
  <si>
    <t>Устройство плинтусов поливинилхлоридных: на винтах самонарезающих</t>
  </si>
  <si>
    <t>ФЕР-2001, 11-01-040-03, приказ Минстроя России № 876/пр от 26.12.2019</t>
  </si>
  <si>
    <t>)*1,35)*1,25</t>
  </si>
  <si>
    <t>)*1,35)*1,15</t>
  </si>
  <si>
    <t>Поправка: Мет.421/пр 04.08.20 Пр.10 Т.3 п. 1.2  Поправка: М-ка 421/пр 04.08.20 п.58 п.п. б)</t>
  </si>
  <si>
    <t>50,1</t>
  </si>
  <si>
    <t>11.3.03.06-0001</t>
  </si>
  <si>
    <t>Плинтуса для полов из жесткого ПВХ, размер 19x48 мм</t>
  </si>
  <si>
    <t>КТЦ (Стройинформресурс) к ФЕР-2020, 11.3.03.06-0001</t>
  </si>
  <si>
    <t>51</t>
  </si>
  <si>
    <t>09-04-010-03</t>
  </si>
  <si>
    <t>ФЕР-2001, 09-04-010-03, приказ Минстроя России № 876/пр от 26.12.2019</t>
  </si>
  <si>
    <t>51,1</t>
  </si>
  <si>
    <t>01.8.02.08-0002</t>
  </si>
  <si>
    <t>Стеклопакеты однокамерные</t>
  </si>
  <si>
    <t>КТЦ (Стройинформресурс) к ФЕР-2020, 01.8.02.08-0002</t>
  </si>
  <si>
    <t>51,2</t>
  </si>
  <si>
    <t>09.4.01.01-3061</t>
  </si>
  <si>
    <t>Блоки дверные для жилых и общественных зданий комбинированные из алюминиевых анодированных сплавов ("теплых" профилей) двухстворчатые</t>
  </si>
  <si>
    <t>КТЦ (Стройинформресурс) к ФЕР-2020, 09.4.01.01-3061</t>
  </si>
  <si>
    <t>51,3</t>
  </si>
  <si>
    <t>01.7.04.04-3020</t>
  </si>
  <si>
    <t>Замки врезные цилиндровые</t>
  </si>
  <si>
    <t>КТЦ (Стройинформресурс) к ФЕР-2020, 01.7.04.04-3020</t>
  </si>
  <si>
    <t>51,4</t>
  </si>
  <si>
    <t>01.7.04.09-3074</t>
  </si>
  <si>
    <t>Петли усиленные</t>
  </si>
  <si>
    <t>КТЦ (Стройинформресурс) к ФЕР-2020, 01.7.04.09-3074</t>
  </si>
  <si>
    <t>52</t>
  </si>
  <si>
    <t>52,1</t>
  </si>
  <si>
    <t>52,2</t>
  </si>
  <si>
    <t>09.4.01.01-3011</t>
  </si>
  <si>
    <t>Блоки дверные из алюминиевых анодированных сплавов ("холодных" профилей) входные</t>
  </si>
  <si>
    <t>КТЦ (Стройинформресурс) к ФЕР-2020, 09.4.01.01-3011</t>
  </si>
  <si>
    <t>52,3</t>
  </si>
  <si>
    <t>52,4</t>
  </si>
  <si>
    <t>53</t>
  </si>
  <si>
    <t>15-06-003-03</t>
  </si>
  <si>
    <t>Оклейка остекления дверей защитной пленкой класса защиты А2</t>
  </si>
  <si>
    <t>ФЕР-2001, 15-06-003-03, приказ Минстроя России № 876/пр от 26.12.2019</t>
  </si>
  <si>
    <t>53,1</t>
  </si>
  <si>
    <t>14.2.02.12-0901</t>
  </si>
  <si>
    <t>Пленка защитная класса А2</t>
  </si>
  <si>
    <t>КТЦ (Стройинформресурс) к ФЕР-2020, 14.2.02.12-0901</t>
  </si>
  <si>
    <t>54</t>
  </si>
  <si>
    <t>м08-03-593-09</t>
  </si>
  <si>
    <t>Светильник: местного освещения/Монтаж</t>
  </si>
  <si>
    <t>ФЕРм-2001, м08-03-593-09, приказ Минстроя России № 876/пр от 26.12.2019</t>
  </si>
  <si>
    <t>54,1</t>
  </si>
  <si>
    <t>20.3.03.04-3040</t>
  </si>
  <si>
    <t>КТЦ (Стройинформресурс) к ФЕР-2020, 20.3.03.04-3040</t>
  </si>
  <si>
    <t>55</t>
  </si>
  <si>
    <t>Монтаж табличек "Выход" ранее сохранённых</t>
  </si>
  <si>
    <t>56</t>
  </si>
  <si>
    <t>Монтаж датчиков охранных ранее сохранённых</t>
  </si>
  <si>
    <t>57</t>
  </si>
  <si>
    <t>Монтаж урн ранее сохранённых</t>
  </si>
  <si>
    <t>58</t>
  </si>
  <si>
    <t>м08-03-594-07</t>
  </si>
  <si>
    <t>Светильник отдельно устанавливаемый: на подвесах (штангах) с количеством ламп в светильнике 2/Монтаж</t>
  </si>
  <si>
    <t>ФЕРм-2001, м08-03-594-07, приказ Минстроя России № 876/пр от 26.12.2019</t>
  </si>
  <si>
    <t>58,1</t>
  </si>
  <si>
    <t>20.3.03.04-3471</t>
  </si>
  <si>
    <t>КТЦ (Стройинформресурс) к ФЕР-2020, 20.3.03.04-3471</t>
  </si>
  <si>
    <t>59</t>
  </si>
  <si>
    <t>м10-08-019-01</t>
  </si>
  <si>
    <t>Коробка ответвительная на стене/Монтаж</t>
  </si>
  <si>
    <t>ФЕРм-2001, м10-08-019-01, приказ Минстроя России № 876/пр от 26.12.2019</t>
  </si>
  <si>
    <t>59,1</t>
  </si>
  <si>
    <t>20.5.02.04-0001</t>
  </si>
  <si>
    <t>Коробки ответвительные размером 100х100х50 мм</t>
  </si>
  <si>
    <t>КТЦ (Стройинформресурс) к ФЕР-2020, 20.5.02.04-0001</t>
  </si>
  <si>
    <t>60</t>
  </si>
  <si>
    <t>м08-03-591-01</t>
  </si>
  <si>
    <t>Выключатель: одноклавишный неутопленного типа при открытой проводке/Монтаж</t>
  </si>
  <si>
    <t>ФЕРм-2001, м08-03-591-01, приказ Минстроя России № 876/пр от 26.12.2019</t>
  </si>
  <si>
    <t>60,1</t>
  </si>
  <si>
    <t>62.3.02.03-3439</t>
  </si>
  <si>
    <t>Выключатель одноклавишный</t>
  </si>
  <si>
    <t>КТЦ (Стройинформресурс) к ФЕР-2020, 62.3.02.03-3439</t>
  </si>
  <si>
    <t>61</t>
  </si>
  <si>
    <t>м08-03-605-01</t>
  </si>
  <si>
    <t>Монтаж тепловой завесы 3-х фазной 6 кВт с настенным пультом (в тамбуре)</t>
  </si>
  <si>
    <t>ФЕРм-2001, м08-03-605-01, приказ Минстроя России № 876/пр от 26.12.2019</t>
  </si>
  <si>
    <t>61,1</t>
  </si>
  <si>
    <t>64.5.01.02-0006</t>
  </si>
  <si>
    <t>Завесы воздушные электрические для горизонтальной и вертикальной установки напряжением 220/380 В, мощностью 3/6 кВт, расходом воздуха 1500 м3/час, подогревом воздуха 12-15°</t>
  </si>
  <si>
    <t>КТЦ (Стройинформресурс) к ФЕР-2020, 64.5.01.02-0006</t>
  </si>
  <si>
    <t>62</t>
  </si>
  <si>
    <t>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</si>
  <si>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пола/Монтаж</t>
  </si>
  <si>
    <t>ФЕРм-2001, м08-02-409-09, приказ Минстроя России № 876/пр от 26.12.2019</t>
  </si>
  <si>
    <t>62,1</t>
  </si>
  <si>
    <t>20.2.05.02-0011</t>
  </si>
  <si>
    <t>Держатель пластмассовый с защелкой для труб диаметром 25 мм</t>
  </si>
  <si>
    <t>ФССЦ-2001, 20.2.05.02-0011, приказ Минстроя России № 876/пр от 26.12.2019</t>
  </si>
  <si>
    <t>62,2</t>
  </si>
  <si>
    <t>20.2.12.03-0011</t>
  </si>
  <si>
    <t>Трубы для электропроводки из ПВХ гофрированные гибкие, диаметр 20 мм</t>
  </si>
  <si>
    <t>КТЦ (Стройинформресурс) к ФЕР-2020, 20.2.12.03-0011</t>
  </si>
  <si>
    <t>63</t>
  </si>
  <si>
    <t>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</si>
  <si>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16 мм2</t>
  </si>
  <si>
    <t>ФЕРм-2001, м08-02-412-03, приказ Минстроя России № 876/пр от 26.12.2019</t>
  </si>
  <si>
    <t>63,1</t>
  </si>
  <si>
    <t>21.1.06.09-0176</t>
  </si>
  <si>
    <t>Кабели силовые с медными жилами, в изоляции и оболочке из ПВХ пластиката, без брони и наружного покрова, не распространяющие горение, с низким дымо-газовыделением, на напряжение 0,66 кВ, марка ВВГнг(A)-LS, число жил и сечение 5х2,5 мм2</t>
  </si>
  <si>
    <t>1000 м</t>
  </si>
  <si>
    <t>КТЦ (Стройинформресурс) к ФЕР-2020, 21.1.06.09-0176</t>
  </si>
  <si>
    <t>1000 М</t>
  </si>
  <si>
    <t>64</t>
  </si>
  <si>
    <t>м08-03-575-01</t>
  </si>
  <si>
    <t>Установка АВДТ в щитовой на din-рейку</t>
  </si>
  <si>
    <t>ФЕРм-2001, м08-03-575-01, приказ Минстроя России № 876/пр от 26.12.2019</t>
  </si>
  <si>
    <t>64,1</t>
  </si>
  <si>
    <t>62.1.05.03-0024</t>
  </si>
  <si>
    <t>АВДТ: 25А-30мА, четырехполюсное, блок утечки</t>
  </si>
  <si>
    <t>КТЦ (Стройинформресурс) к ФЕР-2020, 62.1.05.03-0024</t>
  </si>
  <si>
    <t>65</t>
  </si>
  <si>
    <t>65,1</t>
  </si>
  <si>
    <t>65,2</t>
  </si>
  <si>
    <t>66</t>
  </si>
  <si>
    <t>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</si>
  <si>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6 мм2</t>
  </si>
  <si>
    <t>ФЕРм-2001, м08-02-412-02, приказ Минстроя России № 876/пр от 26.12.2019</t>
  </si>
  <si>
    <t>66,1</t>
  </si>
  <si>
    <t>21.1.06.09-0151</t>
  </si>
  <si>
    <t>Кабели силовые с медными жилами, в изоляции и оболочке из ПВХ пластиката, без брони и наружного покрова, не распространяющие горение, с низким дымо-газовыделением, на напряжение 0,66 кВ, марка ВВГнг(A)-LS, число жил и сечение 3х1,5 мм2</t>
  </si>
  <si>
    <t>КТЦ (Стройинформресурс) к ФЕР-2020, 21.1.06.09-0151</t>
  </si>
  <si>
    <t>67</t>
  </si>
  <si>
    <t>м08-02-390-01</t>
  </si>
  <si>
    <t>Короба пластмассовые: шириной до 40 мм/Монтаж</t>
  </si>
  <si>
    <t>ФЕРм-2001, м08-02-390-01, приказ Минстроя России № 876/пр от 26.12.2019</t>
  </si>
  <si>
    <t>67,1</t>
  </si>
  <si>
    <t>20.2.05.04-0011</t>
  </si>
  <si>
    <t>Короба электротехнические для прокладки проводов, размер 20x12,5 мм</t>
  </si>
  <si>
    <t>КТЦ (Стройинформресурс) к ФЕР-2020, 20.2.05.04-0011</t>
  </si>
  <si>
    <t>68</t>
  </si>
  <si>
    <t>м08-02-399-01</t>
  </si>
  <si>
    <t>Провод в коробах, сечением: до 6 мм2/Монтаж</t>
  </si>
  <si>
    <t>ФЕРм-2001, м08-02-399-01, приказ Минстроя России № 876/пр от 26.12.2019</t>
  </si>
  <si>
    <t>68,1</t>
  </si>
  <si>
    <t>68,2</t>
  </si>
  <si>
    <t>21.1.08.05-3612</t>
  </si>
  <si>
    <t>Кабели гибкие с медными многопроволочными жилами, в изоляции и оболочке из ПВХ пластиката, экранированные, не распространяющие горение, для монтажа силовых цепей и цепей управления, на напряжение 0,66 кВ, марка КГВЭВнг, число жил и сечение 7х0,75 мм2</t>
  </si>
  <si>
    <t>КТЦ (Стройинформресурс) к ФЕР-2020, 21.1.08.05-3612</t>
  </si>
  <si>
    <t>69</t>
  </si>
  <si>
    <t>46-03-009-05</t>
  </si>
  <si>
    <t>Пробивка в кирпичных стенах отверстий круглых диаметром: до 25 мм при толщине стен до 51 см</t>
  </si>
  <si>
    <t>ФЕР-2001, 46-03-009-05, приказ Минстроя России № 876/пр от 26.12.2019</t>
  </si>
  <si>
    <t>70</t>
  </si>
  <si>
    <t>61-10-1</t>
  </si>
  <si>
    <t>Ремонт цоколя (ц/п смесь М300)</t>
  </si>
  <si>
    <t>ФЕРр-2001, 61-10-1, приказ Минстроя России № 876/пр от 26.12.2019</t>
  </si>
  <si>
    <t>Штукатрурные работы</t>
  </si>
  <si>
    <t>рФЕР-61</t>
  </si>
  <si>
    <t>70,1</t>
  </si>
  <si>
    <t>71</t>
  </si>
  <si>
    <t>15-02-001-01</t>
  </si>
  <si>
    <t>Улучшенная штукатурка фасадов цементно-известковым раствором по камню: стен (цоколя)</t>
  </si>
  <si>
    <t>ФЕР-2001, 15-02-001-01, приказ Минстроя России № 876/пр от 26.12.2019</t>
  </si>
  <si>
    <t>72</t>
  </si>
  <si>
    <t>15-04-019-05</t>
  </si>
  <si>
    <t>Окраска фасадов акриловыми составами: вручную с подготовкой поверхности (цоколя)</t>
  </si>
  <si>
    <t>ФЕР-2001, 15-04-019-05, приказ Минстроя России № 876/пр от 26.12.2019</t>
  </si>
  <si>
    <t>72,1</t>
  </si>
  <si>
    <t>14.3.02.01-0202</t>
  </si>
  <si>
    <t>Краски фасадные акриловые, тон средний</t>
  </si>
  <si>
    <t>КТЦ (Стройинформресурс) к ФЕР-2020, 14.3.02.01-0202</t>
  </si>
  <si>
    <t>72,2</t>
  </si>
  <si>
    <t>73</t>
  </si>
  <si>
    <t>Монтаж почтового ящика ранее демонтированного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</si>
  <si>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</si>
  <si>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</si>
  <si>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</si>
  <si>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</si>
  <si>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</si>
  <si>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</si>
  <si>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</si>
  <si>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</si>
  <si>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</si>
  <si>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</si>
  <si>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</si>
  <si>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</si>
  <si>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</si>
  <si>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</si>
  <si>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</si>
  <si>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</si>
  <si>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</si>
  <si>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</si>
  <si>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</si>
  <si>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</si>
  <si>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</si>
  <si>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</si>
  <si>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</si>
  <si>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</si>
  <si>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</si>
  <si>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</si>
  <si>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</si>
  <si>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</si>
  <si>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</si>
  <si>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</si>
  <si>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</si>
  <si>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</si>
  <si>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</si>
  <si>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</si>
  <si>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</si>
  <si>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</si>
  <si>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</si>
  <si>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</si>
  <si>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</si>
  <si>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</si>
  <si>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</si>
  <si>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</si>
  <si>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</si>
  <si>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</si>
  <si>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</si>
  <si>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</si>
  <si>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Перевозка</t>
  </si>
  <si>
    <t>Перевозка грузов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</si>
  <si>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</si>
  <si>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</si>
  <si>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</si>
  <si>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</si>
  <si>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</si>
  <si>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</si>
  <si>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Видеодомофон</t>
  </si>
  <si>
    <t>74</t>
  </si>
  <si>
    <t>м10-10-007-02</t>
  </si>
  <si>
    <t>Монтаж видеодомофона</t>
  </si>
  <si>
    <t>ФЕРм-2001, м10-10-007-02, приказ Минстроя России № 876/пр от 26.12.2019</t>
  </si>
  <si>
    <t>Связь: системы обеспечения безопасности объектов ( отдел 10 )</t>
  </si>
  <si>
    <t>74,1</t>
  </si>
  <si>
    <t>61.3.03.01-3036</t>
  </si>
  <si>
    <t>КТЦ (Стройинформресурс) к ФЕР-2020, 61.3.03.01-3036</t>
  </si>
  <si>
    <t>75</t>
  </si>
  <si>
    <t>м10-01-039-06</t>
  </si>
  <si>
    <t>Устройство второй вызывной панели</t>
  </si>
  <si>
    <t>ФЕРм-2001, м10-01-039-06, приказ Минстроя России № 876/пр от 26.12.2019</t>
  </si>
  <si>
    <t>Связь:  городская, местная, междугородняя проводная телефонная связь ( отделы 1, 2, 3 ) - ( при уст-ве средств посадки самолетов:  {AВИА}=1 - НР=95%, СП=55% )</t>
  </si>
  <si>
    <t>75,1</t>
  </si>
  <si>
    <t>22.1.02.06-0031</t>
  </si>
  <si>
    <t>КТЦ (Стройинформресурс) к ФЕР-2020, 22.1.02.06-0031</t>
  </si>
  <si>
    <t>76</t>
  </si>
  <si>
    <t>76,1</t>
  </si>
  <si>
    <t>76,2</t>
  </si>
  <si>
    <t>77</t>
  </si>
  <si>
    <t>77,1</t>
  </si>
  <si>
    <t>21.1.04.01-3131</t>
  </si>
  <si>
    <t>КТЦ (Стройинформресурс) к ФЕР-2020, 21.1.04.01-3131</t>
  </si>
  <si>
    <t>78</t>
  </si>
  <si>
    <t>78,1</t>
  </si>
  <si>
    <t>ФССЦ-2001, 20.2.05.04-0011, приказ Минстроя России № 876/пр от 26.12.2019</t>
  </si>
  <si>
    <t>Материалы монтажные</t>
  </si>
  <si>
    <t>Материалы и конструкции ( монтажные )  по ценникам и каталогам</t>
  </si>
  <si>
    <t>ФССЦм</t>
  </si>
  <si>
    <t>78,2</t>
  </si>
  <si>
    <t>20.2.05.04-0003</t>
  </si>
  <si>
    <t>Кабель-канал напольный</t>
  </si>
  <si>
    <t>КТЦ (Стройинформресурс) к ФЕР-2020, 20.2.05.04-0003</t>
  </si>
  <si>
    <t>79</t>
  </si>
  <si>
    <t>79,1</t>
  </si>
  <si>
    <t>80</t>
  </si>
  <si>
    <t>м08-03-591-08</t>
  </si>
  <si>
    <t>Розетка штепсельная: неутопленного типа при открытой проводке/Монтаж</t>
  </si>
  <si>
    <t>ФЕРм-2001, м08-03-591-08, приказ Минстроя России № 876/пр от 26.12.2019</t>
  </si>
  <si>
    <t>80,1</t>
  </si>
  <si>
    <t>20.4.03.07-0016</t>
  </si>
  <si>
    <t>Розетка штепсельная с заземляющим контактом</t>
  </si>
  <si>
    <t>ФССЦ-2001, 20.4.03.07-0016, приказ Минстроя России № 876/пр от 26.12.2019</t>
  </si>
  <si>
    <t>81</t>
  </si>
  <si>
    <t>Прочие работы</t>
  </si>
  <si>
    <t>82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</si>
  <si>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</si>
  <si>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</si>
  <si>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</si>
  <si>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№876/пр от 26.12.2019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</si>
  <si>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</si>
  <si>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</si>
  <si>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</si>
  <si>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83</t>
  </si>
  <si>
    <t>т03-21-01-100</t>
  </si>
  <si>
    <t>Перевозка грузов I класса автомобилями-самосвалами грузоподъемностью 10 т работающих вне карьера на расстояние: до 100 км</t>
  </si>
  <si>
    <t>ФССЦпг-2001, т03-21-01-100, приказ Минстроя России №876/пр от 26.12.2019</t>
  </si>
  <si>
    <t>Перевозка грузов авто/транспортом</t>
  </si>
  <si>
    <t>Перевозка грузов (ФССЦпр-2011 - изм. 7, разделы 1-4) - по сметной стоимости</t>
  </si>
  <si>
    <t>ФССЦпр , изм. 7</t>
  </si>
  <si>
    <t>Итог 1</t>
  </si>
  <si>
    <t>Итого по смете</t>
  </si>
  <si>
    <t>Итог2</t>
  </si>
  <si>
    <t>Непредвиденные расходы 2% (Приказ от 4.09.2020 г. № 421/пр)</t>
  </si>
  <si>
    <t>Итог3</t>
  </si>
  <si>
    <t>Итого с непредвиденными расходами</t>
  </si>
  <si>
    <t>Итог4</t>
  </si>
  <si>
    <t>НДС 20%</t>
  </si>
  <si>
    <t>Итог5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</si>
  <si>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</si>
  <si>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</si>
  <si>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</si>
  <si>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</si>
  <si>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</si>
  <si>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</si>
  <si>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</si>
  <si>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</si>
  <si>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</si>
  <si>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</si>
  <si>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</si>
  <si>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</si>
  <si>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</si>
  <si>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</si>
  <si>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</si>
  <si>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</si>
  <si>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ТЕК_М/Т/Я</t>
  </si>
  <si>
    <t>При работе в тек. уровне цен с 27.04.2018 г. (письмо № 01/57049-ЮЛ от 27.04.2018 Минюст РФ), коэффициенты к НР =0,85 и к СП-0,8 не назначаются. До 27.04.2018 г. только для мостов, тоннелей, метро, АЭС, объектов с ядерным топливом (см. прим.)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</si>
  <si>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</si>
  <si>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</si>
  <si>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</si>
  <si>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</si>
  <si>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</si>
  <si>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</si>
  <si>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</si>
  <si>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</si>
  <si>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</si>
  <si>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</si>
  <si>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</si>
  <si>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</si>
  <si>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</si>
  <si>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</si>
  <si>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</si>
  <si>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</si>
  <si>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</si>
  <si>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</si>
  <si>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</si>
  <si>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</si>
  <si>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</si>
  <si>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</si>
  <si>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</si>
  <si>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</si>
  <si>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</si>
  <si>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</si>
  <si>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</si>
  <si>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</si>
  <si>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</si>
  <si>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до 27.04.18 если (ТЕК_М/Т/Я) = {выкл.}</t>
  </si>
  <si>
    <t>К_СП_12</t>
  </si>
  <si>
    <t>Корректировка СП с 03.12.12 до 27.04.18 в текущем уровне цен по письму  2536-ИП/12/ГС от 27.11.12  ( если (ТЕК_М/Т/Я)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</si>
  <si>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</si>
  <si>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</si>
  <si>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</si>
  <si>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</si>
  <si>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</si>
  <si>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</si>
  <si>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</si>
  <si>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(мосты, метро, путепроводы)  и  кап. ремонте АЭС,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</si>
  <si>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</si>
  <si>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</si>
  <si>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</si>
  <si>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</si>
  <si>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</si>
  <si>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Сборник индексов</t>
  </si>
  <si>
    <t>Индексы к ФЕР-2020 (Стройинформресурс)</t>
  </si>
  <si>
    <t>Индексы к ФЕР-2020 по КТЦ (Стройинформресурс)</t>
  </si>
  <si>
    <t>_OBSM_</t>
  </si>
  <si>
    <t>1-100-42</t>
  </si>
  <si>
    <t>Рабочий среднего разряда 4.2</t>
  </si>
  <si>
    <t>чел.-ч.</t>
  </si>
  <si>
    <t>4-100-00</t>
  </si>
  <si>
    <t>Затраты труда машинистов</t>
  </si>
  <si>
    <t>91.05.05-015</t>
  </si>
  <si>
    <t>ФСЭМ-2001, 91.05.05-015 , приказ Минстроя России № 876/пр от 26.12.2019</t>
  </si>
  <si>
    <t>Краны на автомобильном ходу, грузоподъемность 16 т</t>
  </si>
  <si>
    <t>маш.-ч</t>
  </si>
  <si>
    <t>91.14.02-001</t>
  </si>
  <si>
    <t>ФСЭМ-2001, 91.14.02-001 , приказ Минстроя России № 876/пр от 26.12.2019</t>
  </si>
  <si>
    <t>Автомобили бортовые, грузоподъемность до 5 т</t>
  </si>
  <si>
    <t>01.7.06.05-0041</t>
  </si>
  <si>
    <t>ФССЦ-2001, 01.7.06.05-0041, приказ Минстроя России № 876/пр от 26.12.2019</t>
  </si>
  <si>
    <t>Лента изоляционная прорезиненная односторонняя, ширина 20 мм, толщина 0,25-0,35 мм</t>
  </si>
  <si>
    <t>01.7.15.07-0014</t>
  </si>
  <si>
    <t>ФССЦ-2001, 01.7.15.07-0014, приказ Минстроя России № 876/пр от 26.12.2019</t>
  </si>
  <si>
    <t>Дюбели распорные полипропиленовые</t>
  </si>
  <si>
    <t>21.2.01.02-0141</t>
  </si>
  <si>
    <t>ФССЦ-2001, 21.2.01.02-0141, приказ Минстроя России № 876/пр от 26.12.2019</t>
  </si>
  <si>
    <t>Провод неизолированный для воздушных линий электропередачи медные, марка М, сечение 4 мм2</t>
  </si>
  <si>
    <t>999-9950</t>
  </si>
  <si>
    <t>Вспомогательные ненормируемые материалы (2% от ОЗП)</t>
  </si>
  <si>
    <t>РУБ</t>
  </si>
  <si>
    <t>1-100-40</t>
  </si>
  <si>
    <t>Рабочий среднего разряда 4</t>
  </si>
  <si>
    <t>01.3.05.17-0002</t>
  </si>
  <si>
    <t>ФССЦ-2001, 01.3.05.17-0002, приказ Минстроя России № 876/пр от 26.12.2019</t>
  </si>
  <si>
    <t>Канифоль сосновая</t>
  </si>
  <si>
    <t>01.7.15.14-0168</t>
  </si>
  <si>
    <t>ФССЦ-2001, 01.7.15.14-0168, приказ Минстроя России № 876/пр от 26.12.2019</t>
  </si>
  <si>
    <t>Шурупы с полукруглой головкой 5x70 мм</t>
  </si>
  <si>
    <t>10.3.02.03-0012</t>
  </si>
  <si>
    <t>ФССЦ-2001, 10.3.02.03-0012, приказ Минстроя России № 876/пр от 26.12.2019</t>
  </si>
  <si>
    <t>Припои оловянно-свинцовые бессурьмянистые, марка ПОС40</t>
  </si>
  <si>
    <t>14.1.04.02-0002</t>
  </si>
  <si>
    <t>ФССЦ-2001, 14.1.04.02-0002, приказ Минстроя России № 876/пр от 26.12.2019</t>
  </si>
  <si>
    <t>Клей 88-СА</t>
  </si>
  <si>
    <t>24.3.01.01-0004</t>
  </si>
  <si>
    <t>ФССЦ-2001, 24.3.01.01-0004, приказ Минстроя России № 876/пр от 26.12.2019</t>
  </si>
  <si>
    <t>Трубка электроизоляционная ПВХ-305, диаметр 6-10 мм</t>
  </si>
  <si>
    <t>1-100-30</t>
  </si>
  <si>
    <t>Рабочий среднего разряда 3</t>
  </si>
  <si>
    <t>91.06.06-048</t>
  </si>
  <si>
    <t>ФСЭМ-2001, 91.06.06-048 , приказ Минстроя России № 876/пр от 26.12.2019</t>
  </si>
  <si>
    <t>Подъемники одномачтовые, грузоподъемность до 500 кг, высота подъема 45 м</t>
  </si>
  <si>
    <t>91.17.04-233</t>
  </si>
  <si>
    <t>ФСЭМ-2001, 91.17.04-233 , приказ Минстроя России № 876/пр от 26.12.2019</t>
  </si>
  <si>
    <t>Установки для сварки ручной дуговой (постоянного тока)</t>
  </si>
  <si>
    <t>01.7.11.07-0032</t>
  </si>
  <si>
    <t>ФССЦ-2001, 01.7.11.07-0032, приказ Минстроя России № 876/пр от 26.12.2019</t>
  </si>
  <si>
    <t>Электроды сварочные Э42, диаметр 4 мм</t>
  </si>
  <si>
    <t>08.4.01.02-0011</t>
  </si>
  <si>
    <t>ФССЦ-2001, 08.4.01.02-0011, приказ Минстроя России № 876/пр от 26.12.2019</t>
  </si>
  <si>
    <t>Детали закладные и накладные, изготовленные без применения сварки, гнутья, сверления (пробивки) отверстий, поставляемые отдельно</t>
  </si>
  <si>
    <t>14.5.01.10-0025</t>
  </si>
  <si>
    <t>ФССЦ-2001, 14.5.01.10-0025, приказ Минстроя России № 876/пр от 26.12.2019</t>
  </si>
  <si>
    <t>Пена монтажная для герметизации стыков в баллончике емкостью 0,85 л</t>
  </si>
  <si>
    <t>1-100-36</t>
  </si>
  <si>
    <t>Рабочий среднего разряда 3.6</t>
  </si>
  <si>
    <t>08.1.02.11-0003</t>
  </si>
  <si>
    <t>ФССЦ-2001, 08.1.02.11-0003, приказ Минстроя России № 876/пр от 26.12.2019</t>
  </si>
  <si>
    <t>Поковки из квадратных заготовок, масса 2,825 кг</t>
  </si>
  <si>
    <t>08.4.01.01-0022</t>
  </si>
  <si>
    <t>ФССЦ-2001, 08.4.01.01-0022, приказ Минстроя России № 876/пр от 26.12.2019</t>
  </si>
  <si>
    <t>Детали анкерные с резьбой из прямых или гнутых круглых стержней</t>
  </si>
  <si>
    <t>1-100-24</t>
  </si>
  <si>
    <t>Рабочий среднего разряда 2.4</t>
  </si>
  <si>
    <t>1-100-34</t>
  </si>
  <si>
    <t>Рабочий среднего разряда 3.4</t>
  </si>
  <si>
    <t>91.18.01-508</t>
  </si>
  <si>
    <t>ФСЭМ-2001, 91.18.01-508 , приказ Минстроя России № 876/пр от 26.12.2019</t>
  </si>
  <si>
    <t>Компрессоры передвижные с электродвигателем, производительность до 5,0 м3/мин</t>
  </si>
  <si>
    <t>91.21.10-003</t>
  </si>
  <si>
    <t>ФСЭМ-2001, 91.21.10-003 , приказ Минстроя России № 876/пр от 26.12.2019</t>
  </si>
  <si>
    <t>Молотки при работе от передвижных компрессорных станций отбойные пневматические</t>
  </si>
  <si>
    <t>1-100-20</t>
  </si>
  <si>
    <t>Рабочий среднего разряда 2</t>
  </si>
  <si>
    <t>1-100-29</t>
  </si>
  <si>
    <t>Рабочий среднего разряда 2.9</t>
  </si>
  <si>
    <t>1-100-25</t>
  </si>
  <si>
    <t>Рабочий среднего разряда 2.5</t>
  </si>
  <si>
    <t>91.08.09-001</t>
  </si>
  <si>
    <t>ФСЭМ-2001, 91.08.09-001 , приказ Минстроя России № 876/пр от 26.12.2019</t>
  </si>
  <si>
    <t>Виброплиты с двигателем внутреннего сгорания</t>
  </si>
  <si>
    <t>04.3.01.12-0001</t>
  </si>
  <si>
    <t>ФССЦ-2001, 04.3.01.12-0001, приказ Минстроя России № 876/пр от 26.12.2019</t>
  </si>
  <si>
    <t>Раствор кладочный, цементно-известковый, М10</t>
  </si>
  <si>
    <t>91.05.02-005</t>
  </si>
  <si>
    <t>ФСЭМ-2001, 91.05.02-005 , приказ Минстроя России № 876/пр от 26.12.2019</t>
  </si>
  <si>
    <t>Краны козловые, грузоподъемность 32 т</t>
  </si>
  <si>
    <t>91.06.01-003</t>
  </si>
  <si>
    <t>ФСЭМ-2001, 91.06.01-003 , приказ Минстроя России № 876/пр от 26.12.2019</t>
  </si>
  <si>
    <t>Домкраты гидравлические, грузоподъемность 63-100 т</t>
  </si>
  <si>
    <t>91.17.04-042</t>
  </si>
  <si>
    <t>ФСЭМ-2001, 91.17.04-042 , приказ Минстроя России № 876/пр от 26.12.2019</t>
  </si>
  <si>
    <t>Аппараты для газовой сварки и резки</t>
  </si>
  <si>
    <t>91.17.04-171</t>
  </si>
  <si>
    <t>ФСЭМ-2001, 91.17.04-171 , приказ Минстроя России № 876/пр от 26.12.2019</t>
  </si>
  <si>
    <t>Преобразователи сварочные номинальным сварочным током 315-500 А</t>
  </si>
  <si>
    <t>01.3.02.08-0001</t>
  </si>
  <si>
    <t>ФССЦ-2001, 01.3.02.08-0001, приказ Минстроя России № 876/пр от 26.12.2019</t>
  </si>
  <si>
    <t>Кислород газообразный технический</t>
  </si>
  <si>
    <t>01.3.02.09-0022</t>
  </si>
  <si>
    <t>ФССЦ-2001, 01.3.02.09-0022, приказ Минстроя России № 876/пр от 26.12.2019</t>
  </si>
  <si>
    <t>Пропан-бутан смесь техническая</t>
  </si>
  <si>
    <t>01.7.11.07-0036</t>
  </si>
  <si>
    <t>ФССЦ-2001, 01.7.11.07-0036, приказ Минстроя России № 876/пр от 26.12.2019</t>
  </si>
  <si>
    <t>Электроды сварочные Э46, диаметр 4 мм</t>
  </si>
  <si>
    <t>01.7.15.06-0111</t>
  </si>
  <si>
    <t>ФССЦ-2001, 01.7.15.06-0111, приказ Минстроя России № 876/пр от 26.12.2019</t>
  </si>
  <si>
    <t>Гвозди строительные</t>
  </si>
  <si>
    <t>01.7.20.08-0071</t>
  </si>
  <si>
    <t>ФССЦ-2001, 01.7.20.08-0071, приказ Минстроя России № 876/пр от 26.12.2019</t>
  </si>
  <si>
    <t>Канат пеньковый пропитанный</t>
  </si>
  <si>
    <t>07.2.07.12-0020</t>
  </si>
  <si>
    <t>ФССЦ-2001, 07.2.07.12-0020, приказ Минстроя России № 876/пр от 26.12.2019</t>
  </si>
  <si>
    <t>Элементы конструктивные зданий и сооружений с преобладанием горячекатаных профилей, средняя масса сборочной единицы от 0,1 до 0,5 т</t>
  </si>
  <si>
    <t>08.2.02.11-0007</t>
  </si>
  <si>
    <t>ФССЦ-2001, 08.2.02.11-0007, приказ Минстроя России № 876/пр от 26.12.2019</t>
  </si>
  <si>
    <t>Канат двойной свивки ТК, конструкции 6х19(1+6+12)+1 о.с., оцинкованный, из проволок марки В, маркировочная группа 1770 н/мм2, диаметр 5,5 мм</t>
  </si>
  <si>
    <t>08.3.03.06-0002</t>
  </si>
  <si>
    <t>ФССЦ-2001, 08.3.03.06-0002, приказ Минстроя России № 876/пр от 26.12.2019</t>
  </si>
  <si>
    <t>Проволока горячекатаная в мотках, диаметр 6,3-6,5 мм</t>
  </si>
  <si>
    <t>08.3.11.01-0091</t>
  </si>
  <si>
    <t>ФССЦ-2001, 08.3.11.01-0091, приказ Минстроя России № 876/пр от 26.12.2019</t>
  </si>
  <si>
    <t>Швеллеры № 40, марка стали Ст0</t>
  </si>
  <si>
    <t>11.1.03.01-0077</t>
  </si>
  <si>
    <t>ФССЦ-2001, 11.1.03.01-0077, приказ Минстроя России № 876/пр от 26.12.2019</t>
  </si>
  <si>
    <t>Бруски обрезные, хвойных пород, длина 4-6,5 м, ширина 75-150 мм, толщина 40-75 мм, сорт I</t>
  </si>
  <si>
    <t>14.4.01.01-0003</t>
  </si>
  <si>
    <t>ФССЦ-2001, 14.4.01.01-0003, приказ Минстроя России № 876/пр от 26.12.2019</t>
  </si>
  <si>
    <t>Грунтовка ГФ-021</t>
  </si>
  <si>
    <t>14.5.09.07-0030</t>
  </si>
  <si>
    <t>ФССЦ-2001, 14.5.09.07-0030, приказ Минстроя России № 876/пр от 26.12.2019</t>
  </si>
  <si>
    <t>Растворитель Р-4</t>
  </si>
  <si>
    <t>01.7.15.14-1024</t>
  </si>
  <si>
    <t>ФССЦ-2001 доп.1, 01.7.15.14-1024, приказ Минстроя России № 172/пр от 30.03.2020</t>
  </si>
  <si>
    <t>Шурупы с потайной головкой, оцинкованные, длина 13-20 мм</t>
  </si>
  <si>
    <t>1-100-38</t>
  </si>
  <si>
    <t>Рабочий среднего разряда 3.8</t>
  </si>
  <si>
    <t>91.05.06-007</t>
  </si>
  <si>
    <t>ФСЭМ-2001, 91.05.06-007 , приказ Минстроя России № 876/пр от 26.12.2019</t>
  </si>
  <si>
    <t>Краны на гусеничном ходу, грузоподъемность 25 т</t>
  </si>
  <si>
    <t>91.06.03-062</t>
  </si>
  <si>
    <t>ФСЭМ-2001, 91.06.03-062 , приказ Минстроя России № 876/пр от 26.12.2019</t>
  </si>
  <si>
    <t>Лебедки электрические тяговым усилием до 31,39 кН (3,2 т)</t>
  </si>
  <si>
    <t>01.7.15.03-0042</t>
  </si>
  <si>
    <t>ФССЦ-2001, 01.7.15.03-0042, приказ Минстроя России № 876/пр от 26.12.2019</t>
  </si>
  <si>
    <t>Болты с гайками и шайбами строительные</t>
  </si>
  <si>
    <t>01.7.15.04-0056</t>
  </si>
  <si>
    <t>ФССЦ-2001, 01.7.15.04-0056, приказ Минстроя России № 876/пр от 26.12.2019</t>
  </si>
  <si>
    <t>Винты самонарезающие, с уплотнительной прокладкой, размер 4,8x35 мм</t>
  </si>
  <si>
    <t>1-100-27</t>
  </si>
  <si>
    <t>Рабочий среднего разряда 2.7</t>
  </si>
  <si>
    <t>91.01.02-004</t>
  </si>
  <si>
    <t>ФСЭМ-2001, 91.01.02-004 , приказ Минстроя России № 876/пр от 26.12.2019</t>
  </si>
  <si>
    <t>Автогрейдеры среднего типа, мощность 99 кВт (135 л.с.)</t>
  </si>
  <si>
    <t>91.12.06-012</t>
  </si>
  <si>
    <t>ФСЭМ-2001, 91.12.06-012 , приказ Минстроя России № 876/пр от 26.12.2019</t>
  </si>
  <si>
    <t>Рыхлители прицепные (без трактора)</t>
  </si>
  <si>
    <t>91.18.01-007</t>
  </si>
  <si>
    <t>ФСЭМ-2001, 91.18.01-007 , приказ Минстроя России № 876/пр от 26.12.2019</t>
  </si>
  <si>
    <t>Компрессоры передвижные с двигателем внутреннего сгорания, давление до 686 кПа (7 ат), производительность до 5 м3/мин</t>
  </si>
  <si>
    <t>1-100-35</t>
  </si>
  <si>
    <t>Рабочий среднего разряда 3.5</t>
  </si>
  <si>
    <t>91.21.12-004</t>
  </si>
  <si>
    <t>ФСЭМ-2001, 91.21.12-004 , приказ Минстроя России № 876/пр от 26.12.2019</t>
  </si>
  <si>
    <t>Ножницы электрические</t>
  </si>
  <si>
    <t>01.6.01.01-0001</t>
  </si>
  <si>
    <t>ФССЦ-2001, 01.6.01.01-0001, приказ Минстроя России № 876/пр от 26.12.2019</t>
  </si>
  <si>
    <t>Лист гипсоволокнистый влагостойкий ГВЛВ, толщина 10 мм</t>
  </si>
  <si>
    <t>01.7.03.01-0001</t>
  </si>
  <si>
    <t>ФССЦ-2001, 01.7.03.01-0001, приказ Минстроя России № 876/пр от 26.12.2019</t>
  </si>
  <si>
    <t>Вода</t>
  </si>
  <si>
    <t>01.7.06.01-0042</t>
  </si>
  <si>
    <t>ФССЦ-2001, 01.7.06.01-0042, приказ Минстроя России № 876/пр от 26.12.2019</t>
  </si>
  <si>
    <t>Лента эластичная самоклеящаяся для профилей направляющих 50/30000 мм</t>
  </si>
  <si>
    <t>01.7.06.04-0002</t>
  </si>
  <si>
    <t>ФССЦ-2001, 01.7.06.04-0002, приказ Минстроя России № 876/пр от 26.12.2019</t>
  </si>
  <si>
    <t>Лента бумажная для повышения трещиностойкости стыков ГКЛ и ГВЛ</t>
  </si>
  <si>
    <t>01.7.06.04-0007</t>
  </si>
  <si>
    <t>ФССЦ-2001, 01.7.06.04-0007, приказ Минстроя России № 876/пр от 26.12.2019</t>
  </si>
  <si>
    <t>Лента разделительная для сопряжения потолка из ЛГК со стеной</t>
  </si>
  <si>
    <t>01.7.15.07-0152</t>
  </si>
  <si>
    <t>ФССЦ-2001, 01.7.15.07-0152, приказ Минстроя России № 876/пр от 26.12.2019</t>
  </si>
  <si>
    <t>Дюбели с шурупом, размер 6x35 мм</t>
  </si>
  <si>
    <t>01.7.15.14-0022</t>
  </si>
  <si>
    <t>ФССЦ-2001, 01.7.15.14-0022, приказ Минстроя России № 876/пр от 26.12.2019</t>
  </si>
  <si>
    <t>Шурупы для ГВЛ 3,9x30</t>
  </si>
  <si>
    <t>01.7.15.14-0023</t>
  </si>
  <si>
    <t>ФССЦ-2001, 01.7.15.14-0023, приказ Минстроя России № 876/пр от 26.12.2019</t>
  </si>
  <si>
    <t>Шурупы для ГВЛ 3,9x45</t>
  </si>
  <si>
    <t>07.2.06.03-0112</t>
  </si>
  <si>
    <t>ФССЦ-2001, 07.2.06.03-0112, приказ Минстроя России № 876/пр от 26.12.2019</t>
  </si>
  <si>
    <t>Профиль направляющий, стальной, оцинкованный, для монтажа гипсовых перегородок и подвесных потолков, длина 3 м, сечение 50x40x0,6 мм</t>
  </si>
  <si>
    <t>07.2.06.03-0195</t>
  </si>
  <si>
    <t>ФССЦ-2001, 07.2.06.03-0195, приказ Минстроя России № 876/пр от 26.12.2019</t>
  </si>
  <si>
    <t>Профиль стоечный, стальной, оцинкованный, для монтажа гипсовых перегородок, длина 3 м, сечение 50x50x0,6 мм</t>
  </si>
  <si>
    <t>ФССЦ-2001, 14.4.01.02-0012, приказ Минстроя России № 876/пр от 26.12.2019</t>
  </si>
  <si>
    <t>Грунтовка укрепляющая, глубокого проникновения, быстросохнущая, паропроницаемая</t>
  </si>
  <si>
    <t>14.5.11.03-0003</t>
  </si>
  <si>
    <t>ФССЦ-2001, 14.5.11.03-0003, приказ Минстроя России № 876/пр от 26.12.2019</t>
  </si>
  <si>
    <t>Смесь сухая шпатлевочная на основе гипса с полимерными добавками, крупность заполнителя не более 0,2 мм, прочность на изгиб не более 1,0 МПа</t>
  </si>
  <si>
    <t>91.06.05-011</t>
  </si>
  <si>
    <t>ФСЭМ-2001, 91.06.05-011 , приказ Минстроя России № 876/пр от 26.12.2019</t>
  </si>
  <si>
    <t>Погрузчики, грузоподъемность 5 т</t>
  </si>
  <si>
    <t>91.07.08-024</t>
  </si>
  <si>
    <t>ФСЭМ-2001, 91.07.08-024 , приказ Минстроя России № 876/пр от 26.12.2019</t>
  </si>
  <si>
    <t>Растворосмесители передвижные, объем барабана 65 л</t>
  </si>
  <si>
    <t>1-100-33</t>
  </si>
  <si>
    <t>Рабочий среднего разряда 3.3</t>
  </si>
  <si>
    <t>91.06.06-046</t>
  </si>
  <si>
    <t>ФСЭМ-2001, 91.06.06-046 , приказ Минстроя России № 876/пр от 26.12.2019</t>
  </si>
  <si>
    <t>Подъемники одномачтовые, грузоподъемность до 500 кг, высота подъема 25 м</t>
  </si>
  <si>
    <t>01.7.17.11-0011</t>
  </si>
  <si>
    <t>ФССЦ-2001, 01.7.17.11-0011, приказ Минстроя России № 876/пр от 26.12.2019</t>
  </si>
  <si>
    <t>Шкурка шлифовальная двухслойная с зернистостью 40-25</t>
  </si>
  <si>
    <t>01.7.20.08-0051</t>
  </si>
  <si>
    <t>ФССЦ-2001, 01.7.20.08-0051, приказ Минстроя России № 876/пр от 26.12.2019</t>
  </si>
  <si>
    <t>Ветошь</t>
  </si>
  <si>
    <t>14.5.11.02-0101</t>
  </si>
  <si>
    <t>ФССЦ-2001, 14.5.11.02-0101, приказ Минстроя России № 876/пр от 26.12.2019</t>
  </si>
  <si>
    <t>Шпатлевка водно-дисперсионная</t>
  </si>
  <si>
    <t>20.5.04.10-0011</t>
  </si>
  <si>
    <t>ФССЦ-2001, 20.5.04.10-0011, приказ Минстроя России № 876/пр от 26.12.2019</t>
  </si>
  <si>
    <t>Сжимы соединительные</t>
  </si>
  <si>
    <t>1-100-17</t>
  </si>
  <si>
    <t>Рабочий среднего разряда 1.7</t>
  </si>
  <si>
    <t>1-100-32</t>
  </si>
  <si>
    <t>Рабочий среднего разряда 3.2</t>
  </si>
  <si>
    <t>91.05.01-016</t>
  </si>
  <si>
    <t>ФСЭМ-2001, 91.05.01-016 , приказ Минстроя России № 876/пр от 26.12.2019</t>
  </si>
  <si>
    <t>Краны башенные, грузоподъемность 5 т</t>
  </si>
  <si>
    <t>04.3.02.09-0102</t>
  </si>
  <si>
    <t>ФССЦ-2001, 04.3.02.09-0102, приказ Минстроя России № 876/пр от 26.12.2019</t>
  </si>
  <si>
    <t>Смеси сухие водостойкие для затирки межплиточных швов шириной 1-6 мм (различная цветовая гамма)</t>
  </si>
  <si>
    <t>91.07.04-001</t>
  </si>
  <si>
    <t>ФСЭМ-2001, 91.07.04-001 , приказ Минстроя России № 876/пр от 26.12.2019</t>
  </si>
  <si>
    <t>Вибраторы глубинные</t>
  </si>
  <si>
    <t>91.07.04-002</t>
  </si>
  <si>
    <t>ФСЭМ-2001, 91.07.04-002 , приказ Минстроя России № 876/пр от 26.12.2019</t>
  </si>
  <si>
    <t>Вибраторы поверхностные</t>
  </si>
  <si>
    <t>01.7.12.16-0021</t>
  </si>
  <si>
    <t>ФССЦ-2001, 01.7.12.16-0021, приказ Минстроя России № 876/пр от 26.12.2019</t>
  </si>
  <si>
    <t>Геоткань</t>
  </si>
  <si>
    <t>08.3.03.06-0001</t>
  </si>
  <si>
    <t>ФССЦ-2001, 08.3.03.06-0001, приказ Минстроя России № 876/пр от 26.12.2019</t>
  </si>
  <si>
    <t>Проволока вязальная</t>
  </si>
  <si>
    <t>11.1.03.01-0079</t>
  </si>
  <si>
    <t>ФССЦ-2001, 11.1.03.01-0079, приказ Минстроя России № 876/пр от 26.12.2019</t>
  </si>
  <si>
    <t>Бруски обрезные, хвойных пород, длина 4-6,5 м, ширина 75-150 мм, толщина 40-75 мм, сорт III</t>
  </si>
  <si>
    <t>11.1.03.06-0095</t>
  </si>
  <si>
    <t>ФССЦ-2001, 11.1.03.06-0095, приказ Минстроя России № 876/пр от 26.12.2019</t>
  </si>
  <si>
    <t>Доска обрезная, хвойных пород, ширина 75-150 мм, толщина 44 мм и более, длина 4-6,5 м, сорт III</t>
  </si>
  <si>
    <t>91.05.01-017</t>
  </si>
  <si>
    <t>ФСЭМ-2001, 91.05.01-017 , приказ Минстроя России № 876/пр от 26.12.2019</t>
  </si>
  <si>
    <t>Краны башенные, грузоподъемность 8 т</t>
  </si>
  <si>
    <t>01.7.07.12-0024</t>
  </si>
  <si>
    <t>ФССЦ-2001, 01.7.07.12-0024, приказ Минстроя России № 876/пр от 26.12.2019</t>
  </si>
  <si>
    <t>Пленка полиэтиленовая, толщина 0,15 мм</t>
  </si>
  <si>
    <t>1-100-37</t>
  </si>
  <si>
    <t>Рабочий среднего разряда 3.7</t>
  </si>
  <si>
    <t>01.2.01.01-0019</t>
  </si>
  <si>
    <t>ФССЦ-2001, 01.2.01.01-0019, приказ Минстроя России № 876/пр от 26.12.2019</t>
  </si>
  <si>
    <t>Битумы нефтяные дорожные вязкие БНД 60/90, БНД 90/130</t>
  </si>
  <si>
    <t>02.3.01.02-1012</t>
  </si>
  <si>
    <t>ФССЦ-2001, 02.3.01.02-1012, приказ Минстроя России № 876/пр от 26.12.2019</t>
  </si>
  <si>
    <t>Песок природный II класс, средний, круглые сита</t>
  </si>
  <si>
    <t>1-100-44</t>
  </si>
  <si>
    <t>Рабочий среднего разряда 4.4</t>
  </si>
  <si>
    <t>91.21.07-011</t>
  </si>
  <si>
    <t>ФСЭМ-2001, 91.21.07-011 , приказ Минстроя России № 876/пр от 26.12.2019</t>
  </si>
  <si>
    <t>Машины мозаично-шлифовальные</t>
  </si>
  <si>
    <t>01.6.03.01-0011</t>
  </si>
  <si>
    <t>ФССЦ-2001, 01.6.03.01-0011, приказ Минстроя России № 876/пр от 26.12.2019</t>
  </si>
  <si>
    <t>Плитка ПВХ</t>
  </si>
  <si>
    <t>01.7.17.05-0021</t>
  </si>
  <si>
    <t>ФССЦ-2001, 01.7.17.05-0021, приказ Минстроя России № 876/пр от 26.12.2019</t>
  </si>
  <si>
    <t>Карборунд</t>
  </si>
  <si>
    <t>14.5.04.03-0104</t>
  </si>
  <si>
    <t>ФССЦ-2001, 14.5.04.03-0104, приказ Минстроя России № 876/пр от 26.12.2019</t>
  </si>
  <si>
    <t>Мастика клеящая каучуковая КН-2</t>
  </si>
  <si>
    <t>1-100-23</t>
  </si>
  <si>
    <t>Рабочий среднего разряда 2.3</t>
  </si>
  <si>
    <t>91.08.03-030</t>
  </si>
  <si>
    <t>ФСЭМ-2001 доп.2, 91.08.03-030, приказ Минстроя России № 294/пр от 01.06.2020</t>
  </si>
  <si>
    <t>Катки самоходные пневмоколесные статические, масса 30 т</t>
  </si>
  <si>
    <t>91.13.01-038</t>
  </si>
  <si>
    <t>ФСЭМ-2001, 91.13.01-038 , приказ Минстроя России № 876/пр от 26.12.2019</t>
  </si>
  <si>
    <t>Машины поливомоечные 6000 л</t>
  </si>
  <si>
    <t>1-100-22</t>
  </si>
  <si>
    <t>Рабочий среднего разряда 2.2</t>
  </si>
  <si>
    <t>08.3.03.04-0012</t>
  </si>
  <si>
    <t>ФССЦ-2001, 08.3.03.04-0012, приказ Минстроя России № 876/пр от 26.12.2019</t>
  </si>
  <si>
    <t>Проволока светлая, диаметр 1,1 мм</t>
  </si>
  <si>
    <t>91.06.03-060</t>
  </si>
  <si>
    <t>ФСЭМ-2001, 91.06.03-060 , приказ Минстроя России № 876/пр от 26.12.2019</t>
  </si>
  <si>
    <t>Лебедки электрические тяговым усилием до 5,79 кН (0,59 т)</t>
  </si>
  <si>
    <t>91.21.01-012</t>
  </si>
  <si>
    <t>ФСЭМ-2001, 91.21.01-012 , приказ Минстроя России № 876/пр от 26.12.2019</t>
  </si>
  <si>
    <t>Агрегаты окрасочные высокого давления для окраски поверхностей конструкций, мощность 1 кВт</t>
  </si>
  <si>
    <t>14.4.04.08-0007</t>
  </si>
  <si>
    <t>ФССЦ-2001, 14.4.04.08-0007, приказ Минстроя России № 876/пр от 26.12.2019</t>
  </si>
  <si>
    <t>Эмаль ПФ-133, темно-серая</t>
  </si>
  <si>
    <t>14.5.09.02-0002</t>
  </si>
  <si>
    <t>ФССЦ-2001, 14.5.09.02-0002, приказ Минстроя России № 876/пр от 26.12.2019</t>
  </si>
  <si>
    <t>Ксилол нефтяной, марка А</t>
  </si>
  <si>
    <t>01.7.15.14-0166</t>
  </si>
  <si>
    <t>ФССЦ-2001, 01.7.15.14-0166, приказ Минстроя России № 876/пр от 26.12.2019</t>
  </si>
  <si>
    <t>Шурупы с полукруглой головкой 5x35 мм</t>
  </si>
  <si>
    <t>91.14.02-002</t>
  </si>
  <si>
    <t>ФСЭМ-2001, 91.14.02-002 , приказ Минстроя России № 876/пр от 26.12.2019</t>
  </si>
  <si>
    <t>Автомобили бортовые, грузоподъемность до 8 т</t>
  </si>
  <si>
    <t>91.21.12-002</t>
  </si>
  <si>
    <t>ФСЭМ-2001, 91.21.12-002 , приказ Минстроя России № 876/пр от 26.12.2019</t>
  </si>
  <si>
    <t>Ножницы листовые кривошипные гильотинные</t>
  </si>
  <si>
    <t>91.21.16-001</t>
  </si>
  <si>
    <t>ФСЭМ-2001, 91.21.16-001 , приказ Минстроя России № 876/пр от 26.12.2019</t>
  </si>
  <si>
    <t>Пресс-ножницы комбинированные</t>
  </si>
  <si>
    <t>01.7.11.07-0044</t>
  </si>
  <si>
    <t>ФССЦ-2001, 01.7.11.07-0044, приказ Минстроя России № 876/пр от 26.12.2019</t>
  </si>
  <si>
    <t>Электроды сварочные Э42, диаметр 5 мм</t>
  </si>
  <si>
    <t>1-100-47</t>
  </si>
  <si>
    <t>Рабочий среднего разряда 4.7</t>
  </si>
  <si>
    <t>14.5.05.02-0001</t>
  </si>
  <si>
    <t>ФССЦ-2001, 14.5.05.02-0001, приказ Минстроя России № 876/пр от 26.12.2019</t>
  </si>
  <si>
    <t>Олифа натуральная</t>
  </si>
  <si>
    <t>01.7.15.07-0083</t>
  </si>
  <si>
    <t>ФССЦ-2001, 01.7.15.07-0083, приказ Минстроя России № 876/пр от 26.12.2019</t>
  </si>
  <si>
    <t>Дюбель-гвозди, размер 8x100 мм</t>
  </si>
  <si>
    <t>01.7.15.14-0062</t>
  </si>
  <si>
    <t>ФССЦ-2001, 01.7.15.14-0062, приказ Минстроя России № 876/пр от 26.12.2019</t>
  </si>
  <si>
    <t>Шурупы-саморезы 4,2x16 мм</t>
  </si>
  <si>
    <t>07.2.06.03-0116</t>
  </si>
  <si>
    <t>ФССЦ-2001, 07.2.06.03-0116, приказ Минстроя России № 876/пр от 26.12.2019</t>
  </si>
  <si>
    <t>Профиль направляющий, стальной, оцинкованный, для монтажа гипсовых перегородок и подвесных потолков, длина 3 м, сечение 75x40x0,6 мм</t>
  </si>
  <si>
    <t>08.1.02.03-0041</t>
  </si>
  <si>
    <t>ФССЦ-2001, 08.1.02.03-0041, приказ Минстроя России № 876/пр от 26.12.2019</t>
  </si>
  <si>
    <t>Кронштейн выравнивающий стальной оцинкованный, высота профиля 200 мм, толщина металла 1,2 мм</t>
  </si>
  <si>
    <t>08.1.02.03-0061</t>
  </si>
  <si>
    <t>ФССЦ-2001, 08.1.02.03-0061, приказ Минстроя России № 876/пр от 26.12.2019</t>
  </si>
  <si>
    <t>Планка начальная из оцинкованной стали с полимерным покрытием</t>
  </si>
  <si>
    <t>08.1.02.03-0071</t>
  </si>
  <si>
    <t>ФССЦ-2001, 08.1.02.03-0071, приказ Минстроя России № 876/пр от 26.12.2019</t>
  </si>
  <si>
    <t>Нащельник стальной оцинкованный с полимерным покрытием</t>
  </si>
  <si>
    <t>08.1.02.03-0091</t>
  </si>
  <si>
    <t>ФССЦ-2001, 08.1.02.03-0091, приказ Минстроя России № 876/пр от 26.12.2019</t>
  </si>
  <si>
    <t>Угол наружный, внутренний из оцинкованной стали с полимерным покрытием</t>
  </si>
  <si>
    <t>01.7.15.04-0048</t>
  </si>
  <si>
    <t>ФССЦ-2001, 01.7.15.04-0048, приказ Минстроя России № 876/пр от 26.12.2019</t>
  </si>
  <si>
    <t>Винты самонарезающие, остроконечные, длина 35 мм</t>
  </si>
  <si>
    <t>01.7.15.07-0021</t>
  </si>
  <si>
    <t>ФССЦ-2001, 01.7.15.07-0021, приказ Минстроя России № 876/пр от 26.12.2019</t>
  </si>
  <si>
    <t>Дюбели распорные полиэтиленовые, размер 6x30 мм</t>
  </si>
  <si>
    <t>1000 ШТ</t>
  </si>
  <si>
    <t>11.3.03.14-0001</t>
  </si>
  <si>
    <t>ФССЦ-2001, 11.3.03.14-0001, приказ Минстроя России № 876/пр от 26.12.2019</t>
  </si>
  <si>
    <t>Заглушки торцевые для плинтуса из ПВХ, левые, высота 48 мм</t>
  </si>
  <si>
    <t>11.3.03.14-0011</t>
  </si>
  <si>
    <t>ФССЦ-2001, 11.3.03.14-0011, приказ Минстроя России № 876/пр от 26.12.2019</t>
  </si>
  <si>
    <t>Заглушки торцевые для плинтуса из ПВХ, правые, высота 48 мм</t>
  </si>
  <si>
    <t>11.3.03.14-0021</t>
  </si>
  <si>
    <t>ФССЦ-2001, 11.3.03.14-0021, приказ Минстроя России № 876/пр от 26.12.2019</t>
  </si>
  <si>
    <t>Соединитель для плинтуса из ПВХ, высота 48 мм</t>
  </si>
  <si>
    <t>11.3.03.14-0031</t>
  </si>
  <si>
    <t>ФССЦ-2001, 11.3.03.14-0031, приказ Минстроя России № 876/пр от 26.12.2019</t>
  </si>
  <si>
    <t>Уголок внутренний для плинтуса из ПВХ, высота 48 мм</t>
  </si>
  <si>
    <t>11.3.03.14-0033</t>
  </si>
  <si>
    <t>ФССЦ-2001, 11.3.03.14-0033, приказ Минстроя России № 876/пр от 26.12.2019</t>
  </si>
  <si>
    <t>Уголок наружный для плинтуса из ПВХ, высота 48 мм</t>
  </si>
  <si>
    <t>91.05.06-012</t>
  </si>
  <si>
    <t>ФСЭМ-2001, 91.05.06-012 , приказ Минстроя России № 876/пр от 26.12.2019</t>
  </si>
  <si>
    <t>Краны на гусеничном ходу, грузоподъемность до 16 т</t>
  </si>
  <si>
    <t>01.6.02.03-1010</t>
  </si>
  <si>
    <t>ФССЦ-2001, 01.6.02.03-1010, приказ Минстроя России № 876/пр от 26.12.2019</t>
  </si>
  <si>
    <t>Пленка ПВХ декоративная отделочная с клеевым слоем ПДСО-12, толщина 0,12 мм</t>
  </si>
  <si>
    <t>14.1.05.03-0001</t>
  </si>
  <si>
    <t>ФССЦ-2001, 14.1.05.03-0001, приказ Минстроя России № 876/пр от 26.12.2019</t>
  </si>
  <si>
    <t>Клей фенолополивинилацетальный</t>
  </si>
  <si>
    <t>14.5.09.11-0102</t>
  </si>
  <si>
    <t>ФССЦ-2001, 14.5.09.11-0102, приказ Минстроя России № 876/пр от 26.12.2019</t>
  </si>
  <si>
    <t>Уайт-спирит</t>
  </si>
  <si>
    <t>14.5.11.01-0001</t>
  </si>
  <si>
    <t>ФССЦ-2001, 14.5.11.01-0001, приказ Минстроя России № 876/пр от 26.12.2019</t>
  </si>
  <si>
    <t>Шпатлевка клеевая</t>
  </si>
  <si>
    <t>01.7.15.04-0011</t>
  </si>
  <si>
    <t>ФССЦ-2001, 01.7.15.04-0011, приказ Минстроя России № 876/пр от 26.12.2019</t>
  </si>
  <si>
    <t>Винты с полукруглой головкой, длина 50 мм</t>
  </si>
  <si>
    <t>03.1.01.01-0002</t>
  </si>
  <si>
    <t>ФССЦ-2001, 03.1.01.01-0002, приказ Минстроя России № 876/пр от 26.12.2019</t>
  </si>
  <si>
    <t>Гипс строительный Г-3</t>
  </si>
  <si>
    <t>24.3.01.01-0002</t>
  </si>
  <si>
    <t>ФССЦ-2001, 24.3.01.01-0002, приказ Минстроя России № 876/пр от 26.12.2019</t>
  </si>
  <si>
    <t>Трубка полихлорвиниловая</t>
  </si>
  <si>
    <t>1-100-41</t>
  </si>
  <si>
    <t>Рабочий среднего разряда 4.1</t>
  </si>
  <si>
    <t>01.7.15.14-0165</t>
  </si>
  <si>
    <t>ФССЦ-2001, 01.7.15.14-0165, приказ Минстроя России № 876/пр от 26.12.2019</t>
  </si>
  <si>
    <t>Шурупы с полукруглой головкой 4x40 мм</t>
  </si>
  <si>
    <t>08.3.03.05-0013</t>
  </si>
  <si>
    <t>ФССЦ-2001, 08.3.03.05-0013, приказ Минстроя России № 876/пр от 26.12.2019</t>
  </si>
  <si>
    <t>Проволока стальная низкоуглеродистая разного назначения оцинкованная, диаметр 1,6 мм</t>
  </si>
  <si>
    <t>01.7.15.14-0161</t>
  </si>
  <si>
    <t>ФССЦ-2001, 01.7.15.14-0161, приказ Минстроя России № 876/пр от 26.12.2019</t>
  </si>
  <si>
    <t>Шурупы с полукруглой головкой 2,5x20 мм</t>
  </si>
  <si>
    <t>01.7.07.20-0002</t>
  </si>
  <si>
    <t>ФССЦ-2001, 01.7.07.20-0002, приказ Минстроя России № 876/пр от 26.12.2019</t>
  </si>
  <si>
    <t>Тальк молотый, сорт I</t>
  </si>
  <si>
    <t>14.4.02.09-0001</t>
  </si>
  <si>
    <t>ФССЦ-2001, 14.4.02.09-0001, приказ Минстроя России № 876/пр от 26.12.2019</t>
  </si>
  <si>
    <t>Краска</t>
  </si>
  <si>
    <t>20.2.01.05-0005</t>
  </si>
  <si>
    <t>ФССЦ-2001, 20.2.01.05-0005, приказ Минстроя России № 876/пр от 26.12.2019</t>
  </si>
  <si>
    <t>Гильзы кабельные медные ГМ 16</t>
  </si>
  <si>
    <t>20.2.02.01-0013</t>
  </si>
  <si>
    <t>ФССЦ-2001, 20.2.02.01-0013, приказ Минстроя России № 876/пр от 26.12.2019</t>
  </si>
  <si>
    <t>Втулки, диаметр 28 мм</t>
  </si>
  <si>
    <t>20.2.01.05-0003</t>
  </si>
  <si>
    <t>ФССЦ-2001, 20.2.01.05-0003, приказ Минстроя России № 876/пр от 26.12.2019</t>
  </si>
  <si>
    <t>Гильзы кабельные медные ГМ 6</t>
  </si>
  <si>
    <t>20.2.02.01-0012</t>
  </si>
  <si>
    <t>ФССЦ-2001, 20.2.02.01-0012, приказ Минстроя России № 876/пр от 26.12.2019</t>
  </si>
  <si>
    <t>Втулки, диаметр 22 мм</t>
  </si>
  <si>
    <t>1-100-39</t>
  </si>
  <si>
    <t>Рабочий среднего разряда 3.9</t>
  </si>
  <si>
    <t>01.7.15.07-0022</t>
  </si>
  <si>
    <t>ФССЦ-2001, 01.7.15.07-0022, приказ Минстроя России № 876/пр от 26.12.2019</t>
  </si>
  <si>
    <t>Дюбели распорные полиэтиленовые, размер 6x40 мм</t>
  </si>
  <si>
    <t>01.7.06.07-0002</t>
  </si>
  <si>
    <t>ФССЦ-2001, 01.7.06.07-0002, приказ Минстроя России № 876/пр от 26.12.2019</t>
  </si>
  <si>
    <t>Лента монтажная, тип ЛМ-5</t>
  </si>
  <si>
    <t>04.3.01.12-0111</t>
  </si>
  <si>
    <t>ФССЦ-2001, 04.3.01.12-0111, приказ Минстроя России № 876/пр от 26.12.2019</t>
  </si>
  <si>
    <t>Раствор готовый отделочный тяжелый, цементно-известковый, состав 1:1:6</t>
  </si>
  <si>
    <t>91.06.03-061</t>
  </si>
  <si>
    <t>ФСЭМ-2001, 91.06.03-061 , приказ Минстроя России № 876/пр от 26.12.2019</t>
  </si>
  <si>
    <t>Лебедки электрические тяговым усилием до 12,26 кН (1,25 т)</t>
  </si>
  <si>
    <t>91.07.07-042</t>
  </si>
  <si>
    <t>ФСЭМ-2001, 91.07.07-042 , приказ Минстроя России № 876/пр от 26.12.2019</t>
  </si>
  <si>
    <t>Растворонасосы, производительность 3 м3/ч</t>
  </si>
  <si>
    <t>14.5.11.02-0105</t>
  </si>
  <si>
    <t>ФССЦ-2001, 14.5.11.02-0105, приказ Минстроя России № 876/пр от 26.12.2019</t>
  </si>
  <si>
    <t>Шпатлевка малоусадочная водостойкая фасадная</t>
  </si>
  <si>
    <t>01.7.04.07</t>
  </si>
  <si>
    <t>Скобяные изделия</t>
  </si>
  <si>
    <t>КОМПЛ</t>
  </si>
  <si>
    <t>07.1.01.03</t>
  </si>
  <si>
    <t>Блоки дверные металлические</t>
  </si>
  <si>
    <t>07.2.05.06</t>
  </si>
  <si>
    <t>Конструкции стальные</t>
  </si>
  <si>
    <t>05.2.04.04</t>
  </si>
  <si>
    <t>Плиты бетонные тротуарные гладкие</t>
  </si>
  <si>
    <t>07.2.05.01</t>
  </si>
  <si>
    <t>Площадки площадью до 2 м2</t>
  </si>
  <si>
    <t>08.1.02.24</t>
  </si>
  <si>
    <t>Ящики почтовые</t>
  </si>
  <si>
    <t>20.3.04.02</t>
  </si>
  <si>
    <t>Знаки, таблички</t>
  </si>
  <si>
    <t>07.2.07.11</t>
  </si>
  <si>
    <t>01.7.04.01</t>
  </si>
  <si>
    <t>Доводчики дверные</t>
  </si>
  <si>
    <t>12.2.03.15</t>
  </si>
  <si>
    <t>Материалы теплоизоляционные из минеральных волокон</t>
  </si>
  <si>
    <t>04.3.02.09</t>
  </si>
  <si>
    <t>Смеси на цементной основе</t>
  </si>
  <si>
    <t>14.4.01.21</t>
  </si>
  <si>
    <t>Грунтовка</t>
  </si>
  <si>
    <t>14.3.02.01</t>
  </si>
  <si>
    <t>Краска акриловая</t>
  </si>
  <si>
    <t>14.4.01.02</t>
  </si>
  <si>
    <t>11.2.13.05</t>
  </si>
  <si>
    <t>Щиты нефрезерованные</t>
  </si>
  <si>
    <t>11.2.04.05</t>
  </si>
  <si>
    <t>Рейки деревянные</t>
  </si>
  <si>
    <t>14.1.06.02</t>
  </si>
  <si>
    <t>Клей для облицовочных работ (сухая смесь)</t>
  </si>
  <si>
    <t>01.7.16.04</t>
  </si>
  <si>
    <t>Опалубка щитовая</t>
  </si>
  <si>
    <t>04.1.02.05</t>
  </si>
  <si>
    <t>Смеси бетонные тяжелого бетона</t>
  </si>
  <si>
    <t>08.4.03.03</t>
  </si>
  <si>
    <t>Арматура</t>
  </si>
  <si>
    <t>04.2.02.01</t>
  </si>
  <si>
    <t>Асфальт литой дорожный</t>
  </si>
  <si>
    <t>14.5.11.10</t>
  </si>
  <si>
    <t>Полимерцементная шпатлевка</t>
  </si>
  <si>
    <t>02.3.01.02</t>
  </si>
  <si>
    <t>Песок для строительных работ природный</t>
  </si>
  <si>
    <t>04.3.01.09</t>
  </si>
  <si>
    <t>Раствор готовый кладочный тяжелый цементный</t>
  </si>
  <si>
    <t>07.2.07.13</t>
  </si>
  <si>
    <t>Планка из стального листа</t>
  </si>
  <si>
    <t>08.3.09.05</t>
  </si>
  <si>
    <t>01.7.03.04-0001-4</t>
  </si>
  <si>
    <t>ФССЦ-2001, 01.7.03.04-0001-4, приказ Минстроя России № 294/пр от 01.06.2020 (см. тех.часть)</t>
  </si>
  <si>
    <t>Затраты на электроэнергию, потребляемую ручным инструментом ( 2 % от ОЗП)</t>
  </si>
  <si>
    <t>01.7.17.09</t>
  </si>
  <si>
    <t>Сверла, буры</t>
  </si>
  <si>
    <t>14.4.02.04</t>
  </si>
  <si>
    <t>Краски для внутренних работ масляные готовые к применению</t>
  </si>
  <si>
    <t>08.1.02.23</t>
  </si>
  <si>
    <t>Сайдинг металлический с полимерным покрытием</t>
  </si>
  <si>
    <t>11.3.03.06</t>
  </si>
  <si>
    <t>Плинтуса для полов пластиковые</t>
  </si>
  <si>
    <t>01.7.15.04-0045</t>
  </si>
  <si>
    <t>ФССЦ-2001, 01.7.15.04-0045, приказ Минстроя России № 876/пр от 26.12.2019</t>
  </si>
  <si>
    <t>Винты самонарезающие для крепления профилированного настила и панелей к несущим конструкциям</t>
  </si>
  <si>
    <t>07.2.06.06</t>
  </si>
  <si>
    <t>Детали крепления стальные</t>
  </si>
  <si>
    <t>09.1.01.01</t>
  </si>
  <si>
    <t>Витражи из алюминиевых сплавов с нащельниками и сливами</t>
  </si>
  <si>
    <t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  Поправка: МР 519/пр Табл.3, п.2  Наименование: Демонтаж: Оборудование, пригодное для дальнейшего использования, со снятием с места установки, необходимой (частичной) разборкой без надобности хранения (перемещается на другое место установки и т.п.)</t>
  </si>
  <si>
    <t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t>
  </si>
  <si>
    <t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  Поправка: Прил. 9.3, п.5  Наименование: Разборка (демонтаж) металлических конструкций</t>
  </si>
  <si>
    <t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  Поправка: МР 519/пр Табл.2, п.1  Наименование: При демонтаже (разборке) сборных бетонных и железобетонных конструкций</t>
  </si>
  <si>
    <t>Поправка: М-ка 421/пр 04.08.20 п.58 п.п. б)  Наименование: При отсутствии необходимых норм (единичных расценок), включенных в сборники ГЭСНр (ФЕРр, ТЕРр), сметные затраты на работы по капитальному ремонту и реконструкции объектов капитального строительства могут быть определены по сметным нормам, включенным в ГЭСН (ФЕР, ТЕР), аналогичным технологическим процессам в новом строительстве, в том числе по возведению новых конструктивных элементов  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t>
  </si>
  <si>
    <t>Грунтовка укрепляющая, глубокого проникновения для внутренних и наружних работ. Время высыхания при t 20 влажности 65% (ч) : 3-5; Плотность:1300-1450; Температура применения:+5°С +30°С; Норма расхода (мл/м2):100-150; Тип грунтовки: дисперсия акриловых сополимеров; Серия: Грунт укрепляющий; Морозостойкость (циклов): не менее 5; Связующее вещество: Акриловый сополимер</t>
  </si>
  <si>
    <t>Краска на чистом акрилатном связующем, обладающая  стойкостью к мытью и содержащая противоплесневый компонент. Полуматовая. Расход 5-8 м2/л по впитывающей поверхности; 7-10 м2/л по ровной невпитывающей поверхности.  Разбавитель Вода. Время высыхания (при 20±2°C и относительной влажности 65±5 %) От пыли - 2 часа. Плотность (кг/л) Ок. 1,2 кг/л. Химическая стойкость -Устойчива к растворителям. Стойкость к мытью. Устойчивость к сильным моющим и дезинфекционным средствам. Стойкость к мокрому истиранию 1 класс по ISO 11998 и EN 13300. Термостойкость 85°C, ISO 4211-2 и ISO 4211-3. Сухой остаток по объему 40%</t>
  </si>
  <si>
    <t>Изготовление и установка металлического пандуса: Трубы ст. прямоуг (ГОСТ 8645-86) 80х40х3 мм -  23 м.п.; Трубы ст. прямоуг (ГОСТ 8645-86) 40х20х3 мм -16 м.п..; настил прессованный решетчатый оцинкованный, ячейка 33х11 мм, толщина 30х2 мм -7,2 м2; стальная полоса 3х150мм - 3,5 м.п.</t>
  </si>
  <si>
    <t>Изготовление и монтаж поручней пандуса и площадки из нержавеющей стали: Трубы из коррозионностойкой стали электросварные, марки 08Х18Н10:  1) Труба наружным диаметром 50,8 мм, толщиной ст. 2 мм - 22,5 м.п.  2) Труба наружным диаметром 38 мм, толщиной ст. 2 мм - 25 м.п.  3) Труба наружным диаметром 16 мм, толщиной ст. 2 мм - 41,6 м.п.</t>
  </si>
  <si>
    <t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  Поправка: М-ка 421/пр 04.08.20 п.58 п.п. б)  Наименование: При отсутствии необходимых норм (единичных расценок), включенных в сборники ГЭСНр (ФЕРр, ТЕРр), сметные затраты на работы по капитальному ремонту и реконструкции объектов капитального строительства могут быть определены по сметным нормам, включенным в ГЭСН (ФЕР, ТЕР), аналогичным технологическим процессам в новом строительстве, в том числе по возведению новых конструктивных элементов</t>
  </si>
  <si>
    <t>Установка входной группы алюминиевой остекленной в пол, двухстворчатой, утепленный профиль глубиной не менее 50мм (2 замка на двери главного входа, ручка-скоба, усиленная петля (3 шт.) с заполнением однокамерным стеклопакетом, RAL 9006) на 90° дверном полотне должна быть больше, либо фактическая ширина дверного проема при открытом равна 900мм (внутренняя) Стеклопакет класс защиты А2.</t>
  </si>
  <si>
    <t>Установка двери алюминиевой двухстворчатой остекленной в пол, холодный профиль (1 замок, ручка-скоба, усиленная петля (3 шт.) с заполнением однокамерным стеклопакетом, белый) фактическая ширина дверного проема при открытом на 90° дверном полотне должна быть больше, либо равна 900мм Стеклопакет класс защиты А2.</t>
  </si>
  <si>
    <t>Светодиодный настенно-потолочный уличный светильник. Высота 42мм; Длина - 638мм; Ширина -73мм; Монтаж: накладной( 220В). Форма плафона: прямоугольный; Тип лампы- встроенные светодиоды 88шт; мощность лампы -  18 Вт; Световой поток: не менее 1200Лм; цветность - холодный белый. Класс защиты IP по ГОСТ 14254-96: не менее IP65.</t>
  </si>
  <si>
    <t>Потолочный подвесной светодиодный светильник; Мощность: 30W; Световой поток: не менее 3900Lm; Размер: 937*66*65 мм, Класс защиты IP по ГОСТ 14254-96: не менее IP 44; Коэффициент пульсации: &lt; 1%; Индекс цветопередачи, Ra- &gt;80;  Коэффициент мощности (PF): &gt;0,9; Угол излучения 120°</t>
  </si>
  <si>
    <t>Видеодомофон в комплекте с вызывной панелью.       Характеристики монитора:                                                         Дисплей: 7" TFT LCD (16:9)  Разрешение, пикселей: 1024 x 600  Стандарт видео: PAL/NTSC  Тип интеркома: Hands free, полудуплекс  Кнопочная панель управления: Да  Продолжительность сеанса вызова: 120 сек.  Внутренняя память: Да, на 189 фото  Поддержка карт SD: microSD-card class 10 до 32 Гб, запись фото и видео  Напряжение питания: AC 100~240В  Рабочая температура: -10°C-50°C  Подключение панели: 4-х проводноеРазрешение: 700 ТВЛ  Характеристики вызывной панели:                                       Объектив: 3.7мм  Мин. освещённость: 0 Люкс, ИК-подсветка включена  Напряжение питания: 12В пост.±10%  Диап. рабочих температур: -30°C-50°C  Подключение: 4-х проводное  Реле электр. замка: 3А/30В пост.  Габаритные размеры: 41 мм(Ш)х122мм(В)х23мм(Г)</t>
  </si>
  <si>
    <t>Вызывная панель совместимая с комплектом видеодомофона                                                     Характеристики вызывной панели:                                       Объектив: 3.7мм  Мин. освещённость: 0 Люкс, ИК-подсветка включена   Стандарт видео: PAL/NTSC  Напряжение питания: 12В пост.±10%  Диап. рабочих температур: -30°C-50°C  Подключение: 4-х проводное  Реле электр. замка: 3А/30В пост.  Габаритные размеры: 41 мм(Ш)х122мм(В)х23мм(Г)</t>
  </si>
  <si>
    <t>Кабель (витая пара): неэкранированная витая пара проводников UTP, категория 5e (или выше), 4 пары, Диаметр проводника - 24 AWG, Материал оболочки: LSZH (оболочка из не поддерживающего горение малодымного безгалогенного компаунда, не содержащего галогенов), Номинальный диаметр проводника: От 0,50 до 0,52 мм; Материал проводника: Медь, (электролитическая), Диаметр кабеля: 5,1 мм, (+-0,02 мм); цвет: оранжевый; Огнестойкость: UL444/UL1581, Стандарт: ANSI/TIA/EIA-568C.2</t>
  </si>
  <si>
    <t>"СОГЛАСОВАНО"</t>
  </si>
  <si>
    <t>"УТВЕРЖДАЮ"</t>
  </si>
  <si>
    <t>(наименование работ и затрат, наименование объекта)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</si>
  <si>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</si>
  <si>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</si>
  <si>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</si>
  <si>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</si>
  <si>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</si>
  <si>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</si>
  <si>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>Нормативная трудоемкость</t>
  </si>
  <si>
    <t>чел. -ч.</t>
  </si>
  <si>
    <t>Средства на оплату труда</t>
  </si>
  <si>
    <t>Строительный объем:</t>
  </si>
  <si>
    <t>Стоимость ед.стр.объема: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</si>
  <si>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</si>
  <si>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</si>
  <si>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</si>
  <si>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</si>
  <si>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</si>
  <si>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</si>
  <si>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</si>
  <si>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</si>
  <si>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</si>
  <si>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</si>
  <si>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</si>
  <si>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Составлена в ценах Индексы к ФЕР-2020 (Стройинформресурс) январь 2021 года и Индексы к ФЕР-2020 по КТЦ (Стройинформресурс) январь 2021 года</t>
  </si>
  <si>
    <r>
      <t>м08-03-593-10</t>
    </r>
    <r>
      <rPr>
        <i/>
        <sz val="10"/>
        <rFont val="Arial"/>
        <family val="2"/>
        <charset val="204"/>
      </rPr>
      <t xml:space="preserve">
Поправка: Мет.421/пр 04.08.20 Пр.10 Т.3 п. 1.2  Поправка: МР 519/пр Табл.3, п.2</t>
    </r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</si>
  <si>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</si>
  <si>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</si>
  <si>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</si>
  <si>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</si>
  <si>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</si>
  <si>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</si>
  <si>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</si>
  <si>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r>
      <t>м10-08-002-04</t>
    </r>
    <r>
      <rPr>
        <i/>
        <sz val="10"/>
        <rFont val="Arial"/>
        <family val="2"/>
        <charset val="204"/>
      </rPr>
      <t xml:space="preserve">
Поправка: Мет.421/пр 04.08.20 Пр.10 Т.3 п. 1.2  Поправка: МР 519/пр Табл.3, п.2</t>
    </r>
  </si>
  <si>
    <r>
      <t>65-30-3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</si>
  <si>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09-04-012-01</t>
    </r>
    <r>
      <rPr>
        <i/>
        <sz val="10"/>
        <rFont val="Arial"/>
        <family val="2"/>
        <charset val="204"/>
      </rPr>
      <t xml:space="preserve">
Поправка: Мет.421/пр 04.08.20 Пр.10 Т.3 п. 1.2  Поправка: Прил. 9.3, п.5</t>
    </r>
  </si>
  <si>
    <r>
      <t>09-03-046-03</t>
    </r>
    <r>
      <rPr>
        <i/>
        <sz val="10"/>
        <rFont val="Arial"/>
        <family val="2"/>
        <charset val="204"/>
      </rPr>
      <t xml:space="preserve">
Поправка: Мет.421/пр 04.08.20 Пр.10 Т.3 п. 1.2  Поправка: Прил. 9.3, п.5</t>
    </r>
  </si>
  <si>
    <r>
      <t>46-04-012-03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</si>
  <si>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46-04-011-02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</si>
  <si>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t xml:space="preserve">к нр </t>
  </si>
  <si>
    <r>
      <t>54-3-2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</si>
  <si>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63-15-1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</si>
  <si>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57-3-1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</si>
  <si>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67-2-11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</si>
  <si>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27-07-003-01</t>
    </r>
    <r>
      <rPr>
        <i/>
        <sz val="10"/>
        <rFont val="Arial"/>
        <family val="2"/>
        <charset val="204"/>
      </rPr>
      <t xml:space="preserve">
Поправка: Мет.421/пр 04.08.20 Пр.10 Т.3 п. 1.2  Поправка: МР 519/пр Табл.2, п.1</t>
    </r>
  </si>
  <si>
    <r>
      <t>46-04-003-01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</si>
  <si>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09-03-030-01</t>
    </r>
    <r>
      <rPr>
        <i/>
        <sz val="10"/>
        <rFont val="Arial"/>
        <family val="2"/>
        <charset val="204"/>
      </rPr>
      <t xml:space="preserve">
Поправка: Мет.421/пр 04.08.20 Пр.10 Т.3 п. 1.2  Поправка: Прил. 9.3, п.5</t>
    </r>
  </si>
  <si>
    <r>
      <t>09-05-016-01</t>
    </r>
    <r>
      <rPr>
        <i/>
        <sz val="10"/>
        <rFont val="Arial"/>
        <family val="2"/>
        <charset val="204"/>
      </rPr>
      <t xml:space="preserve">
Поправка: Мет.421/пр 04.08.20 Пр.10 Т.3 п. 1.2  Поправка: Прил. 9.3, п.5</t>
    </r>
  </si>
  <si>
    <r>
      <t>09-05-014-01</t>
    </r>
    <r>
      <rPr>
        <i/>
        <sz val="10"/>
        <rFont val="Arial"/>
        <family val="2"/>
        <charset val="204"/>
      </rPr>
      <t xml:space="preserve">
Поправка: Мет.421/пр 04.08.20 Пр.10 Т.3 п. 1.2  Поправка: Прил. 9.3, п.5</t>
    </r>
  </si>
  <si>
    <r>
      <t>09-03-039-05</t>
    </r>
    <r>
      <rPr>
        <i/>
        <sz val="10"/>
        <rFont val="Arial"/>
        <family val="2"/>
        <charset val="204"/>
      </rPr>
      <t xml:space="preserve">
Поправка: Мет.421/пр 04.08.20 Пр.10 Т.3 п. 1.2  Поправка: Прил. 9.3, п.5</t>
    </r>
  </si>
  <si>
    <r>
      <t>09-04-012-02</t>
    </r>
    <r>
      <rPr>
        <i/>
        <sz val="10"/>
        <rFont val="Arial"/>
        <family val="2"/>
        <charset val="204"/>
      </rPr>
      <t xml:space="preserve">
Поправка: Мет.421/пр 04.08.20 Пр.10 Т.3 п. 1.2  Поправка: Прил. 9.3, п.5</t>
    </r>
  </si>
  <si>
    <r>
      <t>68-12-4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</si>
  <si>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01-02-057-02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</si>
  <si>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10-06-032-01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</si>
  <si>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t>Материальные ресурсы</t>
  </si>
  <si>
    <r>
      <t>15-02-019-03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</si>
  <si>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15-04-007-03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</si>
  <si>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15-01-047-15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</si>
  <si>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м08-03-593-19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</si>
  <si>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57-2-4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</si>
  <si>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10-02-001-01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</si>
  <si>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11-01-047-01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</si>
  <si>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06-01-004-06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</si>
  <si>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06-01-001-01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</si>
  <si>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27-07-001-01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</si>
  <si>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27-07-001-02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</si>
  <si>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27-07-003-01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</si>
  <si>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11-01-038-02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</si>
  <si>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27-04-001-01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</si>
  <si>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11-01-011-01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</si>
  <si>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06-03-004-12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</si>
  <si>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11-01-011-02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</si>
  <si>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13-03-003-21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</si>
  <si>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09-03-050-01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</si>
  <si>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09-04-012-02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</si>
  <si>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46-03-013-01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</si>
  <si>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09-05-003-01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</si>
  <si>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м38-01-004-07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</si>
  <si>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м38-01-003-04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</si>
  <si>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13-03-002-04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</si>
  <si>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15-04-030-03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</si>
  <si>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15-01-062-02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</si>
  <si>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11-01-040-03</t>
    </r>
    <r>
      <rPr>
        <i/>
        <sz val="10"/>
        <rFont val="Arial"/>
        <family val="2"/>
        <charset val="204"/>
      </rPr>
      <t xml:space="preserve">
Поправка: Мет.421/пр 04.08.20 Пр.10 Т.3 п. 1.2  Поправка: М-ка 421/пр 04.08.20 п.58 п.п. б)</t>
    </r>
  </si>
  <si>
    <r>
      <t>09-04-010-03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</si>
  <si>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15-06-003-03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</si>
  <si>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м08-03-593-09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</si>
  <si>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м08-03-593-10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</si>
  <si>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м10-08-002-04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</si>
  <si>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09-03-039-05</t>
    </r>
    <r>
      <rPr>
        <i/>
        <sz val="10"/>
        <rFont val="Arial"/>
        <family val="2"/>
        <charset val="204"/>
      </rPr>
      <t xml:space="preserve">
Поправка: М-ка 421/пр 04.08.20 п.58 п.п. б)  Поправка: Мет.421/пр 04.08.20 Пр.10 Т.3 п. 1.2</t>
    </r>
  </si>
  <si>
    <r>
      <t>м08-03-594-07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</si>
  <si>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м10-08-019-01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</si>
  <si>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м08-03-591-01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</si>
  <si>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м08-03-605-01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</si>
  <si>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м08-02-409-09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</si>
  <si>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м08-02-412-03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</si>
  <si>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м08-03-575-01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</si>
  <si>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м08-02-412-02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</si>
  <si>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м08-02-390-01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</si>
  <si>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м08-02-399-01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</si>
  <si>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46-03-009-05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</si>
  <si>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61-10-1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</si>
  <si>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15-02-001-01</t>
    </r>
    <r>
      <rPr>
        <i/>
        <sz val="10"/>
        <rFont val="Arial"/>
        <family val="2"/>
        <charset val="204"/>
      </rPr>
      <t xml:space="preserve">
Поправка: Мет.421/пр 04.08.20 Пр.10 Т.3 п. 1.2  Поправка: М-ка 421/пр 04.08.20 п.58 п.п. б)</t>
    </r>
  </si>
  <si>
    <r>
      <t>15-04-019-05</t>
    </r>
    <r>
      <rPr>
        <i/>
        <sz val="10"/>
        <rFont val="Arial"/>
        <family val="2"/>
        <charset val="204"/>
      </rPr>
      <t xml:space="preserve">
Поправка: Мет.421/пр 04.08.20 Пр.10 Т.3 п. 1.2  Поправка: М-ка 421/пр 04.08.20 п.58 п.п. б)</t>
    </r>
  </si>
  <si>
    <r>
      <t>09-05-016-01</t>
    </r>
    <r>
      <rPr>
        <i/>
        <sz val="10"/>
        <rFont val="Arial"/>
        <family val="2"/>
        <charset val="204"/>
      </rPr>
      <t xml:space="preserve">
Поправка: Мет.421/пр 04.08.20 Пр.10 Т.3 п. 1.2  Поправка: М-ка 421/пр 04.08.20 п.58 п.п. б)</t>
    </r>
  </si>
  <si>
    <r>
      <t>м10-10-007-02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</si>
  <si>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м10-01-039-06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</si>
  <si>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r>
      <t>м08-03-591-08</t>
    </r>
    <r>
      <rPr>
        <i/>
        <sz val="10"/>
        <rFont val="Arial"/>
        <family val="2"/>
        <charset val="204"/>
      </rPr>
      <t xml:space="preserve">
Поправка: Мет.421/пр 04.08.20 Пр.10 Т.3 п. 1.2</t>
    </r>
  </si>
  <si>
    <t xml:space="preserve">   </t>
  </si>
  <si>
    <t>___________________________</t>
  </si>
  <si>
    <t>" ___ " ___________ 20 ___ г.</t>
  </si>
  <si>
    <t xml:space="preserve">Мы, нижеподписавшиеся, произвели осмотр объекта </t>
  </si>
  <si>
    <t xml:space="preserve">и постановили произвести ремонт объекта в </t>
  </si>
  <si>
    <t>следующем объеме:</t>
  </si>
  <si>
    <t>Единица измерения</t>
  </si>
  <si>
    <t>Количество</t>
  </si>
  <si>
    <t>Примечание</t>
  </si>
  <si>
    <t>Заказчик _________________</t>
  </si>
  <si>
    <t>Подрядчик _________________</t>
  </si>
  <si>
    <r>
      <t>14.2.02.12-0901</t>
    </r>
    <r>
      <rPr>
        <i/>
        <sz val="10"/>
        <rFont val="Arial"/>
        <family val="2"/>
        <charset val="204"/>
      </rPr>
      <t xml:space="preserve">
</t>
    </r>
  </si>
  <si>
    <r>
      <t>15.1.02.27-3033</t>
    </r>
    <r>
      <rPr>
        <i/>
        <sz val="10"/>
        <rFont val="Arial"/>
        <family val="2"/>
        <charset val="204"/>
      </rPr>
      <t xml:space="preserve">
</t>
    </r>
  </si>
  <si>
    <t>Выполнение работ по приспособлению ОПС 115582 для обеспечения доступа маломобильных групп населения по адресу: 115582, г. Москва, Шипиловский проезд, дом 59, к.2, стр.2</t>
  </si>
  <si>
    <t>бир</t>
  </si>
  <si>
    <t>бдр</t>
  </si>
  <si>
    <t>с НДС</t>
  </si>
  <si>
    <t>ЗАКАЗЧИК:</t>
  </si>
  <si>
    <t>ПОДРЯДЧИК:</t>
  </si>
  <si>
    <t xml:space="preserve">Заместитель директора </t>
  </si>
  <si>
    <t>по имущественным вопросам</t>
  </si>
  <si>
    <t xml:space="preserve"> УФПС г. Москвы </t>
  </si>
  <si>
    <t>________________/ В.А. Максимов/</t>
  </si>
  <si>
    <t>________________ /______________/</t>
  </si>
  <si>
    <t>«___» ___________________20__ г.</t>
  </si>
  <si>
    <t>М.П. (при наличии печати)</t>
  </si>
  <si>
    <t xml:space="preserve">Приложение № 2 к Договору
№______________________
от «____» ________________ 20__г.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</si>
</sst>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;[Red]\-\ #,##0.00"/>
    <numFmt numFmtId="165" formatCode="#,##0.00\ &quot;₽&quot;"/>
  </numFmts>
  <fonts count="25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sz val="12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u/>
      <sz val="11"/>
      <name val="Arial"/>
      <family val="2"/>
      <charset val="204"/>
    </font>
    <font>
      <sz val="10"/>
      <color theme="0" tint="-0.34998626667073579"/>
      <name val="Arial"/>
      <family val="2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"/>
      <family val="2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2" fillId="0" borderId="0" xfId="0" applyFont="1" applyAlignment="1"/>
    <xf numFmtId="0" fontId="11" fillId="0" borderId="0" xfId="0" applyFont="1" applyAlignment="1"/>
    <xf numFmtId="0" fontId="11" fillId="0" borderId="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wrapText="1"/>
    </xf>
    <xf numFmtId="0" fontId="14" fillId="0" borderId="0" xfId="0" applyFont="1" applyAlignment="1">
      <alignment vertical="center" wrapText="1"/>
    </xf>
    <xf numFmtId="0" fontId="13" fillId="0" borderId="0" xfId="0" applyFont="1" applyBorder="1" applyAlignment="1">
      <alignment horizontal="center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 vertical="top"/>
    </xf>
    <xf numFmtId="0" fontId="14" fillId="0" borderId="0" xfId="0" applyFont="1" applyAlignment="1">
      <alignment horizontal="right"/>
    </xf>
    <xf numFmtId="0" fontId="11" fillId="0" borderId="0" xfId="0" applyFont="1" applyAlignment="1">
      <alignment horizontal="right" vertical="top"/>
    </xf>
    <xf numFmtId="0" fontId="16" fillId="0" borderId="0" xfId="0" applyFont="1" applyAlignment="1">
      <alignment horizontal="right" vertical="top"/>
    </xf>
    <xf numFmtId="0" fontId="16" fillId="0" borderId="0" xfId="0" applyFont="1" applyAlignment="1">
      <alignment horizontal="left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9" fillId="0" borderId="0" xfId="0" applyFont="1" applyAlignment="1">
      <alignment vertical="top" wrapText="1"/>
    </xf>
    <xf numFmtId="164" fontId="0" fillId="0" borderId="0" xfId="0" applyNumberFormat="1"/>
    <xf numFmtId="0" fontId="11" fillId="0" borderId="0" xfId="0" applyFont="1" applyAlignment="1">
      <alignment vertical="center"/>
    </xf>
    <xf numFmtId="0" fontId="14" fillId="0" borderId="0" xfId="0" applyFont="1"/>
    <xf numFmtId="0" fontId="11" fillId="0" borderId="0" xfId="0" applyFont="1" applyAlignment="1">
      <alignment horizontal="left" wrapText="1"/>
    </xf>
    <xf numFmtId="0" fontId="17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164" fontId="17" fillId="0" borderId="0" xfId="0" applyNumberFormat="1" applyFont="1" applyAlignment="1">
      <alignment horizontal="right"/>
    </xf>
    <xf numFmtId="0" fontId="9" fillId="0" borderId="0" xfId="0" applyFont="1" applyAlignment="1">
      <alignment horizontal="right" wrapText="1"/>
    </xf>
    <xf numFmtId="0" fontId="17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0" fontId="11" fillId="0" borderId="2" xfId="0" quotePrefix="1" applyFont="1" applyBorder="1" applyAlignment="1">
      <alignment horizontal="right" wrapText="1"/>
    </xf>
    <xf numFmtId="0" fontId="11" fillId="0" borderId="0" xfId="0" quotePrefix="1" applyFont="1" applyAlignment="1">
      <alignment horizontal="right" wrapText="1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14" fillId="0" borderId="0" xfId="0" applyFont="1" applyAlignment="1">
      <alignment horizontal="left"/>
    </xf>
    <xf numFmtId="0" fontId="14" fillId="0" borderId="0" xfId="0" applyFont="1" applyBorder="1" applyAlignment="1">
      <alignment horizontal="right"/>
    </xf>
    <xf numFmtId="0" fontId="14" fillId="0" borderId="0" xfId="0" applyFont="1" applyAlignment="1">
      <alignment horizontal="left" vertical="top"/>
    </xf>
    <xf numFmtId="0" fontId="11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11" fillId="0" borderId="5" xfId="0" applyFont="1" applyBorder="1" applyAlignment="1">
      <alignment horizontal="center"/>
    </xf>
    <xf numFmtId="0" fontId="11" fillId="0" borderId="5" xfId="0" applyFont="1" applyFill="1" applyBorder="1" applyAlignment="1">
      <alignment horizontal="center"/>
    </xf>
    <xf numFmtId="0" fontId="11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wrapText="1"/>
    </xf>
    <xf numFmtId="0" fontId="11" fillId="0" borderId="3" xfId="0" applyFont="1" applyBorder="1" applyAlignment="1">
      <alignment horizontal="right" wrapText="1"/>
    </xf>
    <xf numFmtId="0" fontId="11" fillId="0" borderId="3" xfId="0" applyFont="1" applyBorder="1" applyAlignment="1">
      <alignment horizontal="right"/>
    </xf>
    <xf numFmtId="0" fontId="11" fillId="0" borderId="5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wrapText="1"/>
    </xf>
    <xf numFmtId="0" fontId="11" fillId="0" borderId="5" xfId="0" applyFont="1" applyBorder="1" applyAlignment="1">
      <alignment horizontal="right" wrapText="1"/>
    </xf>
    <xf numFmtId="0" fontId="11" fillId="0" borderId="5" xfId="0" applyFont="1" applyBorder="1" applyAlignment="1">
      <alignment horizontal="right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11" fillId="0" borderId="0" xfId="0" applyFont="1" applyAlignment="1">
      <alignment horizontal="left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4" fillId="0" borderId="0" xfId="0" applyFont="1" applyAlignment="1">
      <alignment horizontal="right"/>
    </xf>
    <xf numFmtId="0" fontId="11" fillId="0" borderId="2" xfId="0" applyFont="1" applyBorder="1" applyAlignment="1">
      <alignment horizontal="left"/>
    </xf>
    <xf numFmtId="0" fontId="11" fillId="0" borderId="0" xfId="0" applyFont="1" applyAlignment="1">
      <alignment horizontal="right" wrapText="1"/>
    </xf>
    <xf numFmtId="164" fontId="14" fillId="0" borderId="1" xfId="0" applyNumberFormat="1" applyFont="1" applyBorder="1" applyAlignment="1">
      <alignment horizontal="right"/>
    </xf>
    <xf numFmtId="0" fontId="19" fillId="0" borderId="0" xfId="0" applyFont="1" applyAlignment="1">
      <alignment horizontal="left" wrapText="1"/>
    </xf>
    <xf numFmtId="0" fontId="12" fillId="0" borderId="0" xfId="0" applyFont="1" applyAlignment="1">
      <alignment horizontal="center" wrapText="1"/>
    </xf>
    <xf numFmtId="164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left" wrapText="1"/>
    </xf>
    <xf numFmtId="0" fontId="12" fillId="0" borderId="5" xfId="0" applyFont="1" applyBorder="1" applyAlignment="1">
      <alignment horizontal="center" wrapText="1"/>
    </xf>
    <xf numFmtId="0" fontId="14" fillId="0" borderId="0" xfId="0" applyFont="1" applyBorder="1" applyAlignment="1">
      <alignment horizontal="right"/>
    </xf>
    <xf numFmtId="0" fontId="13" fillId="0" borderId="0" xfId="0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20" fillId="0" borderId="0" xfId="0" applyFont="1"/>
    <xf numFmtId="165" fontId="20" fillId="0" borderId="0" xfId="0" applyNumberFormat="1" applyFont="1"/>
    <xf numFmtId="0" fontId="21" fillId="0" borderId="0" xfId="0" applyFont="1" applyBorder="1" applyAlignment="1">
      <alignment vertical="top" wrapText="1"/>
    </xf>
    <xf numFmtId="0" fontId="11" fillId="0" borderId="0" xfId="0" applyFont="1" applyBorder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vertical="top"/>
    </xf>
    <xf numFmtId="0" fontId="23" fillId="0" borderId="0" xfId="0" applyFont="1" applyBorder="1"/>
    <xf numFmtId="0" fontId="23" fillId="0" borderId="0" xfId="0" applyFont="1" applyAlignment="1">
      <alignment horizontal="right"/>
    </xf>
    <xf numFmtId="0" fontId="24" fillId="0" borderId="0" xfId="0" applyFont="1" applyAlignment="1">
      <alignment vertical="center"/>
    </xf>
    <xf numFmtId="0" fontId="23" fillId="0" borderId="0" xfId="0" applyFont="1"/>
    <xf numFmtId="0" fontId="24" fillId="0" borderId="0" xfId="0" applyFont="1"/>
    <xf numFmtId="0" fontId="13" fillId="0" borderId="0" xfId="0" applyFont="1" applyAlignment="1"/>
    <xf numFmtId="0" fontId="24" fillId="0" borderId="0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886"/>
  <sheetViews>
    <sheetView tabSelected="1" view="pageBreakPreview" topLeftCell="A838" zoomScale="60" zoomScaleNormal="100" workbookViewId="0">
      <selection activeCell="H10" sqref="H10"/>
    </sheetView>
  </sheetViews>
  <sheetFormatPr defaultRowHeight="12.75" x14ac:dyDescent="0.2"/>
  <cols>
    <col min="1" max="1" width="5.7109375" customWidth="1"/>
    <col min="2" max="2" width="17.140625" customWidth="1"/>
    <col min="3" max="3" width="40.7109375" customWidth="1"/>
    <col min="4" max="5" width="10.7109375" customWidth="1"/>
    <col min="6" max="7" width="12.7109375" customWidth="1"/>
    <col min="8" max="8" width="19.28515625" customWidth="1"/>
    <col min="9" max="9" width="17.7109375" customWidth="1"/>
    <col min="10" max="10" width="8.7109375" customWidth="1"/>
    <col min="11" max="11" width="12.7109375" customWidth="1"/>
    <col min="14" max="30" width="0" hidden="1" customWidth="1"/>
    <col min="31" max="32" width="91.7109375" hidden="1" customWidth="1"/>
    <col min="33" max="35" width="0" hidden="1" customWidth="1"/>
    <col min="36" max="36" width="11.7109375" bestFit="1" customWidth="1"/>
    <col min="37" max="37" width="11.7109375" customWidth="1"/>
  </cols>
  <sheetData>
    <row r="1" spans="1:12" x14ac:dyDescent="0.2">
      <c r="A1" s="9"/>
      <c r="H1" s="97" t="s">
        <v>1479</v>
      </c>
      <c r="I1" s="97"/>
      <c r="J1" s="97"/>
      <c r="K1" s="97"/>
      <c r="L1" s="97"/>
    </row>
    <row r="2" spans="1:12" ht="14.25" customHeight="1" x14ac:dyDescent="0.2">
      <c r="A2" s="63"/>
      <c r="B2" s="63"/>
      <c r="C2" s="63"/>
      <c r="D2" s="63"/>
      <c r="E2" s="63"/>
      <c r="F2" s="63"/>
      <c r="G2" s="87"/>
      <c r="H2" s="97"/>
      <c r="I2" s="97"/>
      <c r="J2" s="97"/>
      <c r="K2" s="97"/>
      <c r="L2" s="97"/>
    </row>
    <row r="3" spans="1:12" ht="16.5" x14ac:dyDescent="0.25">
      <c r="A3" s="12"/>
      <c r="B3" s="96"/>
      <c r="C3" s="96"/>
      <c r="D3" s="96"/>
      <c r="E3" s="96"/>
      <c r="F3" s="11"/>
      <c r="G3" s="87"/>
      <c r="H3" s="97"/>
      <c r="I3" s="97"/>
      <c r="J3" s="97"/>
      <c r="K3" s="97"/>
      <c r="L3" s="97"/>
    </row>
    <row r="4" spans="1:12" ht="14.25" customHeight="1" x14ac:dyDescent="0.2">
      <c r="A4" s="11"/>
      <c r="B4" s="13"/>
      <c r="C4" s="13"/>
      <c r="D4" s="13"/>
      <c r="E4" s="13"/>
      <c r="F4" s="11"/>
      <c r="G4" s="87"/>
      <c r="H4" s="97"/>
      <c r="I4" s="97"/>
      <c r="J4" s="97"/>
      <c r="K4" s="97"/>
      <c r="L4" s="97"/>
    </row>
    <row r="5" spans="1:12" ht="14.25" customHeight="1" x14ac:dyDescent="0.2">
      <c r="A5" s="13"/>
      <c r="B5" s="13"/>
      <c r="C5" s="14"/>
      <c r="D5" s="14"/>
      <c r="E5" s="14"/>
      <c r="F5" s="11"/>
      <c r="G5" s="87"/>
      <c r="H5" s="97"/>
      <c r="I5" s="97"/>
      <c r="J5" s="97"/>
      <c r="K5" s="97"/>
      <c r="L5" s="97"/>
    </row>
    <row r="6" spans="1:12" ht="50.25" customHeight="1" x14ac:dyDescent="0.2">
      <c r="A6" s="62"/>
      <c r="B6" s="13"/>
      <c r="C6" s="13"/>
      <c r="D6" s="13"/>
      <c r="E6" s="13"/>
      <c r="F6" s="11"/>
      <c r="G6" s="87"/>
      <c r="H6" s="97"/>
      <c r="I6" s="97"/>
      <c r="J6" s="97"/>
      <c r="K6" s="97"/>
      <c r="L6" s="97"/>
    </row>
    <row r="7" spans="1:12" ht="14.25" customHeight="1" x14ac:dyDescent="0.2">
      <c r="A7" s="16"/>
      <c r="B7" s="16"/>
      <c r="C7" s="16"/>
      <c r="D7" s="16"/>
      <c r="E7" s="16"/>
      <c r="F7" s="11"/>
      <c r="G7" s="87"/>
      <c r="H7" s="87"/>
      <c r="I7" s="87"/>
      <c r="J7" s="87"/>
      <c r="K7" s="87"/>
    </row>
    <row r="9" spans="1:12" ht="15.75" customHeight="1" x14ac:dyDescent="0.2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</row>
    <row r="10" spans="1:12" ht="14.25" customHeight="1" x14ac:dyDescent="0.2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</row>
    <row r="11" spans="1:12" ht="14.25" customHeight="1" x14ac:dyDescent="0.2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</row>
    <row r="12" spans="1:12" ht="14.25" customHeight="1" x14ac:dyDescent="0.2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</row>
    <row r="13" spans="1:12" ht="14.25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spans="1:12" ht="15.75" x14ac:dyDescent="0.25">
      <c r="A14" s="17"/>
      <c r="B14" s="65" t="str">
        <f>CONCATENATE( "ЛОКАЛЬНАЯ СМЕТА № ",IF(Source!F12&lt;&gt;"Новый объект", Source!F12, ""))</f>
        <v xml:space="preserve">ЛОКАЛЬНАЯ СМЕТА № </v>
      </c>
      <c r="C14" s="65"/>
      <c r="D14" s="65"/>
      <c r="E14" s="65"/>
      <c r="F14" s="65"/>
      <c r="G14" s="65"/>
      <c r="H14" s="65"/>
      <c r="I14" s="65"/>
      <c r="J14" s="65"/>
      <c r="K14" s="65"/>
    </row>
    <row r="15" spans="1:12" ht="15.75" x14ac:dyDescent="0.25">
      <c r="A15" s="17"/>
      <c r="B15" s="18"/>
      <c r="C15" s="18"/>
      <c r="D15" s="18"/>
      <c r="E15" s="18"/>
      <c r="F15" s="18"/>
      <c r="G15" s="18"/>
      <c r="H15" s="18"/>
      <c r="I15" s="18"/>
      <c r="J15" s="18"/>
      <c r="K15" s="18"/>
    </row>
    <row r="16" spans="1:12" ht="18" hidden="1" x14ac:dyDescent="0.25">
      <c r="A16" s="17"/>
      <c r="B16" s="66"/>
      <c r="C16" s="66"/>
      <c r="D16" s="66"/>
      <c r="E16" s="66"/>
      <c r="F16" s="66"/>
      <c r="G16" s="66"/>
      <c r="H16" s="66"/>
      <c r="I16" s="66"/>
      <c r="J16" s="66"/>
      <c r="K16" s="66"/>
    </row>
    <row r="17" spans="1:11" ht="14.25" hidden="1" x14ac:dyDescent="0.2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spans="1:11" ht="35.25" customHeight="1" x14ac:dyDescent="0.25">
      <c r="A18" s="11"/>
      <c r="B18" s="67" t="s">
        <v>1466</v>
      </c>
      <c r="C18" s="67"/>
      <c r="D18" s="67"/>
      <c r="E18" s="67"/>
      <c r="F18" s="67"/>
      <c r="G18" s="67"/>
      <c r="H18" s="67"/>
      <c r="I18" s="67"/>
      <c r="J18" s="67"/>
      <c r="K18" s="67"/>
    </row>
    <row r="19" spans="1:11" ht="14.25" x14ac:dyDescent="0.2">
      <c r="A19" s="11"/>
      <c r="B19" s="68" t="s">
        <v>1347</v>
      </c>
      <c r="C19" s="68"/>
      <c r="D19" s="68"/>
      <c r="E19" s="68"/>
      <c r="F19" s="68"/>
      <c r="G19" s="68"/>
      <c r="H19" s="68"/>
      <c r="I19" s="68"/>
      <c r="J19" s="68"/>
      <c r="K19" s="68"/>
    </row>
    <row r="20" spans="1:11" ht="14.25" x14ac:dyDescent="0.2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spans="1:11" ht="14.25" x14ac:dyDescent="0.2">
      <c r="A21" s="69" t="str">
        <f>CONCATENATE("Основание: ", Source!J12)</f>
        <v xml:space="preserve">Основание: 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</row>
    <row r="22" spans="1:11" ht="14.25" x14ac:dyDescent="0.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spans="1:11" ht="14.25" x14ac:dyDescent="0.2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spans="1:11" ht="14.25" x14ac:dyDescent="0.2">
      <c r="A24" s="11"/>
      <c r="B24" s="11"/>
      <c r="C24" s="11"/>
      <c r="D24" s="11"/>
      <c r="E24" s="19"/>
      <c r="F24" s="19"/>
      <c r="G24" s="70" t="s">
        <v>1348</v>
      </c>
      <c r="H24" s="70"/>
      <c r="I24" s="70" t="s">
        <v>1349</v>
      </c>
      <c r="J24" s="70"/>
      <c r="K24" s="11"/>
    </row>
    <row r="25" spans="1:11" ht="15" x14ac:dyDescent="0.25">
      <c r="A25" s="11"/>
      <c r="B25" s="11"/>
      <c r="C25" s="73" t="s">
        <v>1350</v>
      </c>
      <c r="D25" s="73"/>
      <c r="E25" s="73"/>
      <c r="F25" s="73"/>
      <c r="G25" s="72">
        <f>SUM(N1:N870)/1000</f>
        <v>93.226729999999975</v>
      </c>
      <c r="H25" s="72"/>
      <c r="I25" s="72">
        <v>1080.96</v>
      </c>
      <c r="J25" s="72"/>
      <c r="K25" s="11" t="s">
        <v>1351</v>
      </c>
    </row>
    <row r="26" spans="1:11" ht="14.25" x14ac:dyDescent="0.2">
      <c r="A26" s="11"/>
      <c r="B26" s="11"/>
      <c r="C26" s="71" t="s">
        <v>1352</v>
      </c>
      <c r="D26" s="71"/>
      <c r="E26" s="71"/>
      <c r="F26" s="71"/>
      <c r="G26" s="72">
        <f>SUM(V1:V870)/1000</f>
        <v>64.142570000000006</v>
      </c>
      <c r="H26" s="72"/>
      <c r="I26" s="72">
        <f>(Source!F349)/1000</f>
        <v>571.50242000000003</v>
      </c>
      <c r="J26" s="72"/>
      <c r="K26" s="11" t="s">
        <v>1351</v>
      </c>
    </row>
    <row r="27" spans="1:11" ht="14.25" x14ac:dyDescent="0.2">
      <c r="A27" s="11"/>
      <c r="B27" s="11"/>
      <c r="C27" s="71" t="s">
        <v>1353</v>
      </c>
      <c r="D27" s="71"/>
      <c r="E27" s="71"/>
      <c r="F27" s="71"/>
      <c r="G27" s="72">
        <f>SUM(W1:W870)/1000</f>
        <v>29.084159999999986</v>
      </c>
      <c r="H27" s="72"/>
      <c r="I27" s="72">
        <f>(Source!F350)/1000</f>
        <v>311.63493</v>
      </c>
      <c r="J27" s="72"/>
      <c r="K27" s="11" t="s">
        <v>1351</v>
      </c>
    </row>
    <row r="28" spans="1:11" ht="15" x14ac:dyDescent="0.25">
      <c r="A28" s="11"/>
      <c r="B28" s="11"/>
      <c r="C28" s="73" t="s">
        <v>1354</v>
      </c>
      <c r="D28" s="73"/>
      <c r="E28" s="73"/>
      <c r="F28" s="73"/>
      <c r="G28" s="72">
        <f>I28</f>
        <v>619.71473942249997</v>
      </c>
      <c r="H28" s="72"/>
      <c r="I28" s="72">
        <f>(Source!F354+Source!F355)</f>
        <v>619.71473942249997</v>
      </c>
      <c r="J28" s="72"/>
      <c r="K28" s="11" t="s">
        <v>1355</v>
      </c>
    </row>
    <row r="29" spans="1:11" ht="15" x14ac:dyDescent="0.25">
      <c r="A29" s="11"/>
      <c r="B29" s="11"/>
      <c r="C29" s="73" t="s">
        <v>1356</v>
      </c>
      <c r="D29" s="73"/>
      <c r="E29" s="73"/>
      <c r="F29" s="73"/>
      <c r="G29" s="72">
        <f>SUM(Q1:Q870)/1000</f>
        <v>5.7035800000000005</v>
      </c>
      <c r="H29" s="72"/>
      <c r="I29" s="72">
        <f>(Source!F347+ Source!F346)/1000</f>
        <v>191.92482999999999</v>
      </c>
      <c r="J29" s="72"/>
      <c r="K29" s="11" t="s">
        <v>1351</v>
      </c>
    </row>
    <row r="30" spans="1:11" ht="14.25" hidden="1" x14ac:dyDescent="0.2">
      <c r="A30" s="11"/>
      <c r="B30" s="11"/>
      <c r="C30" s="71" t="s">
        <v>664</v>
      </c>
      <c r="D30" s="71"/>
      <c r="E30" s="71"/>
      <c r="F30" s="71"/>
      <c r="G30" s="72"/>
      <c r="H30" s="72"/>
      <c r="I30" s="72"/>
      <c r="J30" s="72"/>
      <c r="K30" s="20" t="s">
        <v>1351</v>
      </c>
    </row>
    <row r="31" spans="1:11" ht="15" x14ac:dyDescent="0.25">
      <c r="A31" s="11"/>
      <c r="B31" s="11"/>
      <c r="C31" s="21"/>
      <c r="D31" s="21"/>
      <c r="E31" s="21"/>
      <c r="F31" s="15"/>
      <c r="G31" s="22"/>
      <c r="H31" s="22"/>
      <c r="I31" s="22"/>
      <c r="J31" s="22"/>
      <c r="K31" s="22"/>
    </row>
    <row r="32" spans="1:11" ht="15" hidden="1" x14ac:dyDescent="0.2">
      <c r="A32" s="15" t="s">
        <v>1357</v>
      </c>
      <c r="B32" s="11"/>
      <c r="C32" s="11"/>
      <c r="D32" s="13"/>
      <c r="E32" s="11"/>
      <c r="F32" s="11"/>
      <c r="G32" s="23"/>
      <c r="H32" s="23"/>
      <c r="I32" s="24"/>
      <c r="J32" s="23"/>
      <c r="K32" s="23"/>
    </row>
    <row r="33" spans="1:21" ht="15" hidden="1" x14ac:dyDescent="0.2">
      <c r="A33" s="15" t="s">
        <v>1358</v>
      </c>
      <c r="B33" s="11"/>
      <c r="C33" s="11"/>
      <c r="D33" s="13"/>
      <c r="E33" s="11"/>
      <c r="F33" s="11"/>
      <c r="G33" s="23"/>
      <c r="H33" s="23"/>
      <c r="I33" s="24"/>
      <c r="J33" s="23"/>
      <c r="K33" s="23"/>
    </row>
    <row r="34" spans="1:21" ht="15" hidden="1" x14ac:dyDescent="0.2">
      <c r="A34" s="11"/>
      <c r="B34" s="11"/>
      <c r="C34" s="10"/>
      <c r="D34" s="10"/>
      <c r="E34" s="10"/>
      <c r="F34" s="10"/>
      <c r="G34" s="23"/>
      <c r="H34" s="23"/>
      <c r="I34" s="24"/>
      <c r="J34" s="23"/>
      <c r="K34" s="23"/>
    </row>
    <row r="35" spans="1:21" ht="14.25" x14ac:dyDescent="0.2">
      <c r="A35" s="74" t="s">
        <v>1370</v>
      </c>
      <c r="B35" s="74"/>
      <c r="C35" s="74"/>
      <c r="D35" s="74"/>
      <c r="E35" s="74"/>
      <c r="F35" s="74"/>
      <c r="G35" s="74"/>
      <c r="H35" s="74"/>
      <c r="I35" s="74"/>
      <c r="J35" s="74"/>
      <c r="K35" s="74"/>
    </row>
    <row r="36" spans="1:21" ht="42.75" x14ac:dyDescent="0.2">
      <c r="A36" s="25" t="s">
        <v>1359</v>
      </c>
      <c r="B36" s="25" t="s">
        <v>1360</v>
      </c>
      <c r="C36" s="25" t="s">
        <v>1361</v>
      </c>
      <c r="D36" s="25" t="s">
        <v>1362</v>
      </c>
      <c r="E36" s="25" t="s">
        <v>1363</v>
      </c>
      <c r="F36" s="25" t="s">
        <v>1364</v>
      </c>
      <c r="G36" s="25" t="s">
        <v>1365</v>
      </c>
      <c r="H36" s="25" t="s">
        <v>1366</v>
      </c>
      <c r="I36" s="25" t="s">
        <v>1367</v>
      </c>
      <c r="J36" s="25" t="s">
        <v>1368</v>
      </c>
      <c r="K36" s="25" t="s">
        <v>1369</v>
      </c>
    </row>
    <row r="37" spans="1:21" ht="14.25" x14ac:dyDescent="0.2">
      <c r="A37" s="26">
        <v>1</v>
      </c>
      <c r="B37" s="26">
        <v>2</v>
      </c>
      <c r="C37" s="26">
        <v>3</v>
      </c>
      <c r="D37" s="26">
        <v>4</v>
      </c>
      <c r="E37" s="26">
        <v>5</v>
      </c>
      <c r="F37" s="26">
        <v>6</v>
      </c>
      <c r="G37" s="26">
        <v>7</v>
      </c>
      <c r="H37" s="26">
        <v>8</v>
      </c>
      <c r="I37" s="26">
        <v>9</v>
      </c>
      <c r="J37" s="26">
        <v>10</v>
      </c>
      <c r="K37" s="26">
        <v>11</v>
      </c>
    </row>
    <row r="39" spans="1:21" ht="16.5" x14ac:dyDescent="0.25">
      <c r="A39" s="78" t="str">
        <f>CONCATENATE("Раздел: ",IF(Source!G24&lt;&gt;"Новый раздел", Source!G24, ""))</f>
        <v>Раздел: Общестроительные работы</v>
      </c>
      <c r="B39" s="78"/>
      <c r="C39" s="78"/>
      <c r="D39" s="78"/>
      <c r="E39" s="78"/>
      <c r="F39" s="78"/>
      <c r="G39" s="78"/>
      <c r="H39" s="78"/>
      <c r="I39" s="78"/>
      <c r="J39" s="78"/>
      <c r="K39" s="78"/>
    </row>
    <row r="41" spans="1:21" ht="15" x14ac:dyDescent="0.25">
      <c r="B41" s="77" t="str">
        <f>Source!G28</f>
        <v>Демонтажные работы</v>
      </c>
      <c r="C41" s="77"/>
      <c r="D41" s="77"/>
      <c r="E41" s="77"/>
      <c r="F41" s="77"/>
      <c r="G41" s="77"/>
      <c r="H41" s="77"/>
      <c r="I41" s="77"/>
      <c r="J41" s="77"/>
      <c r="K41" s="77"/>
    </row>
    <row r="42" spans="1:21" ht="90.75" x14ac:dyDescent="0.2">
      <c r="A42" s="20" t="str">
        <f>Source!E29</f>
        <v>1</v>
      </c>
      <c r="B42" s="43" t="s">
        <v>1371</v>
      </c>
      <c r="C42" s="43" t="str">
        <f>Source!G29</f>
        <v>Демонтаж табличек "Выход" с сохранением</v>
      </c>
      <c r="D42" s="32" t="str">
        <f>Source!H29</f>
        <v>100 ШТ</v>
      </c>
      <c r="E42" s="10">
        <f>Source!I29</f>
        <v>0.01</v>
      </c>
      <c r="F42" s="33">
        <f>Source!AL29+Source!AM29+Source!AO29</f>
        <v>1335.94</v>
      </c>
      <c r="G42" s="34"/>
      <c r="H42" s="33"/>
      <c r="I42" s="34" t="str">
        <f>Source!BO29</f>
        <v>м08-03-593-10</v>
      </c>
      <c r="J42" s="34"/>
      <c r="K42" s="33"/>
      <c r="R42">
        <f>ROUND((Source!FX29/100)*((ROUND(Source!AF29*Source!I29, 2)+ROUND(Source!AE29*Source!I29, 2))), 2)</f>
        <v>6.03</v>
      </c>
      <c r="S42">
        <f>Source!X29</f>
        <v>203.1</v>
      </c>
      <c r="T42">
        <f>ROUND((Source!FY29/100)*((ROUND(Source!AF29*Source!I29, 2)+ROUND(Source!AE29*Source!I29, 2))), 2)</f>
        <v>4.13</v>
      </c>
      <c r="U42">
        <f>Source!Y29</f>
        <v>138.96</v>
      </c>
    </row>
    <row r="43" spans="1:21" x14ac:dyDescent="0.2">
      <c r="C43" s="27" t="str">
        <f>"Объем: "&amp;Source!I29&amp;"=1/"&amp;"100"</f>
        <v>Объем: 0,01=1/100</v>
      </c>
    </row>
    <row r="44" spans="1:21" ht="14.25" x14ac:dyDescent="0.2">
      <c r="A44" s="20"/>
      <c r="B44" s="43"/>
      <c r="C44" s="43" t="s">
        <v>1372</v>
      </c>
      <c r="D44" s="32"/>
      <c r="E44" s="10"/>
      <c r="F44" s="33">
        <f>Source!AO29</f>
        <v>779.32</v>
      </c>
      <c r="G44" s="34" t="str">
        <f>Source!DG29</f>
        <v>)*1,35)*0,6</v>
      </c>
      <c r="H44" s="33">
        <f>ROUND(Source!AF29*Source!I29, 2)</f>
        <v>6.31</v>
      </c>
      <c r="I44" s="34"/>
      <c r="J44" s="34">
        <f>IF(Source!BA29&lt;&gt; 0, Source!BA29, 1)</f>
        <v>33.65</v>
      </c>
      <c r="K44" s="33">
        <f>Source!S29</f>
        <v>212.42</v>
      </c>
      <c r="Q44">
        <f>H44</f>
        <v>6.31</v>
      </c>
    </row>
    <row r="45" spans="1:21" ht="14.25" x14ac:dyDescent="0.2">
      <c r="A45" s="20"/>
      <c r="B45" s="43"/>
      <c r="C45" s="43" t="s">
        <v>646</v>
      </c>
      <c r="D45" s="32"/>
      <c r="E45" s="10"/>
      <c r="F45" s="33">
        <f>Source!AM29</f>
        <v>36.22</v>
      </c>
      <c r="G45" s="34" t="str">
        <f>Source!DE29</f>
        <v>)*1,35)*0,6</v>
      </c>
      <c r="H45" s="33">
        <f>ROUND(Source!AD29*Source!I29, 2)</f>
        <v>0.28999999999999998</v>
      </c>
      <c r="I45" s="34"/>
      <c r="J45" s="34">
        <f>IF(Source!BB29&lt;&gt; 0, Source!BB29, 1)</f>
        <v>10.220000000000001</v>
      </c>
      <c r="K45" s="33">
        <f>Source!Q29</f>
        <v>3</v>
      </c>
    </row>
    <row r="46" spans="1:21" ht="14.25" x14ac:dyDescent="0.2">
      <c r="A46" s="20"/>
      <c r="B46" s="43"/>
      <c r="C46" s="43" t="s">
        <v>1373</v>
      </c>
      <c r="D46" s="32"/>
      <c r="E46" s="10"/>
      <c r="F46" s="33">
        <f>Source!AN29</f>
        <v>5.0199999999999996</v>
      </c>
      <c r="G46" s="34" t="str">
        <f>Source!DF29</f>
        <v>)*1,35)*0,6</v>
      </c>
      <c r="H46" s="35">
        <f>ROUND(Source!AE29*Source!I29, 2)</f>
        <v>0.04</v>
      </c>
      <c r="I46" s="34"/>
      <c r="J46" s="34">
        <f>IF(Source!BS29&lt;&gt; 0, Source!BS29, 1)</f>
        <v>33.65</v>
      </c>
      <c r="K46" s="35">
        <f>Source!R29</f>
        <v>1.37</v>
      </c>
      <c r="Q46">
        <f>H46</f>
        <v>0.04</v>
      </c>
    </row>
    <row r="47" spans="1:21" ht="14.25" x14ac:dyDescent="0.2">
      <c r="A47" s="20"/>
      <c r="B47" s="43"/>
      <c r="C47" s="43" t="s">
        <v>1374</v>
      </c>
      <c r="D47" s="32" t="s">
        <v>1375</v>
      </c>
      <c r="E47" s="10">
        <f>Source!BZ29</f>
        <v>95</v>
      </c>
      <c r="F47" s="46"/>
      <c r="G47" s="34"/>
      <c r="H47" s="33">
        <f>SUM(R42:R49)</f>
        <v>6.03</v>
      </c>
      <c r="I47" s="36"/>
      <c r="J47" s="31">
        <f>Source!AT29</f>
        <v>95</v>
      </c>
      <c r="K47" s="33">
        <f>SUM(S42:S49)</f>
        <v>203.1</v>
      </c>
    </row>
    <row r="48" spans="1:21" ht="14.25" x14ac:dyDescent="0.2">
      <c r="A48" s="20"/>
      <c r="B48" s="43"/>
      <c r="C48" s="43" t="s">
        <v>1376</v>
      </c>
      <c r="D48" s="32" t="s">
        <v>1375</v>
      </c>
      <c r="E48" s="10">
        <f>Source!CA29</f>
        <v>65</v>
      </c>
      <c r="F48" s="46"/>
      <c r="G48" s="34"/>
      <c r="H48" s="33">
        <f>SUM(T42:T49)</f>
        <v>4.13</v>
      </c>
      <c r="I48" s="36"/>
      <c r="J48" s="31">
        <f>Source!AU29</f>
        <v>65</v>
      </c>
      <c r="K48" s="33">
        <f>SUM(U42:U49)</f>
        <v>138.96</v>
      </c>
    </row>
    <row r="49" spans="1:25" ht="14.25" x14ac:dyDescent="0.2">
      <c r="A49" s="44"/>
      <c r="B49" s="45"/>
      <c r="C49" s="45" t="s">
        <v>1377</v>
      </c>
      <c r="D49" s="37" t="s">
        <v>1378</v>
      </c>
      <c r="E49" s="38">
        <f>Source!AQ29</f>
        <v>78.56</v>
      </c>
      <c r="F49" s="39"/>
      <c r="G49" s="40" t="str">
        <f>Source!DI29</f>
        <v>)*1,35)*0,6</v>
      </c>
      <c r="H49" s="39"/>
      <c r="I49" s="40"/>
      <c r="J49" s="40"/>
      <c r="K49" s="39"/>
    </row>
    <row r="50" spans="1:25" ht="15" x14ac:dyDescent="0.25">
      <c r="G50" s="76">
        <f>H44+H45+H47+H48</f>
        <v>16.759999999999998</v>
      </c>
      <c r="H50" s="76"/>
      <c r="J50" s="76">
        <f>K44+K45+K47+K48</f>
        <v>557.48</v>
      </c>
      <c r="K50" s="76"/>
      <c r="N50" s="28">
        <f>G50</f>
        <v>16.759999999999998</v>
      </c>
      <c r="O50" s="28">
        <f>J50</f>
        <v>557.48</v>
      </c>
      <c r="P50" s="28" t="e">
        <f>#REF!</f>
        <v>#REF!</v>
      </c>
      <c r="V50">
        <f>IF(Source!BI29&lt;=1,H44+H45+H47+H48, 0)</f>
        <v>0</v>
      </c>
      <c r="W50">
        <f>IF(Source!BI29=2,H44+H45+H47+H48, 0)</f>
        <v>16.759999999999998</v>
      </c>
      <c r="X50">
        <f>IF(Source!BI29=3,H44+H45+H47+H48, 0)</f>
        <v>0</v>
      </c>
      <c r="Y50">
        <f>IF(Source!BI29=4,H44+H45+H47+H48, 0)</f>
        <v>0</v>
      </c>
    </row>
    <row r="51" spans="1:25" ht="90.75" x14ac:dyDescent="0.2">
      <c r="A51" s="20" t="str">
        <f>Source!E30</f>
        <v>2</v>
      </c>
      <c r="B51" s="43" t="s">
        <v>1379</v>
      </c>
      <c r="C51" s="43" t="str">
        <f>Source!G30</f>
        <v>Демонтаж датчиков охранных с сохранением для последующего монтажа</v>
      </c>
      <c r="D51" s="32" t="str">
        <f>Source!H30</f>
        <v>ШТ</v>
      </c>
      <c r="E51" s="10">
        <f>Source!I30</f>
        <v>3</v>
      </c>
      <c r="F51" s="33">
        <f>Source!AL30+Source!AM30+Source!AO30</f>
        <v>9.9600000000000009</v>
      </c>
      <c r="G51" s="34"/>
      <c r="H51" s="33"/>
      <c r="I51" s="34" t="str">
        <f>Source!BO30</f>
        <v>м10-08-002-04</v>
      </c>
      <c r="J51" s="34"/>
      <c r="K51" s="33"/>
      <c r="R51">
        <f>ROUND((Source!FX30/100)*((ROUND(Source!AF30*Source!I30, 2)+ROUND(Source!AE30*Source!I30, 2))), 2)</f>
        <v>15.7</v>
      </c>
      <c r="S51">
        <f>Source!X30</f>
        <v>528.16999999999996</v>
      </c>
      <c r="T51">
        <f>ROUND((Source!FY30/100)*((ROUND(Source!AF30*Source!I30, 2)+ROUND(Source!AE30*Source!I30, 2))), 2)</f>
        <v>11.77</v>
      </c>
      <c r="U51">
        <f>Source!Y30</f>
        <v>396.13</v>
      </c>
    </row>
    <row r="52" spans="1:25" ht="14.25" x14ac:dyDescent="0.2">
      <c r="A52" s="20"/>
      <c r="B52" s="43"/>
      <c r="C52" s="43" t="s">
        <v>1372</v>
      </c>
      <c r="D52" s="32"/>
      <c r="E52" s="10"/>
      <c r="F52" s="33">
        <f>Source!AO30</f>
        <v>8.08</v>
      </c>
      <c r="G52" s="34" t="str">
        <f>Source!DG30</f>
        <v>)*1,35)*0,6</v>
      </c>
      <c r="H52" s="33">
        <f>ROUND(Source!AF30*Source!I30, 2)</f>
        <v>19.62</v>
      </c>
      <c r="I52" s="34"/>
      <c r="J52" s="34">
        <f>IF(Source!BA30&lt;&gt; 0, Source!BA30, 1)</f>
        <v>33.65</v>
      </c>
      <c r="K52" s="33">
        <f>Source!S30</f>
        <v>660.21</v>
      </c>
      <c r="Q52">
        <f>H52</f>
        <v>19.62</v>
      </c>
    </row>
    <row r="53" spans="1:25" ht="14.25" x14ac:dyDescent="0.2">
      <c r="A53" s="20"/>
      <c r="B53" s="43"/>
      <c r="C53" s="43" t="s">
        <v>1374</v>
      </c>
      <c r="D53" s="32" t="s">
        <v>1375</v>
      </c>
      <c r="E53" s="10">
        <f>Source!BZ30</f>
        <v>80</v>
      </c>
      <c r="F53" s="46"/>
      <c r="G53" s="34"/>
      <c r="H53" s="33">
        <f>SUM(R51:R55)</f>
        <v>15.7</v>
      </c>
      <c r="I53" s="36"/>
      <c r="J53" s="31">
        <f>Source!AT30</f>
        <v>80</v>
      </c>
      <c r="K53" s="33">
        <f>SUM(S51:S55)</f>
        <v>528.16999999999996</v>
      </c>
    </row>
    <row r="54" spans="1:25" ht="14.25" x14ac:dyDescent="0.2">
      <c r="A54" s="20"/>
      <c r="B54" s="43"/>
      <c r="C54" s="43" t="s">
        <v>1376</v>
      </c>
      <c r="D54" s="32" t="s">
        <v>1375</v>
      </c>
      <c r="E54" s="10">
        <f>Source!CA30</f>
        <v>60</v>
      </c>
      <c r="F54" s="46"/>
      <c r="G54" s="34"/>
      <c r="H54" s="33">
        <f>SUM(T51:T55)</f>
        <v>11.77</v>
      </c>
      <c r="I54" s="36"/>
      <c r="J54" s="31">
        <f>Source!AU30</f>
        <v>60</v>
      </c>
      <c r="K54" s="33">
        <f>SUM(U51:U55)</f>
        <v>396.13</v>
      </c>
    </row>
    <row r="55" spans="1:25" ht="14.25" x14ac:dyDescent="0.2">
      <c r="A55" s="44"/>
      <c r="B55" s="45"/>
      <c r="C55" s="45" t="s">
        <v>1377</v>
      </c>
      <c r="D55" s="37" t="s">
        <v>1378</v>
      </c>
      <c r="E55" s="38">
        <f>Source!AQ30</f>
        <v>0.84</v>
      </c>
      <c r="F55" s="39"/>
      <c r="G55" s="40" t="str">
        <f>Source!DI30</f>
        <v>)*1,35)*0,6</v>
      </c>
      <c r="H55" s="39"/>
      <c r="I55" s="40"/>
      <c r="J55" s="40"/>
      <c r="K55" s="39"/>
    </row>
    <row r="56" spans="1:25" ht="15" x14ac:dyDescent="0.25">
      <c r="G56" s="76">
        <f>H52+H53+H54</f>
        <v>47.09</v>
      </c>
      <c r="H56" s="76"/>
      <c r="J56" s="76">
        <f>K52+K53+K54</f>
        <v>1584.5100000000002</v>
      </c>
      <c r="K56" s="76"/>
      <c r="N56" s="28">
        <f>G56</f>
        <v>47.09</v>
      </c>
      <c r="O56" s="28">
        <f>J56</f>
        <v>1584.5100000000002</v>
      </c>
      <c r="P56" s="28" t="e">
        <f>#REF!</f>
        <v>#REF!</v>
      </c>
      <c r="V56">
        <f>IF(Source!BI30&lt;=1,H52+H53+H54, 0)</f>
        <v>0</v>
      </c>
      <c r="W56">
        <f>IF(Source!BI30=2,H52+H53+H54, 0)</f>
        <v>47.09</v>
      </c>
      <c r="X56">
        <f>IF(Source!BI30=3,H52+H53+H54, 0)</f>
        <v>0</v>
      </c>
      <c r="Y56">
        <f>IF(Source!BI30=4,H52+H53+H54, 0)</f>
        <v>0</v>
      </c>
    </row>
    <row r="57" spans="1:25" ht="65.25" x14ac:dyDescent="0.2">
      <c r="A57" s="20" t="str">
        <f>Source!E31</f>
        <v>3</v>
      </c>
      <c r="B57" s="43" t="s">
        <v>1380</v>
      </c>
      <c r="C57" s="43" t="str">
        <f>Source!G31</f>
        <v>Разборка воздуховодов из листовой стали толщиной: до 0,9 мм диаметром/периметром до 495 мм /1550 мм</v>
      </c>
      <c r="D57" s="32" t="str">
        <f>Source!H31</f>
        <v>100 м2</v>
      </c>
      <c r="E57" s="10">
        <f>Source!I31</f>
        <v>0.02</v>
      </c>
      <c r="F57" s="33">
        <f>Source!AL31+Source!AM31+Source!AO31</f>
        <v>219.64</v>
      </c>
      <c r="G57" s="34"/>
      <c r="H57" s="33"/>
      <c r="I57" s="34" t="str">
        <f>Source!BO31</f>
        <v>65-30-3</v>
      </c>
      <c r="J57" s="34"/>
      <c r="K57" s="33"/>
      <c r="R57">
        <f>ROUND((Source!FX31/100)*((ROUND(Source!AF31*Source!I31, 2)+ROUND(Source!AE31*Source!I31, 2))), 2)</f>
        <v>3.51</v>
      </c>
      <c r="S57">
        <f>Source!X31</f>
        <v>118.16</v>
      </c>
      <c r="T57">
        <f>ROUND((Source!FY31/100)*((ROUND(Source!AF31*Source!I31, 2)+ROUND(Source!AE31*Source!I31, 2))), 2)</f>
        <v>2.37</v>
      </c>
      <c r="U57">
        <f>Source!Y31</f>
        <v>79.84</v>
      </c>
    </row>
    <row r="58" spans="1:25" x14ac:dyDescent="0.2">
      <c r="C58" s="27" t="str">
        <f>"Объем: "&amp;Source!I31&amp;"=2/"&amp;"100"</f>
        <v>Объем: 0,02=2/100</v>
      </c>
    </row>
    <row r="59" spans="1:25" ht="14.25" x14ac:dyDescent="0.2">
      <c r="A59" s="20"/>
      <c r="B59" s="43"/>
      <c r="C59" s="43" t="s">
        <v>1372</v>
      </c>
      <c r="D59" s="32"/>
      <c r="E59" s="10"/>
      <c r="F59" s="33">
        <f>Source!AO31</f>
        <v>196.19</v>
      </c>
      <c r="G59" s="34" t="str">
        <f>Source!DG31</f>
        <v>)*1,15</v>
      </c>
      <c r="H59" s="33">
        <f>ROUND(Source!AF31*Source!I31, 2)</f>
        <v>4.51</v>
      </c>
      <c r="I59" s="34"/>
      <c r="J59" s="34">
        <f>IF(Source!BA31&lt;&gt; 0, Source!BA31, 1)</f>
        <v>33.65</v>
      </c>
      <c r="K59" s="33">
        <f>Source!S31</f>
        <v>151.84</v>
      </c>
      <c r="Q59">
        <f>H59</f>
        <v>4.51</v>
      </c>
    </row>
    <row r="60" spans="1:25" ht="14.25" x14ac:dyDescent="0.2">
      <c r="A60" s="20"/>
      <c r="B60" s="43"/>
      <c r="C60" s="43" t="s">
        <v>646</v>
      </c>
      <c r="D60" s="32"/>
      <c r="E60" s="10"/>
      <c r="F60" s="33">
        <f>Source!AM31</f>
        <v>23.45</v>
      </c>
      <c r="G60" s="34" t="str">
        <f>Source!DE31</f>
        <v>)*1,15</v>
      </c>
      <c r="H60" s="33">
        <f>ROUND(Source!AD31*Source!I31, 2)</f>
        <v>0.54</v>
      </c>
      <c r="I60" s="34"/>
      <c r="J60" s="34">
        <f>IF(Source!BB31&lt;&gt; 0, Source!BB31, 1)</f>
        <v>14.88</v>
      </c>
      <c r="K60" s="33">
        <f>Source!Q31</f>
        <v>8.0299999999999994</v>
      </c>
    </row>
    <row r="61" spans="1:25" ht="14.25" x14ac:dyDescent="0.2">
      <c r="A61" s="20"/>
      <c r="B61" s="43"/>
      <c r="C61" s="43" t="s">
        <v>1373</v>
      </c>
      <c r="D61" s="32"/>
      <c r="E61" s="10"/>
      <c r="F61" s="33">
        <f>Source!AN31</f>
        <v>10.130000000000001</v>
      </c>
      <c r="G61" s="34" t="str">
        <f>Source!DF31</f>
        <v>)*1,15</v>
      </c>
      <c r="H61" s="35">
        <f>ROUND(Source!AE31*Source!I31, 2)</f>
        <v>0.23</v>
      </c>
      <c r="I61" s="34"/>
      <c r="J61" s="34">
        <f>IF(Source!BS31&lt;&gt; 0, Source!BS31, 1)</f>
        <v>33.65</v>
      </c>
      <c r="K61" s="35">
        <f>Source!R31</f>
        <v>7.84</v>
      </c>
      <c r="Q61">
        <f>H61</f>
        <v>0.23</v>
      </c>
    </row>
    <row r="62" spans="1:25" ht="14.25" x14ac:dyDescent="0.2">
      <c r="A62" s="20"/>
      <c r="B62" s="43"/>
      <c r="C62" s="43" t="s">
        <v>1374</v>
      </c>
      <c r="D62" s="32" t="s">
        <v>1375</v>
      </c>
      <c r="E62" s="10">
        <f>Source!BZ31</f>
        <v>74</v>
      </c>
      <c r="F62" s="46"/>
      <c r="G62" s="34"/>
      <c r="H62" s="33">
        <f>SUM(R57:R64)</f>
        <v>3.51</v>
      </c>
      <c r="I62" s="36"/>
      <c r="J62" s="31">
        <f>Source!AT31</f>
        <v>74</v>
      </c>
      <c r="K62" s="33">
        <f>SUM(S57:S64)</f>
        <v>118.16</v>
      </c>
    </row>
    <row r="63" spans="1:25" ht="14.25" x14ac:dyDescent="0.2">
      <c r="A63" s="20"/>
      <c r="B63" s="43"/>
      <c r="C63" s="43" t="s">
        <v>1376</v>
      </c>
      <c r="D63" s="32" t="s">
        <v>1375</v>
      </c>
      <c r="E63" s="10">
        <f>Source!CA31</f>
        <v>50</v>
      </c>
      <c r="F63" s="46"/>
      <c r="G63" s="34"/>
      <c r="H63" s="33">
        <f>SUM(T57:T64)</f>
        <v>2.37</v>
      </c>
      <c r="I63" s="36"/>
      <c r="J63" s="31">
        <f>Source!AU31</f>
        <v>50</v>
      </c>
      <c r="K63" s="33">
        <f>SUM(U57:U64)</f>
        <v>79.84</v>
      </c>
    </row>
    <row r="64" spans="1:25" ht="14.25" x14ac:dyDescent="0.2">
      <c r="A64" s="44"/>
      <c r="B64" s="45"/>
      <c r="C64" s="45" t="s">
        <v>1377</v>
      </c>
      <c r="D64" s="37" t="s">
        <v>1378</v>
      </c>
      <c r="E64" s="38">
        <f>Source!AQ31</f>
        <v>23</v>
      </c>
      <c r="F64" s="39"/>
      <c r="G64" s="40" t="str">
        <f>Source!DI31</f>
        <v>)*1,15</v>
      </c>
      <c r="H64" s="39"/>
      <c r="I64" s="40"/>
      <c r="J64" s="40"/>
      <c r="K64" s="39"/>
    </row>
    <row r="65" spans="1:25" ht="15" x14ac:dyDescent="0.25">
      <c r="G65" s="76">
        <f>H59+H60+H62+H63</f>
        <v>10.93</v>
      </c>
      <c r="H65" s="76"/>
      <c r="J65" s="76">
        <f>K59+K60+K62+K63</f>
        <v>357.87</v>
      </c>
      <c r="K65" s="76"/>
      <c r="N65" s="28">
        <f>G65</f>
        <v>10.93</v>
      </c>
      <c r="O65" s="28">
        <f>J65</f>
        <v>357.87</v>
      </c>
      <c r="P65" s="28" t="e">
        <f>#REF!</f>
        <v>#REF!</v>
      </c>
      <c r="V65">
        <f>IF(Source!BI31&lt;=1,H59+H60+H62+H63, 0)</f>
        <v>10.93</v>
      </c>
      <c r="W65">
        <f>IF(Source!BI31=2,H59+H60+H62+H63, 0)</f>
        <v>0</v>
      </c>
      <c r="X65">
        <f>IF(Source!BI31=3,H59+H60+H62+H63, 0)</f>
        <v>0</v>
      </c>
      <c r="Y65">
        <f>IF(Source!BI31=4,H59+H60+H62+H63, 0)</f>
        <v>0</v>
      </c>
    </row>
    <row r="66" spans="1:25" ht="90.75" x14ac:dyDescent="0.2">
      <c r="A66" s="20" t="str">
        <f>Source!E32</f>
        <v>4</v>
      </c>
      <c r="B66" s="43" t="s">
        <v>1381</v>
      </c>
      <c r="C66" s="43" t="str">
        <f>Source!G32</f>
        <v>Демонтаж входной группы металлической</v>
      </c>
      <c r="D66" s="32" t="str">
        <f>Source!H32</f>
        <v>м2</v>
      </c>
      <c r="E66" s="10">
        <f>Source!I32</f>
        <v>4.2</v>
      </c>
      <c r="F66" s="33">
        <f>Source!AL32+Source!AM32+Source!AO32</f>
        <v>63.94</v>
      </c>
      <c r="G66" s="34"/>
      <c r="H66" s="33"/>
      <c r="I66" s="34" t="str">
        <f>Source!BO32</f>
        <v>09-04-012-01</v>
      </c>
      <c r="J66" s="34"/>
      <c r="K66" s="33"/>
      <c r="R66">
        <f>ROUND((Source!FX32/100)*((ROUND(Source!AF32*Source!I32, 2)+ROUND(Source!AE32*Source!I32, 2))), 2)</f>
        <v>82.87</v>
      </c>
      <c r="S66">
        <f>Source!X32</f>
        <v>2788.67</v>
      </c>
      <c r="T66">
        <f>ROUND((Source!FY32/100)*((ROUND(Source!AF32*Source!I32, 2)+ROUND(Source!AE32*Source!I32, 2))), 2)</f>
        <v>73.92</v>
      </c>
      <c r="U66">
        <f>Source!Y32</f>
        <v>2478.8200000000002</v>
      </c>
    </row>
    <row r="67" spans="1:25" ht="14.25" x14ac:dyDescent="0.2">
      <c r="A67" s="20"/>
      <c r="B67" s="43"/>
      <c r="C67" s="43" t="s">
        <v>1372</v>
      </c>
      <c r="D67" s="32"/>
      <c r="E67" s="10"/>
      <c r="F67" s="33">
        <f>Source!AO32</f>
        <v>23.81</v>
      </c>
      <c r="G67" s="34" t="str">
        <f>Source!DG32</f>
        <v>)*1,35)*0,7</v>
      </c>
      <c r="H67" s="33">
        <f>ROUND(Source!AF32*Source!I32, 2)</f>
        <v>94.5</v>
      </c>
      <c r="I67" s="34"/>
      <c r="J67" s="34">
        <f>IF(Source!BA32&lt;&gt; 0, Source!BA32, 1)</f>
        <v>33.65</v>
      </c>
      <c r="K67" s="33">
        <f>Source!S32</f>
        <v>3179.93</v>
      </c>
      <c r="Q67">
        <f>H67</f>
        <v>94.5</v>
      </c>
    </row>
    <row r="68" spans="1:25" ht="14.25" x14ac:dyDescent="0.2">
      <c r="A68" s="20"/>
      <c r="B68" s="43"/>
      <c r="C68" s="43" t="s">
        <v>646</v>
      </c>
      <c r="D68" s="32"/>
      <c r="E68" s="10"/>
      <c r="F68" s="33">
        <f>Source!AM32</f>
        <v>14.41</v>
      </c>
      <c r="G68" s="34" t="str">
        <f>Source!DE32</f>
        <v>)*1,35)*0,7</v>
      </c>
      <c r="H68" s="33">
        <f>ROUND(Source!AD32*Source!I32, 2)</f>
        <v>57.2</v>
      </c>
      <c r="I68" s="34"/>
      <c r="J68" s="34">
        <f>IF(Source!BB32&lt;&gt; 0, Source!BB32, 1)</f>
        <v>10.27</v>
      </c>
      <c r="K68" s="33">
        <f>Source!Q32</f>
        <v>587.49</v>
      </c>
    </row>
    <row r="69" spans="1:25" ht="14.25" x14ac:dyDescent="0.2">
      <c r="A69" s="20"/>
      <c r="B69" s="43"/>
      <c r="C69" s="43" t="s">
        <v>1373</v>
      </c>
      <c r="D69" s="32"/>
      <c r="E69" s="10"/>
      <c r="F69" s="33">
        <f>Source!AN32</f>
        <v>1.97</v>
      </c>
      <c r="G69" s="34" t="str">
        <f>Source!DF32</f>
        <v>)*1,35)*0,7</v>
      </c>
      <c r="H69" s="35">
        <f>ROUND(Source!AE32*Source!I32, 2)</f>
        <v>7.81</v>
      </c>
      <c r="I69" s="34"/>
      <c r="J69" s="34">
        <f>IF(Source!BS32&lt;&gt; 0, Source!BS32, 1)</f>
        <v>33.65</v>
      </c>
      <c r="K69" s="35">
        <f>Source!R32</f>
        <v>262.87</v>
      </c>
      <c r="Q69">
        <f>H69</f>
        <v>7.81</v>
      </c>
    </row>
    <row r="70" spans="1:25" ht="14.25" x14ac:dyDescent="0.2">
      <c r="A70" s="20"/>
      <c r="B70" s="43"/>
      <c r="C70" s="43" t="s">
        <v>1374</v>
      </c>
      <c r="D70" s="32" t="s">
        <v>1375</v>
      </c>
      <c r="E70" s="10">
        <f>Source!BZ32</f>
        <v>90</v>
      </c>
      <c r="F70" s="64" t="str">
        <f>CONCATENATE(" )", Source!DL32, Source!FT32, "=", Source!FX32)</f>
        <v xml:space="preserve"> )*0,9=81</v>
      </c>
      <c r="G70" s="75"/>
      <c r="H70" s="33">
        <f>SUM(R66:R72)</f>
        <v>82.87</v>
      </c>
      <c r="I70" s="36"/>
      <c r="J70" s="31">
        <f>Source!AT32</f>
        <v>81</v>
      </c>
      <c r="K70" s="33">
        <f>SUM(S66:S72)</f>
        <v>2788.67</v>
      </c>
    </row>
    <row r="71" spans="1:25" ht="14.25" x14ac:dyDescent="0.2">
      <c r="A71" s="20"/>
      <c r="B71" s="43"/>
      <c r="C71" s="43" t="s">
        <v>1376</v>
      </c>
      <c r="D71" s="32" t="s">
        <v>1375</v>
      </c>
      <c r="E71" s="10">
        <f>Source!CA32</f>
        <v>85</v>
      </c>
      <c r="F71" s="64" t="str">
        <f>CONCATENATE(" )", Source!DM32, Source!FU32, "=", Source!FY32)</f>
        <v xml:space="preserve"> )*0,85=72,25</v>
      </c>
      <c r="G71" s="75"/>
      <c r="H71" s="33">
        <f>SUM(T66:T72)</f>
        <v>73.92</v>
      </c>
      <c r="I71" s="36"/>
      <c r="J71" s="31">
        <f>Source!AU32</f>
        <v>72</v>
      </c>
      <c r="K71" s="33">
        <f>SUM(U66:U72)</f>
        <v>2478.8200000000002</v>
      </c>
    </row>
    <row r="72" spans="1:25" ht="14.25" x14ac:dyDescent="0.2">
      <c r="A72" s="44"/>
      <c r="B72" s="45"/>
      <c r="C72" s="45" t="s">
        <v>1377</v>
      </c>
      <c r="D72" s="37" t="s">
        <v>1378</v>
      </c>
      <c r="E72" s="38">
        <f>Source!AQ32</f>
        <v>2.4</v>
      </c>
      <c r="F72" s="39"/>
      <c r="G72" s="40" t="str">
        <f>Source!DI32</f>
        <v>)*1,35)*0,7</v>
      </c>
      <c r="H72" s="39"/>
      <c r="I72" s="40"/>
      <c r="J72" s="40"/>
      <c r="K72" s="39"/>
    </row>
    <row r="73" spans="1:25" ht="15" x14ac:dyDescent="0.25">
      <c r="G73" s="76">
        <f>H67+H68+H70+H71</f>
        <v>308.49</v>
      </c>
      <c r="H73" s="76"/>
      <c r="J73" s="76">
        <f>K67+K68+K70+K71</f>
        <v>9034.91</v>
      </c>
      <c r="K73" s="76"/>
      <c r="N73" s="28">
        <f>G73</f>
        <v>308.49</v>
      </c>
      <c r="O73" s="28">
        <f>J73</f>
        <v>9034.91</v>
      </c>
      <c r="P73" s="28" t="e">
        <f>#REF!</f>
        <v>#REF!</v>
      </c>
      <c r="V73">
        <f>IF(Source!BI32&lt;=1,H67+H68+H70+H71, 0)</f>
        <v>308.49</v>
      </c>
      <c r="W73">
        <f>IF(Source!BI32=2,H67+H68+H70+H71, 0)</f>
        <v>0</v>
      </c>
      <c r="X73">
        <f>IF(Source!BI32=3,H67+H68+H70+H71, 0)</f>
        <v>0</v>
      </c>
      <c r="Y73">
        <f>IF(Source!BI32=4,H67+H68+H70+H71, 0)</f>
        <v>0</v>
      </c>
    </row>
    <row r="74" spans="1:25" ht="90.75" x14ac:dyDescent="0.2">
      <c r="A74" s="20" t="str">
        <f>Source!E33</f>
        <v>5</v>
      </c>
      <c r="B74" s="43" t="s">
        <v>1382</v>
      </c>
      <c r="C74" s="43" t="str">
        <f>Source!G33</f>
        <v>Демонтаж металлического тамбура с остеклением</v>
      </c>
      <c r="D74" s="32" t="str">
        <f>Source!H33</f>
        <v>100 м2</v>
      </c>
      <c r="E74" s="10">
        <f>Source!I33</f>
        <v>8.4400000000000003E-2</v>
      </c>
      <c r="F74" s="33">
        <f>Source!AL33+Source!AM33+Source!AO33</f>
        <v>775.46</v>
      </c>
      <c r="G74" s="34"/>
      <c r="H74" s="33"/>
      <c r="I74" s="34" t="str">
        <f>Source!BO33</f>
        <v>09-03-046-03</v>
      </c>
      <c r="J74" s="34"/>
      <c r="K74" s="33"/>
      <c r="R74">
        <f>ROUND((Source!FX33/100)*((ROUND(Source!AF33*Source!I33, 2)+ROUND(Source!AE33*Source!I33, 2))), 2)</f>
        <v>28.77</v>
      </c>
      <c r="S74">
        <f>Source!X33</f>
        <v>968.08</v>
      </c>
      <c r="T74">
        <f>ROUND((Source!FY33/100)*((ROUND(Source!AF33*Source!I33, 2)+ROUND(Source!AE33*Source!I33, 2))), 2)</f>
        <v>25.66</v>
      </c>
      <c r="U74">
        <f>Source!Y33</f>
        <v>860.52</v>
      </c>
    </row>
    <row r="75" spans="1:25" x14ac:dyDescent="0.2">
      <c r="C75" s="27" t="str">
        <f>"Объем: "&amp;Source!I33&amp;"=8,44/"&amp;"100"</f>
        <v>Объем: 0,0844=8,44/100</v>
      </c>
    </row>
    <row r="76" spans="1:25" ht="14.25" x14ac:dyDescent="0.2">
      <c r="A76" s="20"/>
      <c r="B76" s="43"/>
      <c r="C76" s="43" t="s">
        <v>1372</v>
      </c>
      <c r="D76" s="32"/>
      <c r="E76" s="10"/>
      <c r="F76" s="33">
        <f>Source!AO33</f>
        <v>438.8</v>
      </c>
      <c r="G76" s="34" t="str">
        <f>Source!DG33</f>
        <v>)*1,35)*0,7</v>
      </c>
      <c r="H76" s="33">
        <f>ROUND(Source!AF33*Source!I33, 2)</f>
        <v>35</v>
      </c>
      <c r="I76" s="34"/>
      <c r="J76" s="34">
        <f>IF(Source!BA33&lt;&gt; 0, Source!BA33, 1)</f>
        <v>33.65</v>
      </c>
      <c r="K76" s="33">
        <f>Source!S33</f>
        <v>1177.69</v>
      </c>
      <c r="Q76">
        <f>H76</f>
        <v>35</v>
      </c>
    </row>
    <row r="77" spans="1:25" ht="14.25" x14ac:dyDescent="0.2">
      <c r="A77" s="20"/>
      <c r="B77" s="43"/>
      <c r="C77" s="43" t="s">
        <v>646</v>
      </c>
      <c r="D77" s="32"/>
      <c r="E77" s="10"/>
      <c r="F77" s="33">
        <f>Source!AM33</f>
        <v>48.91</v>
      </c>
      <c r="G77" s="34" t="str">
        <f>Source!DE33</f>
        <v>)*1,35)*0,7</v>
      </c>
      <c r="H77" s="33">
        <f>ROUND(Source!AD33*Source!I33, 2)</f>
        <v>3.9</v>
      </c>
      <c r="I77" s="34"/>
      <c r="J77" s="34">
        <f>IF(Source!BB33&lt;&gt; 0, Source!BB33, 1)</f>
        <v>9.99</v>
      </c>
      <c r="K77" s="33">
        <f>Source!Q33</f>
        <v>38.97</v>
      </c>
    </row>
    <row r="78" spans="1:25" ht="14.25" x14ac:dyDescent="0.2">
      <c r="A78" s="20"/>
      <c r="B78" s="43"/>
      <c r="C78" s="43" t="s">
        <v>1373</v>
      </c>
      <c r="D78" s="32"/>
      <c r="E78" s="10"/>
      <c r="F78" s="33">
        <f>Source!AN33</f>
        <v>6.51</v>
      </c>
      <c r="G78" s="34" t="str">
        <f>Source!DF33</f>
        <v>)*1,35)*0,7</v>
      </c>
      <c r="H78" s="35">
        <f>ROUND(Source!AE33*Source!I33, 2)</f>
        <v>0.52</v>
      </c>
      <c r="I78" s="34"/>
      <c r="J78" s="34">
        <f>IF(Source!BS33&lt;&gt; 0, Source!BS33, 1)</f>
        <v>33.65</v>
      </c>
      <c r="K78" s="35">
        <f>Source!R33</f>
        <v>17.47</v>
      </c>
      <c r="Q78">
        <f>H78</f>
        <v>0.52</v>
      </c>
    </row>
    <row r="79" spans="1:25" ht="14.25" x14ac:dyDescent="0.2">
      <c r="A79" s="20"/>
      <c r="B79" s="43"/>
      <c r="C79" s="43" t="s">
        <v>1374</v>
      </c>
      <c r="D79" s="32" t="s">
        <v>1375</v>
      </c>
      <c r="E79" s="10">
        <f>Source!BZ33</f>
        <v>90</v>
      </c>
      <c r="F79" s="64" t="str">
        <f>CONCATENATE(" )", Source!DL33, Source!FT33, "=", Source!FX33)</f>
        <v xml:space="preserve"> )*0,9=81</v>
      </c>
      <c r="G79" s="75"/>
      <c r="H79" s="33">
        <f>SUM(R74:R81)</f>
        <v>28.77</v>
      </c>
      <c r="I79" s="36"/>
      <c r="J79" s="31">
        <f>Source!AT33</f>
        <v>81</v>
      </c>
      <c r="K79" s="33">
        <f>SUM(S74:S81)</f>
        <v>968.08</v>
      </c>
    </row>
    <row r="80" spans="1:25" ht="14.25" x14ac:dyDescent="0.2">
      <c r="A80" s="20"/>
      <c r="B80" s="43"/>
      <c r="C80" s="43" t="s">
        <v>1376</v>
      </c>
      <c r="D80" s="32" t="s">
        <v>1375</v>
      </c>
      <c r="E80" s="10">
        <f>Source!CA33</f>
        <v>85</v>
      </c>
      <c r="F80" s="64" t="str">
        <f>CONCATENATE(" )", Source!DM33, Source!FU33, "=", Source!FY33)</f>
        <v xml:space="preserve"> )*0,85=72,25</v>
      </c>
      <c r="G80" s="75"/>
      <c r="H80" s="33">
        <f>SUM(T74:T81)</f>
        <v>25.66</v>
      </c>
      <c r="I80" s="36"/>
      <c r="J80" s="31">
        <f>Source!AU33</f>
        <v>72</v>
      </c>
      <c r="K80" s="33">
        <f>SUM(U74:U81)</f>
        <v>860.52</v>
      </c>
    </row>
    <row r="81" spans="1:25" ht="14.25" x14ac:dyDescent="0.2">
      <c r="A81" s="44"/>
      <c r="B81" s="45"/>
      <c r="C81" s="45" t="s">
        <v>1377</v>
      </c>
      <c r="D81" s="37" t="s">
        <v>1378</v>
      </c>
      <c r="E81" s="38">
        <f>Source!AQ33</f>
        <v>47.8</v>
      </c>
      <c r="F81" s="39"/>
      <c r="G81" s="40" t="str">
        <f>Source!DI33</f>
        <v>)*1,35)*0,7</v>
      </c>
      <c r="H81" s="39"/>
      <c r="I81" s="40"/>
      <c r="J81" s="40"/>
      <c r="K81" s="39"/>
    </row>
    <row r="82" spans="1:25" ht="15" x14ac:dyDescent="0.25">
      <c r="G82" s="76">
        <f>H76+H77+H79+H80</f>
        <v>93.33</v>
      </c>
      <c r="H82" s="76"/>
      <c r="J82" s="76">
        <f>K76+K77+K79+K80</f>
        <v>3045.26</v>
      </c>
      <c r="K82" s="76"/>
      <c r="N82" s="28">
        <f>G82</f>
        <v>93.33</v>
      </c>
      <c r="O82" s="28">
        <f>J82</f>
        <v>3045.26</v>
      </c>
      <c r="P82" s="28" t="e">
        <f>#REF!</f>
        <v>#REF!</v>
      </c>
      <c r="V82">
        <f>IF(Source!BI33&lt;=1,H76+H77+H79+H80, 0)</f>
        <v>93.33</v>
      </c>
      <c r="W82">
        <f>IF(Source!BI33=2,H76+H77+H79+H80, 0)</f>
        <v>0</v>
      </c>
      <c r="X82">
        <f>IF(Source!BI33=3,H76+H77+H79+H80, 0)</f>
        <v>0</v>
      </c>
      <c r="Y82">
        <f>IF(Source!BI33=4,H76+H77+H79+H80, 0)</f>
        <v>0</v>
      </c>
    </row>
    <row r="83" spans="1:25" ht="65.25" x14ac:dyDescent="0.2">
      <c r="A83" s="20" t="str">
        <f>Source!E34</f>
        <v>6</v>
      </c>
      <c r="B83" s="43" t="s">
        <v>1383</v>
      </c>
      <c r="C83" s="43" t="str">
        <f>Source!G34</f>
        <v>Разборка деревянных заполнений проемов: дверных и воротных</v>
      </c>
      <c r="D83" s="32" t="str">
        <f>Source!H34</f>
        <v>100 м2</v>
      </c>
      <c r="E83" s="10">
        <f>Source!I34</f>
        <v>4.3999999999999997E-2</v>
      </c>
      <c r="F83" s="33">
        <f>Source!AL34+Source!AM34+Source!AO34</f>
        <v>979.34999999999991</v>
      </c>
      <c r="G83" s="34"/>
      <c r="H83" s="33"/>
      <c r="I83" s="34" t="str">
        <f>Source!BO34</f>
        <v>46-04-012-03</v>
      </c>
      <c r="J83" s="34"/>
      <c r="K83" s="33"/>
      <c r="R83">
        <f>ROUND((Source!FX34/100)*((ROUND(Source!AF34*Source!I34, 2)+ROUND(Source!AE34*Source!I34, 2))), 2)</f>
        <v>42.17</v>
      </c>
      <c r="S83">
        <f>Source!X34</f>
        <v>1419.14</v>
      </c>
      <c r="T83">
        <f>ROUND((Source!FY34/100)*((ROUND(Source!AF34*Source!I34, 2)+ROUND(Source!AE34*Source!I34, 2))), 2)</f>
        <v>25.35</v>
      </c>
      <c r="U83">
        <f>Source!Y34</f>
        <v>860.08</v>
      </c>
    </row>
    <row r="84" spans="1:25" x14ac:dyDescent="0.2">
      <c r="C84" s="27" t="str">
        <f>"Объем: "&amp;Source!I34&amp;"=4,4/"&amp;"100"</f>
        <v>Объем: 0,044=4,4/100</v>
      </c>
    </row>
    <row r="85" spans="1:25" ht="14.25" x14ac:dyDescent="0.2">
      <c r="A85" s="20"/>
      <c r="B85" s="43"/>
      <c r="C85" s="43" t="s">
        <v>1372</v>
      </c>
      <c r="D85" s="32"/>
      <c r="E85" s="10"/>
      <c r="F85" s="33">
        <f>Source!AO34</f>
        <v>737.4</v>
      </c>
      <c r="G85" s="34" t="str">
        <f>Source!DG34</f>
        <v>)*1,15</v>
      </c>
      <c r="H85" s="33">
        <f>ROUND(Source!AF34*Source!I34, 2)</f>
        <v>37.31</v>
      </c>
      <c r="I85" s="34"/>
      <c r="J85" s="34">
        <f>IF(Source!BA34&lt;&gt; 0, Source!BA34, 1)</f>
        <v>33.65</v>
      </c>
      <c r="K85" s="33">
        <f>Source!S34</f>
        <v>1255.56</v>
      </c>
      <c r="Q85">
        <f>H85</f>
        <v>37.31</v>
      </c>
    </row>
    <row r="86" spans="1:25" ht="14.25" x14ac:dyDescent="0.2">
      <c r="A86" s="20"/>
      <c r="B86" s="43"/>
      <c r="C86" s="43" t="s">
        <v>646</v>
      </c>
      <c r="D86" s="32"/>
      <c r="E86" s="10"/>
      <c r="F86" s="33">
        <f>Source!AM34</f>
        <v>241.95</v>
      </c>
      <c r="G86" s="34" t="str">
        <f>Source!DE34</f>
        <v>)*1,15</v>
      </c>
      <c r="H86" s="33">
        <f>ROUND(Source!AD34*Source!I34, 2)</f>
        <v>12.24</v>
      </c>
      <c r="I86" s="34"/>
      <c r="J86" s="34">
        <f>IF(Source!BB34&lt;&gt; 0, Source!BB34, 1)</f>
        <v>14.88</v>
      </c>
      <c r="K86" s="33">
        <f>Source!Q34</f>
        <v>182.17</v>
      </c>
    </row>
    <row r="87" spans="1:25" ht="14.25" x14ac:dyDescent="0.2">
      <c r="A87" s="20"/>
      <c r="B87" s="43"/>
      <c r="C87" s="43" t="s">
        <v>1373</v>
      </c>
      <c r="D87" s="32"/>
      <c r="E87" s="10"/>
      <c r="F87" s="33">
        <f>Source!AN34</f>
        <v>104.49</v>
      </c>
      <c r="G87" s="34" t="str">
        <f>Source!DF34</f>
        <v>)*1,15</v>
      </c>
      <c r="H87" s="35">
        <f>ROUND(Source!AE34*Source!I34, 2)</f>
        <v>5.29</v>
      </c>
      <c r="I87" s="34"/>
      <c r="J87" s="34">
        <f>IF(Source!BS34&lt;&gt; 0, Source!BS34, 1)</f>
        <v>33.65</v>
      </c>
      <c r="K87" s="35">
        <f>Source!R34</f>
        <v>177.91</v>
      </c>
      <c r="Q87">
        <f>H87</f>
        <v>5.29</v>
      </c>
    </row>
    <row r="88" spans="1:25" ht="14.25" x14ac:dyDescent="0.2">
      <c r="A88" s="20"/>
      <c r="B88" s="43"/>
      <c r="C88" s="43" t="s">
        <v>1374</v>
      </c>
      <c r="D88" s="32" t="s">
        <v>1375</v>
      </c>
      <c r="E88" s="10">
        <f>Source!BZ34</f>
        <v>110</v>
      </c>
      <c r="F88" s="64" t="str">
        <f>CONCATENATE(" )", Source!DL34, Source!FT34, "=", Source!FX34)</f>
        <v xml:space="preserve"> )*0,9=99</v>
      </c>
      <c r="G88" s="75"/>
      <c r="H88" s="33">
        <f>SUM(R83:R90)</f>
        <v>42.17</v>
      </c>
      <c r="I88" s="36"/>
      <c r="J88" s="31">
        <f>Source!AT34</f>
        <v>99</v>
      </c>
      <c r="K88" s="33">
        <f>SUM(S83:S90)</f>
        <v>1419.14</v>
      </c>
    </row>
    <row r="89" spans="1:25" ht="14.25" x14ac:dyDescent="0.2">
      <c r="A89" s="20"/>
      <c r="B89" s="43"/>
      <c r="C89" s="43" t="s">
        <v>1376</v>
      </c>
      <c r="D89" s="32" t="s">
        <v>1375</v>
      </c>
      <c r="E89" s="10">
        <f>Source!CA34</f>
        <v>70</v>
      </c>
      <c r="F89" s="64" t="str">
        <f>CONCATENATE(" )", Source!DM34, Source!FU34, "=", Source!FY34)</f>
        <v xml:space="preserve"> )*0,85=59,5</v>
      </c>
      <c r="G89" s="75"/>
      <c r="H89" s="33">
        <f>SUM(T83:T90)</f>
        <v>25.35</v>
      </c>
      <c r="I89" s="36"/>
      <c r="J89" s="31">
        <f>Source!AU34</f>
        <v>60</v>
      </c>
      <c r="K89" s="33">
        <f>SUM(U83:U90)</f>
        <v>860.08</v>
      </c>
    </row>
    <row r="90" spans="1:25" ht="14.25" x14ac:dyDescent="0.2">
      <c r="A90" s="44"/>
      <c r="B90" s="45"/>
      <c r="C90" s="45" t="s">
        <v>1377</v>
      </c>
      <c r="D90" s="37" t="s">
        <v>1378</v>
      </c>
      <c r="E90" s="38">
        <f>Source!AQ34</f>
        <v>91.15</v>
      </c>
      <c r="F90" s="39"/>
      <c r="G90" s="40" t="str">
        <f>Source!DI34</f>
        <v>)*1,15</v>
      </c>
      <c r="H90" s="39"/>
      <c r="I90" s="40"/>
      <c r="J90" s="40"/>
      <c r="K90" s="39"/>
    </row>
    <row r="91" spans="1:25" ht="15" x14ac:dyDescent="0.25">
      <c r="G91" s="76">
        <f>H85+H86+H88+H89</f>
        <v>117.07</v>
      </c>
      <c r="H91" s="76"/>
      <c r="J91" s="76">
        <f>K85+K86+K88+K89</f>
        <v>3716.95</v>
      </c>
      <c r="K91" s="76"/>
      <c r="N91" s="28">
        <f>G91</f>
        <v>117.07</v>
      </c>
      <c r="O91" s="28">
        <f>J91</f>
        <v>3716.95</v>
      </c>
      <c r="P91" s="28" t="e">
        <f>#REF!</f>
        <v>#REF!</v>
      </c>
      <c r="V91">
        <f>IF(Source!BI34&lt;=1,H85+H86+H88+H89, 0)</f>
        <v>117.07</v>
      </c>
      <c r="W91">
        <f>IF(Source!BI34=2,H85+H86+H88+H89, 0)</f>
        <v>0</v>
      </c>
      <c r="X91">
        <f>IF(Source!BI34=3,H85+H86+H88+H89, 0)</f>
        <v>0</v>
      </c>
      <c r="Y91">
        <f>IF(Source!BI34=4,H85+H86+H88+H89, 0)</f>
        <v>0</v>
      </c>
    </row>
    <row r="92" spans="1:25" ht="65.25" x14ac:dyDescent="0.2">
      <c r="A92" s="20" t="str">
        <f>Source!E35</f>
        <v>7</v>
      </c>
      <c r="B92" s="43" t="s">
        <v>1384</v>
      </c>
      <c r="C92" s="43" t="str">
        <f>Source!G35</f>
        <v>Демонтаж плитки бетонной напольной (в тамбуре)</v>
      </c>
      <c r="D92" s="32" t="str">
        <f>Source!H35</f>
        <v>100 м2</v>
      </c>
      <c r="E92" s="10">
        <f>Source!I35</f>
        <v>3.2000000000000001E-2</v>
      </c>
      <c r="F92" s="33">
        <f>Source!AL35+Source!AM35+Source!AO35</f>
        <v>308.21000000000004</v>
      </c>
      <c r="G92" s="34"/>
      <c r="H92" s="33"/>
      <c r="I92" s="34" t="str">
        <f>Source!BO35</f>
        <v>46-04-011-02</v>
      </c>
      <c r="J92" s="34"/>
      <c r="K92" s="33"/>
      <c r="R92">
        <f>ROUND((Source!FX35/100)*((ROUND(Source!AF35*Source!I35, 2)+ROUND(Source!AE35*Source!I35, 2))), 2)</f>
        <v>10.36</v>
      </c>
      <c r="S92">
        <f>Source!X35</f>
        <v>348.59</v>
      </c>
      <c r="T92">
        <f>ROUND((Source!FY35/100)*((ROUND(Source!AF35*Source!I35, 2)+ROUND(Source!AE35*Source!I35, 2))), 2)</f>
        <v>6.22</v>
      </c>
      <c r="U92">
        <f>Source!Y35</f>
        <v>211.27</v>
      </c>
    </row>
    <row r="93" spans="1:25" x14ac:dyDescent="0.2">
      <c r="C93" s="27" t="str">
        <f>"Объем: "&amp;Source!I35&amp;"=3,2/"&amp;"100"</f>
        <v>Объем: 0,032=3,2/100</v>
      </c>
    </row>
    <row r="94" spans="1:25" ht="14.25" x14ac:dyDescent="0.2">
      <c r="A94" s="20"/>
      <c r="B94" s="43"/>
      <c r="C94" s="43" t="s">
        <v>1372</v>
      </c>
      <c r="D94" s="32"/>
      <c r="E94" s="10"/>
      <c r="F94" s="33">
        <f>Source!AO35</f>
        <v>284.35000000000002</v>
      </c>
      <c r="G94" s="34" t="str">
        <f>Source!DG35</f>
        <v>)*1,15</v>
      </c>
      <c r="H94" s="33">
        <f>ROUND(Source!AF35*Source!I35, 2)</f>
        <v>10.46</v>
      </c>
      <c r="I94" s="34"/>
      <c r="J94" s="34">
        <f>IF(Source!BA35&lt;&gt; 0, Source!BA35, 1)</f>
        <v>33.65</v>
      </c>
      <c r="K94" s="33">
        <f>Source!S35</f>
        <v>352.11</v>
      </c>
      <c r="Q94">
        <f>H94</f>
        <v>10.46</v>
      </c>
    </row>
    <row r="95" spans="1:25" ht="14.25" x14ac:dyDescent="0.2">
      <c r="A95" s="20"/>
      <c r="B95" s="43"/>
      <c r="C95" s="43" t="s">
        <v>646</v>
      </c>
      <c r="D95" s="32"/>
      <c r="E95" s="10"/>
      <c r="F95" s="33">
        <f>Source!AM35</f>
        <v>23.86</v>
      </c>
      <c r="G95" s="34" t="str">
        <f>Source!DE35</f>
        <v>)*1,15</v>
      </c>
      <c r="H95" s="33">
        <f>ROUND(Source!AD35*Source!I35, 2)</f>
        <v>0.88</v>
      </c>
      <c r="I95" s="34"/>
      <c r="J95" s="34">
        <f>IF(Source!BB35&lt;&gt; 0, Source!BB35, 1)</f>
        <v>2.84</v>
      </c>
      <c r="K95" s="33">
        <f>Source!Q35</f>
        <v>2.4900000000000002</v>
      </c>
    </row>
    <row r="96" spans="1:25" ht="14.25" x14ac:dyDescent="0.2">
      <c r="A96" s="20"/>
      <c r="B96" s="43"/>
      <c r="C96" s="43" t="s">
        <v>1374</v>
      </c>
      <c r="D96" s="32" t="s">
        <v>1375</v>
      </c>
      <c r="E96" s="10">
        <f>Source!BZ35</f>
        <v>110</v>
      </c>
      <c r="F96" s="64" t="str">
        <f>CONCATENATE(" )", Source!DL35, Source!FT35, "=", Source!FX35)</f>
        <v xml:space="preserve"> )*0,9=99</v>
      </c>
      <c r="G96" s="75"/>
      <c r="H96" s="33">
        <f>SUM(R92:R99)</f>
        <v>10.36</v>
      </c>
      <c r="I96" s="36"/>
      <c r="J96" s="31">
        <f>Source!AT35</f>
        <v>99</v>
      </c>
      <c r="K96" s="33">
        <f>SUM(S92:S99)</f>
        <v>348.59</v>
      </c>
    </row>
    <row r="97" spans="1:25" ht="14.25" x14ac:dyDescent="0.2">
      <c r="A97" s="20"/>
      <c r="B97" s="43"/>
      <c r="C97" s="43" t="s">
        <v>1376</v>
      </c>
      <c r="D97" s="32" t="s">
        <v>1375</v>
      </c>
      <c r="E97" s="10">
        <f>Source!CA35</f>
        <v>70</v>
      </c>
      <c r="F97" s="64" t="str">
        <f>CONCATENATE(" )", Source!DM35, Source!FU35, "=", Source!FY35)</f>
        <v xml:space="preserve"> )*0,85=59,5</v>
      </c>
      <c r="G97" s="75"/>
      <c r="H97" s="33">
        <f>SUM(T92:T99)</f>
        <v>6.22</v>
      </c>
      <c r="I97" s="36"/>
      <c r="J97" s="31">
        <f>Source!AU35</f>
        <v>60</v>
      </c>
      <c r="K97" s="33">
        <f>SUM(U92:U99)</f>
        <v>211.27</v>
      </c>
    </row>
    <row r="98" spans="1:25" ht="14.25" x14ac:dyDescent="0.2">
      <c r="A98" s="20"/>
      <c r="B98" s="43"/>
      <c r="C98" s="43" t="s">
        <v>1377</v>
      </c>
      <c r="D98" s="32" t="s">
        <v>1378</v>
      </c>
      <c r="E98" s="10">
        <f>Source!AQ35</f>
        <v>31.7</v>
      </c>
      <c r="F98" s="33"/>
      <c r="G98" s="34" t="str">
        <f>Source!DI35</f>
        <v>)*1,15</v>
      </c>
      <c r="H98" s="33"/>
      <c r="I98" s="34"/>
      <c r="J98" s="34"/>
      <c r="K98" s="33"/>
    </row>
    <row r="99" spans="1:25" ht="14.25" x14ac:dyDescent="0.2">
      <c r="A99" s="44"/>
      <c r="B99" s="45" t="str">
        <f>Source!F36</f>
        <v>999-9900</v>
      </c>
      <c r="C99" s="45" t="str">
        <f>Source!G36</f>
        <v>Строительный мусор</v>
      </c>
      <c r="D99" s="37" t="str">
        <f>Source!H36</f>
        <v>т</v>
      </c>
      <c r="E99" s="38">
        <f>Source!I36</f>
        <v>4.5440000000000001E-2</v>
      </c>
      <c r="F99" s="39">
        <f>Source!AL36+Source!AM36+Source!AO36</f>
        <v>0</v>
      </c>
      <c r="G99" s="41" t="s">
        <v>1385</v>
      </c>
      <c r="H99" s="39">
        <f>ROUND(Source!AC36*Source!I36, 2)+ROUND(Source!AD36*Source!I36, 2)+ROUND(Source!AF36*Source!I36, 2)</f>
        <v>0</v>
      </c>
      <c r="I99" s="40"/>
      <c r="J99" s="40">
        <f>IF(Source!BC36&lt;&gt; 0, Source!BC36, 1)</f>
        <v>1</v>
      </c>
      <c r="K99" s="39">
        <f>Source!O36</f>
        <v>0</v>
      </c>
      <c r="R99">
        <f>ROUND((Source!FX36/100)*((ROUND(Source!AF36*Source!I36, 2)+ROUND(Source!AE36*Source!I36, 2))), 2)</f>
        <v>0</v>
      </c>
      <c r="S99">
        <f>Source!X36</f>
        <v>0</v>
      </c>
      <c r="T99">
        <f>ROUND((Source!FY36/100)*((ROUND(Source!AF36*Source!I36, 2)+ROUND(Source!AE36*Source!I36, 2))), 2)</f>
        <v>0</v>
      </c>
      <c r="U99">
        <f>Source!Y36</f>
        <v>0</v>
      </c>
      <c r="V99">
        <f>IF(Source!BI36&lt;=1,H99, 0)</f>
        <v>0</v>
      </c>
      <c r="W99">
        <f>IF(Source!BI36=2,H99, 0)</f>
        <v>0</v>
      </c>
      <c r="X99">
        <f>IF(Source!BI36=3,H99, 0)</f>
        <v>0</v>
      </c>
      <c r="Y99">
        <f>IF(Source!BI36=4,H99, 0)</f>
        <v>0</v>
      </c>
    </row>
    <row r="100" spans="1:25" ht="15" x14ac:dyDescent="0.25">
      <c r="G100" s="76">
        <f>H94+H95+H96+H97+SUM(H99:H99)</f>
        <v>27.92</v>
      </c>
      <c r="H100" s="76"/>
      <c r="J100" s="76">
        <f>K94+K95+K96+K97+SUM(K99:K99)</f>
        <v>914.46</v>
      </c>
      <c r="K100" s="76"/>
      <c r="N100" s="28">
        <f>G100</f>
        <v>27.92</v>
      </c>
      <c r="O100" s="28">
        <f>J100</f>
        <v>914.46</v>
      </c>
      <c r="P100" s="28" t="e">
        <f>#REF!</f>
        <v>#REF!</v>
      </c>
      <c r="V100">
        <f>IF(Source!BI35&lt;=1,H94+H95+H96+H97, 0)</f>
        <v>27.92</v>
      </c>
      <c r="W100">
        <f>IF(Source!BI35=2,H94+H95+H96+H97, 0)</f>
        <v>0</v>
      </c>
      <c r="X100">
        <f>IF(Source!BI35=3,H94+H95+H96+H97, 0)</f>
        <v>0</v>
      </c>
      <c r="Y100">
        <f>IF(Source!BI35=4,H94+H95+H96+H97, 0)</f>
        <v>0</v>
      </c>
    </row>
    <row r="101" spans="1:25" ht="65.25" x14ac:dyDescent="0.2">
      <c r="A101" s="20" t="str">
        <f>Source!E37</f>
        <v>8</v>
      </c>
      <c r="B101" s="43" t="s">
        <v>1386</v>
      </c>
      <c r="C101" s="43" t="str">
        <f>Source!G37</f>
        <v>Демонтаж потолка из а/ц листов</v>
      </c>
      <c r="D101" s="32" t="str">
        <f>Source!H37</f>
        <v>100 м2</v>
      </c>
      <c r="E101" s="10">
        <f>Source!I37</f>
        <v>3.2000000000000001E-2</v>
      </c>
      <c r="F101" s="33">
        <f>Source!AL37+Source!AM37+Source!AO37</f>
        <v>118.17</v>
      </c>
      <c r="G101" s="34"/>
      <c r="H101" s="33"/>
      <c r="I101" s="34" t="str">
        <f>Source!BO37</f>
        <v>54-3-2</v>
      </c>
      <c r="J101" s="34"/>
      <c r="K101" s="33"/>
      <c r="R101">
        <f>ROUND((Source!FX37/100)*((ROUND(Source!AF37*Source!I37, 2)+ROUND(Source!AE37*Source!I37, 2))), 2)</f>
        <v>3.65</v>
      </c>
      <c r="S101">
        <f>Source!X37</f>
        <v>122.71</v>
      </c>
      <c r="T101">
        <f>ROUND((Source!FY37/100)*((ROUND(Source!AF37*Source!I37, 2)+ROUND(Source!AE37*Source!I37, 2))), 2)</f>
        <v>3.43</v>
      </c>
      <c r="U101">
        <f>Source!Y37</f>
        <v>115.49</v>
      </c>
    </row>
    <row r="102" spans="1:25" x14ac:dyDescent="0.2">
      <c r="C102" s="27" t="str">
        <f>"Объем: "&amp;Source!I37&amp;"=3,2/"&amp;"100"</f>
        <v>Объем: 0,032=3,2/100</v>
      </c>
    </row>
    <row r="103" spans="1:25" ht="14.25" x14ac:dyDescent="0.2">
      <c r="A103" s="20"/>
      <c r="B103" s="43"/>
      <c r="C103" s="43" t="s">
        <v>1372</v>
      </c>
      <c r="D103" s="32"/>
      <c r="E103" s="10"/>
      <c r="F103" s="33">
        <f>Source!AO37</f>
        <v>115.36</v>
      </c>
      <c r="G103" s="34" t="str">
        <f>Source!DG37</f>
        <v>)*1,15</v>
      </c>
      <c r="H103" s="33">
        <f>ROUND(Source!AF37*Source!I37, 2)</f>
        <v>4.25</v>
      </c>
      <c r="I103" s="34"/>
      <c r="J103" s="34">
        <f>IF(Source!BA37&lt;&gt; 0, Source!BA37, 1)</f>
        <v>33.65</v>
      </c>
      <c r="K103" s="33">
        <f>Source!S37</f>
        <v>142.85</v>
      </c>
      <c r="Q103">
        <f>H103</f>
        <v>4.25</v>
      </c>
    </row>
    <row r="104" spans="1:25" ht="14.25" x14ac:dyDescent="0.2">
      <c r="A104" s="20"/>
      <c r="B104" s="43"/>
      <c r="C104" s="43" t="s">
        <v>646</v>
      </c>
      <c r="D104" s="32"/>
      <c r="E104" s="10"/>
      <c r="F104" s="33">
        <f>Source!AM37</f>
        <v>2.81</v>
      </c>
      <c r="G104" s="34" t="str">
        <f>Source!DE37</f>
        <v>)*1,15</v>
      </c>
      <c r="H104" s="33">
        <f>ROUND(Source!AD37*Source!I37, 2)</f>
        <v>0.1</v>
      </c>
      <c r="I104" s="34"/>
      <c r="J104" s="34">
        <f>IF(Source!BB37&lt;&gt; 0, Source!BB37, 1)</f>
        <v>14.88</v>
      </c>
      <c r="K104" s="33">
        <f>Source!Q37</f>
        <v>1.54</v>
      </c>
    </row>
    <row r="105" spans="1:25" ht="14.25" x14ac:dyDescent="0.2">
      <c r="A105" s="20"/>
      <c r="B105" s="43"/>
      <c r="C105" s="43" t="s">
        <v>1373</v>
      </c>
      <c r="D105" s="32"/>
      <c r="E105" s="10"/>
      <c r="F105" s="33">
        <f>Source!AN37</f>
        <v>1.22</v>
      </c>
      <c r="G105" s="34" t="str">
        <f>Source!DF37</f>
        <v>)*1,15</v>
      </c>
      <c r="H105" s="35">
        <f>ROUND(Source!AE37*Source!I37, 2)</f>
        <v>0.04</v>
      </c>
      <c r="I105" s="34"/>
      <c r="J105" s="34">
        <f>IF(Source!BS37&lt;&gt; 0, Source!BS37, 1)</f>
        <v>33.65</v>
      </c>
      <c r="K105" s="35">
        <f>Source!R37</f>
        <v>1.51</v>
      </c>
      <c r="Q105">
        <f>H105</f>
        <v>0.04</v>
      </c>
    </row>
    <row r="106" spans="1:25" ht="14.25" x14ac:dyDescent="0.2">
      <c r="A106" s="20"/>
      <c r="B106" s="43"/>
      <c r="C106" s="43" t="s">
        <v>1374</v>
      </c>
      <c r="D106" s="32" t="s">
        <v>1375</v>
      </c>
      <c r="E106" s="10">
        <f>Source!BZ37</f>
        <v>85</v>
      </c>
      <c r="F106" s="46"/>
      <c r="G106" s="34"/>
      <c r="H106" s="33">
        <f>SUM(R101:R108)</f>
        <v>3.65</v>
      </c>
      <c r="I106" s="36"/>
      <c r="J106" s="31">
        <f>Source!AT37</f>
        <v>85</v>
      </c>
      <c r="K106" s="33">
        <f>SUM(S101:S108)</f>
        <v>122.71</v>
      </c>
    </row>
    <row r="107" spans="1:25" ht="14.25" x14ac:dyDescent="0.2">
      <c r="A107" s="20"/>
      <c r="B107" s="43"/>
      <c r="C107" s="43" t="s">
        <v>1376</v>
      </c>
      <c r="D107" s="32" t="s">
        <v>1375</v>
      </c>
      <c r="E107" s="10">
        <f>Source!CA37</f>
        <v>80</v>
      </c>
      <c r="F107" s="46"/>
      <c r="G107" s="34"/>
      <c r="H107" s="33">
        <f>SUM(T101:T108)</f>
        <v>3.43</v>
      </c>
      <c r="I107" s="36"/>
      <c r="J107" s="31">
        <f>Source!AU37</f>
        <v>80</v>
      </c>
      <c r="K107" s="33">
        <f>SUM(U101:U108)</f>
        <v>115.49</v>
      </c>
    </row>
    <row r="108" spans="1:25" ht="14.25" x14ac:dyDescent="0.2">
      <c r="A108" s="44"/>
      <c r="B108" s="45"/>
      <c r="C108" s="45" t="s">
        <v>1377</v>
      </c>
      <c r="D108" s="37" t="s">
        <v>1378</v>
      </c>
      <c r="E108" s="38">
        <f>Source!AQ37</f>
        <v>14.79</v>
      </c>
      <c r="F108" s="39"/>
      <c r="G108" s="40" t="str">
        <f>Source!DI37</f>
        <v>)*1,15</v>
      </c>
      <c r="H108" s="39"/>
      <c r="I108" s="40"/>
      <c r="J108" s="40"/>
      <c r="K108" s="39"/>
    </row>
    <row r="109" spans="1:25" ht="15" x14ac:dyDescent="0.25">
      <c r="G109" s="76">
        <f>H103+H104+H106+H107</f>
        <v>11.43</v>
      </c>
      <c r="H109" s="76"/>
      <c r="J109" s="76">
        <f>K103+K104+K106+K107</f>
        <v>382.59</v>
      </c>
      <c r="K109" s="76"/>
      <c r="N109" s="28">
        <f>G109</f>
        <v>11.43</v>
      </c>
      <c r="O109" s="28">
        <f>J109</f>
        <v>382.59</v>
      </c>
      <c r="P109" s="28" t="e">
        <f>#REF!</f>
        <v>#REF!</v>
      </c>
      <c r="V109">
        <f>IF(Source!BI37&lt;=1,H103+H104+H106+H107, 0)</f>
        <v>11.43</v>
      </c>
      <c r="W109">
        <f>IF(Source!BI37=2,H103+H104+H106+H107, 0)</f>
        <v>0</v>
      </c>
      <c r="X109">
        <f>IF(Source!BI37=3,H103+H104+H106+H107, 0)</f>
        <v>0</v>
      </c>
      <c r="Y109">
        <f>IF(Source!BI37=4,H103+H104+H106+H107, 0)</f>
        <v>0</v>
      </c>
    </row>
    <row r="110" spans="1:25" ht="65.25" x14ac:dyDescent="0.2">
      <c r="A110" s="20" t="str">
        <f>Source!E38</f>
        <v>9</v>
      </c>
      <c r="B110" s="43" t="s">
        <v>1387</v>
      </c>
      <c r="C110" s="43" t="str">
        <f>Source!G38</f>
        <v>Разборка элементов облицовки потолков с разборкой каркаса: Армстронг</v>
      </c>
      <c r="D110" s="32" t="str">
        <f>Source!H38</f>
        <v>100 м2</v>
      </c>
      <c r="E110" s="10">
        <f>Source!I38</f>
        <v>4.2000000000000003E-2</v>
      </c>
      <c r="F110" s="33">
        <f>Source!AL38+Source!AM38+Source!AO38</f>
        <v>291.95</v>
      </c>
      <c r="G110" s="34"/>
      <c r="H110" s="33"/>
      <c r="I110" s="34" t="str">
        <f>Source!BO38</f>
        <v>63-15-1</v>
      </c>
      <c r="J110" s="34"/>
      <c r="K110" s="33"/>
      <c r="R110">
        <f>ROUND((Source!FX38/100)*((ROUND(Source!AF38*Source!I38, 2)+ROUND(Source!AE38*Source!I38, 2))), 2)</f>
        <v>10.86</v>
      </c>
      <c r="S110">
        <f>Source!X38</f>
        <v>365.37</v>
      </c>
      <c r="T110">
        <f>ROUND((Source!FY38/100)*((ROUND(Source!AF38*Source!I38, 2)+ROUND(Source!AE38*Source!I38, 2))), 2)</f>
        <v>7.05</v>
      </c>
      <c r="U110">
        <f>Source!Y38</f>
        <v>237.25</v>
      </c>
    </row>
    <row r="111" spans="1:25" x14ac:dyDescent="0.2">
      <c r="C111" s="27" t="str">
        <f>"Объем: "&amp;Source!I38&amp;"=4,2/"&amp;"100"</f>
        <v>Объем: 0,042=4,2/100</v>
      </c>
    </row>
    <row r="112" spans="1:25" ht="14.25" x14ac:dyDescent="0.2">
      <c r="A112" s="20"/>
      <c r="B112" s="43"/>
      <c r="C112" s="43" t="s">
        <v>1372</v>
      </c>
      <c r="D112" s="32"/>
      <c r="E112" s="10"/>
      <c r="F112" s="33">
        <f>Source!AO38</f>
        <v>291.95</v>
      </c>
      <c r="G112" s="34" t="str">
        <f>Source!DG38</f>
        <v>)*1,15</v>
      </c>
      <c r="H112" s="33">
        <f>ROUND(Source!AF38*Source!I38, 2)</f>
        <v>14.1</v>
      </c>
      <c r="I112" s="34"/>
      <c r="J112" s="34">
        <f>IF(Source!BA38&lt;&gt; 0, Source!BA38, 1)</f>
        <v>33.65</v>
      </c>
      <c r="K112" s="33">
        <f>Source!S38</f>
        <v>474.5</v>
      </c>
      <c r="Q112">
        <f>H112</f>
        <v>14.1</v>
      </c>
    </row>
    <row r="113" spans="1:25" ht="14.25" x14ac:dyDescent="0.2">
      <c r="A113" s="20"/>
      <c r="B113" s="43"/>
      <c r="C113" s="43" t="s">
        <v>1374</v>
      </c>
      <c r="D113" s="32" t="s">
        <v>1375</v>
      </c>
      <c r="E113" s="10">
        <f>Source!BZ38</f>
        <v>77</v>
      </c>
      <c r="F113" s="46"/>
      <c r="G113" s="34"/>
      <c r="H113" s="33">
        <f>SUM(R110:R116)</f>
        <v>10.86</v>
      </c>
      <c r="I113" s="36"/>
      <c r="J113" s="31">
        <f>Source!AT38</f>
        <v>77</v>
      </c>
      <c r="K113" s="33">
        <f>SUM(S110:S116)</f>
        <v>365.37</v>
      </c>
    </row>
    <row r="114" spans="1:25" ht="14.25" x14ac:dyDescent="0.2">
      <c r="A114" s="20"/>
      <c r="B114" s="43"/>
      <c r="C114" s="43" t="s">
        <v>1376</v>
      </c>
      <c r="D114" s="32" t="s">
        <v>1375</v>
      </c>
      <c r="E114" s="10">
        <f>Source!CA38</f>
        <v>50</v>
      </c>
      <c r="F114" s="46"/>
      <c r="G114" s="34"/>
      <c r="H114" s="33">
        <f>SUM(T110:T116)</f>
        <v>7.05</v>
      </c>
      <c r="I114" s="36"/>
      <c r="J114" s="31">
        <f>Source!AU38</f>
        <v>50</v>
      </c>
      <c r="K114" s="33">
        <f>SUM(U110:U116)</f>
        <v>237.25</v>
      </c>
    </row>
    <row r="115" spans="1:25" ht="14.25" x14ac:dyDescent="0.2">
      <c r="A115" s="20"/>
      <c r="B115" s="43"/>
      <c r="C115" s="43" t="s">
        <v>1377</v>
      </c>
      <c r="D115" s="32" t="s">
        <v>1378</v>
      </c>
      <c r="E115" s="10">
        <f>Source!AQ38</f>
        <v>34.51</v>
      </c>
      <c r="F115" s="33"/>
      <c r="G115" s="34" t="str">
        <f>Source!DI38</f>
        <v>)*1,15</v>
      </c>
      <c r="H115" s="33"/>
      <c r="I115" s="34"/>
      <c r="J115" s="34"/>
      <c r="K115" s="33"/>
    </row>
    <row r="116" spans="1:25" ht="28.5" x14ac:dyDescent="0.2">
      <c r="A116" s="44"/>
      <c r="B116" s="45" t="str">
        <f>Source!F39</f>
        <v>999-9899</v>
      </c>
      <c r="C116" s="45" t="str">
        <f>Source!G39</f>
        <v>Строительный мусор и масса возвратных материалов</v>
      </c>
      <c r="D116" s="37" t="str">
        <f>Source!H39</f>
        <v>т</v>
      </c>
      <c r="E116" s="38">
        <f>Source!I39</f>
        <v>1.4952E-2</v>
      </c>
      <c r="F116" s="39">
        <f>Source!AL39+Source!AM39+Source!AO39</f>
        <v>0</v>
      </c>
      <c r="G116" s="41" t="s">
        <v>1385</v>
      </c>
      <c r="H116" s="39">
        <f>ROUND(Source!AC39*Source!I39, 2)+ROUND(Source!AD39*Source!I39, 2)+ROUND(Source!AF39*Source!I39, 2)</f>
        <v>0</v>
      </c>
      <c r="I116" s="40"/>
      <c r="J116" s="40">
        <f>IF(Source!BC39&lt;&gt; 0, Source!BC39, 1)</f>
        <v>1</v>
      </c>
      <c r="K116" s="39">
        <f>Source!O39</f>
        <v>0</v>
      </c>
      <c r="R116">
        <f>ROUND((Source!FX39/100)*((ROUND(Source!AF39*Source!I39, 2)+ROUND(Source!AE39*Source!I39, 2))), 2)</f>
        <v>0</v>
      </c>
      <c r="S116">
        <f>Source!X39</f>
        <v>0</v>
      </c>
      <c r="T116">
        <f>ROUND((Source!FY39/100)*((ROUND(Source!AF39*Source!I39, 2)+ROUND(Source!AE39*Source!I39, 2))), 2)</f>
        <v>0</v>
      </c>
      <c r="U116">
        <f>Source!Y39</f>
        <v>0</v>
      </c>
      <c r="V116">
        <f>IF(Source!BI39&lt;=1,H116, 0)</f>
        <v>0</v>
      </c>
      <c r="W116">
        <f>IF(Source!BI39=2,H116, 0)</f>
        <v>0</v>
      </c>
      <c r="X116">
        <f>IF(Source!BI39=3,H116, 0)</f>
        <v>0</v>
      </c>
      <c r="Y116">
        <f>IF(Source!BI39=4,H116, 0)</f>
        <v>0</v>
      </c>
    </row>
    <row r="117" spans="1:25" ht="15" x14ac:dyDescent="0.25">
      <c r="G117" s="76">
        <f>H112+H113+H114+SUM(H116:H116)</f>
        <v>32.01</v>
      </c>
      <c r="H117" s="76"/>
      <c r="J117" s="76">
        <f>K112+K113+K114+SUM(K116:K116)</f>
        <v>1077.1199999999999</v>
      </c>
      <c r="K117" s="76"/>
      <c r="N117" s="28">
        <f>G117</f>
        <v>32.01</v>
      </c>
      <c r="O117" s="28">
        <f>J117</f>
        <v>1077.1199999999999</v>
      </c>
      <c r="P117" s="28" t="e">
        <f>#REF!</f>
        <v>#REF!</v>
      </c>
      <c r="V117">
        <f>IF(Source!BI38&lt;=1,H112+H113+H114, 0)</f>
        <v>32.01</v>
      </c>
      <c r="W117">
        <f>IF(Source!BI38=2,H112+H113+H114, 0)</f>
        <v>0</v>
      </c>
      <c r="X117">
        <f>IF(Source!BI38=3,H112+H113+H114, 0)</f>
        <v>0</v>
      </c>
      <c r="Y117">
        <f>IF(Source!BI38=4,H112+H113+H114, 0)</f>
        <v>0</v>
      </c>
    </row>
    <row r="118" spans="1:25" ht="65.25" x14ac:dyDescent="0.2">
      <c r="A118" s="20" t="str">
        <f>Source!E40</f>
        <v>10</v>
      </c>
      <c r="B118" s="43" t="s">
        <v>1388</v>
      </c>
      <c r="C118" s="43" t="str">
        <f>Source!G40</f>
        <v>Разборка плинтусов: деревянных и из пластмассовых материалов</v>
      </c>
      <c r="D118" s="32" t="str">
        <f>Source!H40</f>
        <v>100 м</v>
      </c>
      <c r="E118" s="10">
        <f>Source!I40</f>
        <v>1.9E-2</v>
      </c>
      <c r="F118" s="33">
        <f>Source!AL40+Source!AM40+Source!AO40</f>
        <v>29.41</v>
      </c>
      <c r="G118" s="34"/>
      <c r="H118" s="33"/>
      <c r="I118" s="34" t="str">
        <f>Source!BO40</f>
        <v>57-3-1</v>
      </c>
      <c r="J118" s="34"/>
      <c r="K118" s="33"/>
      <c r="R118">
        <f>ROUND((Source!FX40/100)*((ROUND(Source!AF40*Source!I40, 2)+ROUND(Source!AE40*Source!I40, 2))), 2)</f>
        <v>0.51</v>
      </c>
      <c r="S118">
        <f>Source!X40</f>
        <v>17.3</v>
      </c>
      <c r="T118">
        <f>ROUND((Source!FY40/100)*((ROUND(Source!AF40*Source!I40, 2)+ROUND(Source!AE40*Source!I40, 2))), 2)</f>
        <v>0.44</v>
      </c>
      <c r="U118">
        <f>Source!Y40</f>
        <v>14.7</v>
      </c>
    </row>
    <row r="119" spans="1:25" x14ac:dyDescent="0.2">
      <c r="C119" s="27" t="str">
        <f>"Объем: "&amp;Source!I40&amp;"=1,9/"&amp;"100"</f>
        <v>Объем: 0,019=1,9/100</v>
      </c>
    </row>
    <row r="120" spans="1:25" ht="14.25" x14ac:dyDescent="0.2">
      <c r="A120" s="20"/>
      <c r="B120" s="43"/>
      <c r="C120" s="43" t="s">
        <v>1372</v>
      </c>
      <c r="D120" s="32"/>
      <c r="E120" s="10"/>
      <c r="F120" s="33">
        <f>Source!AO40</f>
        <v>29.41</v>
      </c>
      <c r="G120" s="34" t="str">
        <f>Source!DG40</f>
        <v>)*1,15</v>
      </c>
      <c r="H120" s="33">
        <f>ROUND(Source!AF40*Source!I40, 2)</f>
        <v>0.64</v>
      </c>
      <c r="I120" s="34"/>
      <c r="J120" s="34">
        <f>IF(Source!BA40&lt;&gt; 0, Source!BA40, 1)</f>
        <v>33.65</v>
      </c>
      <c r="K120" s="33">
        <f>Source!S40</f>
        <v>21.62</v>
      </c>
      <c r="Q120">
        <f>H120</f>
        <v>0.64</v>
      </c>
    </row>
    <row r="121" spans="1:25" ht="14.25" x14ac:dyDescent="0.2">
      <c r="A121" s="20"/>
      <c r="B121" s="43"/>
      <c r="C121" s="43" t="s">
        <v>1374</v>
      </c>
      <c r="D121" s="32" t="s">
        <v>1375</v>
      </c>
      <c r="E121" s="10">
        <f>Source!BZ40</f>
        <v>80</v>
      </c>
      <c r="F121" s="46"/>
      <c r="G121" s="34"/>
      <c r="H121" s="33">
        <f>SUM(R118:R124)</f>
        <v>0.51</v>
      </c>
      <c r="I121" s="36"/>
      <c r="J121" s="31">
        <f>Source!AT40</f>
        <v>80</v>
      </c>
      <c r="K121" s="33">
        <f>SUM(S118:S124)</f>
        <v>17.3</v>
      </c>
    </row>
    <row r="122" spans="1:25" ht="14.25" x14ac:dyDescent="0.2">
      <c r="A122" s="20"/>
      <c r="B122" s="43"/>
      <c r="C122" s="43" t="s">
        <v>1376</v>
      </c>
      <c r="D122" s="32" t="s">
        <v>1375</v>
      </c>
      <c r="E122" s="10">
        <f>Source!CA40</f>
        <v>68</v>
      </c>
      <c r="F122" s="46"/>
      <c r="G122" s="34"/>
      <c r="H122" s="33">
        <f>SUM(T118:T124)</f>
        <v>0.44</v>
      </c>
      <c r="I122" s="36"/>
      <c r="J122" s="31">
        <f>Source!AU40</f>
        <v>68</v>
      </c>
      <c r="K122" s="33">
        <f>SUM(U118:U124)</f>
        <v>14.7</v>
      </c>
    </row>
    <row r="123" spans="1:25" ht="14.25" x14ac:dyDescent="0.2">
      <c r="A123" s="20"/>
      <c r="B123" s="43"/>
      <c r="C123" s="43" t="s">
        <v>1377</v>
      </c>
      <c r="D123" s="32" t="s">
        <v>1378</v>
      </c>
      <c r="E123" s="10">
        <f>Source!AQ40</f>
        <v>3.77</v>
      </c>
      <c r="F123" s="33"/>
      <c r="G123" s="34" t="str">
        <f>Source!DI40</f>
        <v>)*1,15</v>
      </c>
      <c r="H123" s="33"/>
      <c r="I123" s="34"/>
      <c r="J123" s="34"/>
      <c r="K123" s="33"/>
    </row>
    <row r="124" spans="1:25" ht="14.25" x14ac:dyDescent="0.2">
      <c r="A124" s="44"/>
      <c r="B124" s="45" t="str">
        <f>Source!F41</f>
        <v>999-9900</v>
      </c>
      <c r="C124" s="45" t="str">
        <f>Source!G41</f>
        <v>Строительный мусор</v>
      </c>
      <c r="D124" s="37" t="str">
        <f>Source!H41</f>
        <v>т</v>
      </c>
      <c r="E124" s="38">
        <f>Source!I41</f>
        <v>2.0899999999999998E-3</v>
      </c>
      <c r="F124" s="39">
        <f>Source!AL41+Source!AM41+Source!AO41</f>
        <v>0</v>
      </c>
      <c r="G124" s="41" t="s">
        <v>1385</v>
      </c>
      <c r="H124" s="39">
        <f>ROUND(Source!AC41*Source!I41, 2)+ROUND(Source!AD41*Source!I41, 2)+ROUND(Source!AF41*Source!I41, 2)</f>
        <v>0</v>
      </c>
      <c r="I124" s="40"/>
      <c r="J124" s="40">
        <f>IF(Source!BC41&lt;&gt; 0, Source!BC41, 1)</f>
        <v>1</v>
      </c>
      <c r="K124" s="39">
        <f>Source!O41</f>
        <v>0</v>
      </c>
      <c r="R124">
        <f>ROUND((Source!FX41/100)*((ROUND(Source!AF41*Source!I41, 2)+ROUND(Source!AE41*Source!I41, 2))), 2)</f>
        <v>0</v>
      </c>
      <c r="S124">
        <f>Source!X41</f>
        <v>0</v>
      </c>
      <c r="T124">
        <f>ROUND((Source!FY41/100)*((ROUND(Source!AF41*Source!I41, 2)+ROUND(Source!AE41*Source!I41, 2))), 2)</f>
        <v>0</v>
      </c>
      <c r="U124">
        <f>Source!Y41</f>
        <v>0</v>
      </c>
      <c r="V124">
        <f>IF(Source!BI41&lt;=1,H124, 0)</f>
        <v>0</v>
      </c>
      <c r="W124">
        <f>IF(Source!BI41=2,H124, 0)</f>
        <v>0</v>
      </c>
      <c r="X124">
        <f>IF(Source!BI41=3,H124, 0)</f>
        <v>0</v>
      </c>
      <c r="Y124">
        <f>IF(Source!BI41=4,H124, 0)</f>
        <v>0</v>
      </c>
    </row>
    <row r="125" spans="1:25" ht="15" x14ac:dyDescent="0.25">
      <c r="G125" s="76">
        <f>H120+H121+H122+SUM(H124:H124)</f>
        <v>1.5899999999999999</v>
      </c>
      <c r="H125" s="76"/>
      <c r="J125" s="76">
        <f>K120+K121+K122+SUM(K124:K124)</f>
        <v>53.620000000000005</v>
      </c>
      <c r="K125" s="76"/>
      <c r="N125" s="28">
        <f>G125</f>
        <v>1.5899999999999999</v>
      </c>
      <c r="O125" s="28">
        <f>J125</f>
        <v>53.620000000000005</v>
      </c>
      <c r="P125" s="28" t="e">
        <f>#REF!</f>
        <v>#REF!</v>
      </c>
      <c r="V125">
        <f>IF(Source!BI40&lt;=1,H120+H121+H122, 0)</f>
        <v>1.5899999999999999</v>
      </c>
      <c r="W125">
        <f>IF(Source!BI40=2,H120+H121+H122, 0)</f>
        <v>0</v>
      </c>
      <c r="X125">
        <f>IF(Source!BI40=3,H120+H121+H122, 0)</f>
        <v>0</v>
      </c>
      <c r="Y125">
        <f>IF(Source!BI40=4,H120+H121+H122, 0)</f>
        <v>0</v>
      </c>
    </row>
    <row r="126" spans="1:25" ht="65.25" x14ac:dyDescent="0.2">
      <c r="A126" s="20" t="str">
        <f>Source!E42</f>
        <v>11</v>
      </c>
      <c r="B126" s="43" t="s">
        <v>1389</v>
      </c>
      <c r="C126" s="43" t="str">
        <f>Source!G42</f>
        <v>Демонтаж кабельных каналов</v>
      </c>
      <c r="D126" s="32" t="str">
        <f>Source!H42</f>
        <v>100 м труб</v>
      </c>
      <c r="E126" s="10">
        <f>Source!I42</f>
        <v>4.2999999999999997E-2</v>
      </c>
      <c r="F126" s="33">
        <f>Source!AL42+Source!AM42+Source!AO42</f>
        <v>32.520000000000003</v>
      </c>
      <c r="G126" s="34"/>
      <c r="H126" s="33"/>
      <c r="I126" s="34" t="str">
        <f>Source!BO42</f>
        <v>67-2-11</v>
      </c>
      <c r="J126" s="34"/>
      <c r="K126" s="33"/>
      <c r="R126">
        <f>ROUND((Source!FX42/100)*((ROUND(Source!AF42*Source!I42, 2)+ROUND(Source!AE42*Source!I42, 2))), 2)</f>
        <v>1.37</v>
      </c>
      <c r="S126">
        <f>Source!X42</f>
        <v>46</v>
      </c>
      <c r="T126">
        <f>ROUND((Source!FY42/100)*((ROUND(Source!AF42*Source!I42, 2)+ROUND(Source!AE42*Source!I42, 2))), 2)</f>
        <v>1.05</v>
      </c>
      <c r="U126">
        <f>Source!Y42</f>
        <v>35.18</v>
      </c>
    </row>
    <row r="127" spans="1:25" x14ac:dyDescent="0.2">
      <c r="C127" s="27" t="str">
        <f>"Объем: "&amp;Source!I42&amp;"=4,3/"&amp;"100"</f>
        <v>Объем: 0,043=4,3/100</v>
      </c>
    </row>
    <row r="128" spans="1:25" ht="14.25" x14ac:dyDescent="0.2">
      <c r="A128" s="20"/>
      <c r="B128" s="43"/>
      <c r="C128" s="43" t="s">
        <v>1372</v>
      </c>
      <c r="D128" s="32"/>
      <c r="E128" s="10"/>
      <c r="F128" s="33">
        <f>Source!AO42</f>
        <v>32.520000000000003</v>
      </c>
      <c r="G128" s="34" t="str">
        <f>Source!DG42</f>
        <v>)*1,15</v>
      </c>
      <c r="H128" s="33">
        <f>ROUND(Source!AF42*Source!I42, 2)</f>
        <v>1.61</v>
      </c>
      <c r="I128" s="34"/>
      <c r="J128" s="34">
        <f>IF(Source!BA42&lt;&gt; 0, Source!BA42, 1)</f>
        <v>33.65</v>
      </c>
      <c r="K128" s="33">
        <f>Source!S42</f>
        <v>54.12</v>
      </c>
      <c r="Q128">
        <f>H128</f>
        <v>1.61</v>
      </c>
    </row>
    <row r="129" spans="1:25" ht="14.25" x14ac:dyDescent="0.2">
      <c r="A129" s="20"/>
      <c r="B129" s="43"/>
      <c r="C129" s="43" t="s">
        <v>1374</v>
      </c>
      <c r="D129" s="32" t="s">
        <v>1375</v>
      </c>
      <c r="E129" s="10">
        <f>Source!BZ42</f>
        <v>85</v>
      </c>
      <c r="F129" s="46"/>
      <c r="G129" s="34"/>
      <c r="H129" s="33">
        <f>SUM(R126:R131)</f>
        <v>1.37</v>
      </c>
      <c r="I129" s="36"/>
      <c r="J129" s="31">
        <f>Source!AT42</f>
        <v>85</v>
      </c>
      <c r="K129" s="33">
        <f>SUM(S126:S131)</f>
        <v>46</v>
      </c>
    </row>
    <row r="130" spans="1:25" ht="14.25" x14ac:dyDescent="0.2">
      <c r="A130" s="20"/>
      <c r="B130" s="43"/>
      <c r="C130" s="43" t="s">
        <v>1376</v>
      </c>
      <c r="D130" s="32" t="s">
        <v>1375</v>
      </c>
      <c r="E130" s="10">
        <f>Source!CA42</f>
        <v>65</v>
      </c>
      <c r="F130" s="46"/>
      <c r="G130" s="34"/>
      <c r="H130" s="33">
        <f>SUM(T126:T131)</f>
        <v>1.05</v>
      </c>
      <c r="I130" s="36"/>
      <c r="J130" s="31">
        <f>Source!AU42</f>
        <v>65</v>
      </c>
      <c r="K130" s="33">
        <f>SUM(U126:U131)</f>
        <v>35.18</v>
      </c>
    </row>
    <row r="131" spans="1:25" ht="14.25" x14ac:dyDescent="0.2">
      <c r="A131" s="44"/>
      <c r="B131" s="45"/>
      <c r="C131" s="45" t="s">
        <v>1377</v>
      </c>
      <c r="D131" s="37" t="s">
        <v>1378</v>
      </c>
      <c r="E131" s="38">
        <f>Source!AQ42</f>
        <v>3.98</v>
      </c>
      <c r="F131" s="39"/>
      <c r="G131" s="40" t="str">
        <f>Source!DI42</f>
        <v>)*1,15</v>
      </c>
      <c r="H131" s="39"/>
      <c r="I131" s="40"/>
      <c r="J131" s="40"/>
      <c r="K131" s="39"/>
    </row>
    <row r="132" spans="1:25" ht="15" x14ac:dyDescent="0.25">
      <c r="G132" s="76">
        <f>H128+H129+H130</f>
        <v>4.03</v>
      </c>
      <c r="H132" s="76"/>
      <c r="J132" s="76">
        <f>K128+K129+K130</f>
        <v>135.30000000000001</v>
      </c>
      <c r="K132" s="76"/>
      <c r="N132" s="28">
        <f>G132</f>
        <v>4.03</v>
      </c>
      <c r="O132" s="28">
        <f>J132</f>
        <v>135.30000000000001</v>
      </c>
      <c r="P132" s="28" t="e">
        <f>#REF!</f>
        <v>#REF!</v>
      </c>
      <c r="V132">
        <f>IF(Source!BI42&lt;=1,H128+H129+H130, 0)</f>
        <v>4.03</v>
      </c>
      <c r="W132">
        <f>IF(Source!BI42=2,H128+H129+H130, 0)</f>
        <v>0</v>
      </c>
      <c r="X132">
        <f>IF(Source!BI42=3,H128+H129+H130, 0)</f>
        <v>0</v>
      </c>
      <c r="Y132">
        <f>IF(Source!BI42=4,H128+H129+H130, 0)</f>
        <v>0</v>
      </c>
    </row>
    <row r="133" spans="1:25" ht="90.75" x14ac:dyDescent="0.2">
      <c r="A133" s="20" t="str">
        <f>Source!E43</f>
        <v>12</v>
      </c>
      <c r="B133" s="43" t="s">
        <v>1390</v>
      </c>
      <c r="C133" s="43" t="str">
        <f>Source!G43</f>
        <v>Демонтаж бетонной плитки (площадка и ступени у входа)</v>
      </c>
      <c r="D133" s="32" t="str">
        <f>Source!H43</f>
        <v>100 м2</v>
      </c>
      <c r="E133" s="10">
        <f>Source!I43</f>
        <v>0.1275</v>
      </c>
      <c r="F133" s="33">
        <f>Source!AL43+Source!AM43+Source!AO43</f>
        <v>813.05</v>
      </c>
      <c r="G133" s="34"/>
      <c r="H133" s="33"/>
      <c r="I133" s="34" t="str">
        <f>Source!BO43</f>
        <v>27-07-003-01</v>
      </c>
      <c r="J133" s="34"/>
      <c r="K133" s="33"/>
      <c r="R133">
        <f>ROUND((Source!FX43/100)*((ROUND(Source!AF43*Source!I43, 2)+ROUND(Source!AE43*Source!I43, 2))), 2)</f>
        <v>67.8</v>
      </c>
      <c r="S133">
        <f>Source!X43</f>
        <v>2284.86</v>
      </c>
      <c r="T133">
        <f>ROUND((Source!FY43/100)*((ROUND(Source!AF43*Source!I43, 2)+ROUND(Source!AE43*Source!I43, 2))), 2)</f>
        <v>42.84</v>
      </c>
      <c r="U133">
        <f>Source!Y43</f>
        <v>1445.89</v>
      </c>
    </row>
    <row r="134" spans="1:25" x14ac:dyDescent="0.2">
      <c r="C134" s="27" t="str">
        <f>"Объем: "&amp;Source!I43&amp;"=12,75/"&amp;"100"</f>
        <v>Объем: 0,1275=12,75/100</v>
      </c>
    </row>
    <row r="135" spans="1:25" ht="14.25" x14ac:dyDescent="0.2">
      <c r="A135" s="20"/>
      <c r="B135" s="43"/>
      <c r="C135" s="43" t="s">
        <v>1372</v>
      </c>
      <c r="D135" s="32"/>
      <c r="E135" s="10"/>
      <c r="F135" s="33">
        <f>Source!AO43</f>
        <v>374.19</v>
      </c>
      <c r="G135" s="34" t="str">
        <f>Source!DG43</f>
        <v>)*1,35)*0,8</v>
      </c>
      <c r="H135" s="33">
        <f>ROUND(Source!AF43*Source!I43, 2)</f>
        <v>51.53</v>
      </c>
      <c r="I135" s="34"/>
      <c r="J135" s="34">
        <f>IF(Source!BA43&lt;&gt; 0, Source!BA43, 1)</f>
        <v>33.65</v>
      </c>
      <c r="K135" s="33">
        <f>Source!S43</f>
        <v>1733.87</v>
      </c>
      <c r="Q135">
        <f>H135</f>
        <v>51.53</v>
      </c>
    </row>
    <row r="136" spans="1:25" ht="14.25" x14ac:dyDescent="0.2">
      <c r="A136" s="20"/>
      <c r="B136" s="43"/>
      <c r="C136" s="43" t="s">
        <v>646</v>
      </c>
      <c r="D136" s="32"/>
      <c r="E136" s="10"/>
      <c r="F136" s="33">
        <f>Source!AM43</f>
        <v>414.56</v>
      </c>
      <c r="G136" s="34" t="str">
        <f>Source!DE43</f>
        <v>)*1,35)*0,8</v>
      </c>
      <c r="H136" s="33">
        <f>ROUND(Source!AD43*Source!I43, 2)</f>
        <v>57.08</v>
      </c>
      <c r="I136" s="34"/>
      <c r="J136" s="34">
        <f>IF(Source!BB43&lt;&gt; 0, Source!BB43, 1)</f>
        <v>6.24</v>
      </c>
      <c r="K136" s="33">
        <f>Source!Q43</f>
        <v>356.21</v>
      </c>
    </row>
    <row r="137" spans="1:25" ht="14.25" x14ac:dyDescent="0.2">
      <c r="A137" s="20"/>
      <c r="B137" s="43"/>
      <c r="C137" s="43" t="s">
        <v>1373</v>
      </c>
      <c r="D137" s="32"/>
      <c r="E137" s="10"/>
      <c r="F137" s="33">
        <f>Source!AN43</f>
        <v>11.05</v>
      </c>
      <c r="G137" s="34" t="str">
        <f>Source!DF43</f>
        <v>)*1,35)*0,8</v>
      </c>
      <c r="H137" s="35">
        <f>ROUND(Source!AE43*Source!I43, 2)</f>
        <v>1.52</v>
      </c>
      <c r="I137" s="34"/>
      <c r="J137" s="34">
        <f>IF(Source!BS43&lt;&gt; 0, Source!BS43, 1)</f>
        <v>33.65</v>
      </c>
      <c r="K137" s="35">
        <f>Source!R43</f>
        <v>51.18</v>
      </c>
      <c r="Q137">
        <f>H137</f>
        <v>1.52</v>
      </c>
    </row>
    <row r="138" spans="1:25" ht="14.25" x14ac:dyDescent="0.2">
      <c r="A138" s="20"/>
      <c r="B138" s="43"/>
      <c r="C138" s="43" t="s">
        <v>1374</v>
      </c>
      <c r="D138" s="32" t="s">
        <v>1375</v>
      </c>
      <c r="E138" s="10">
        <f>Source!BZ43</f>
        <v>142</v>
      </c>
      <c r="F138" s="64" t="str">
        <f>CONCATENATE(" )", Source!DL43, Source!FT43, "=", Source!FX43)</f>
        <v xml:space="preserve"> )*0,9=127,8</v>
      </c>
      <c r="G138" s="75"/>
      <c r="H138" s="33">
        <f>SUM(R133:R140)</f>
        <v>67.8</v>
      </c>
      <c r="I138" s="36"/>
      <c r="J138" s="31">
        <f>Source!AT43</f>
        <v>128</v>
      </c>
      <c r="K138" s="33">
        <f>SUM(S133:S140)</f>
        <v>2284.86</v>
      </c>
    </row>
    <row r="139" spans="1:25" ht="14.25" x14ac:dyDescent="0.2">
      <c r="A139" s="20"/>
      <c r="B139" s="43"/>
      <c r="C139" s="43" t="s">
        <v>1376</v>
      </c>
      <c r="D139" s="32" t="s">
        <v>1375</v>
      </c>
      <c r="E139" s="10">
        <f>Source!CA43</f>
        <v>95</v>
      </c>
      <c r="F139" s="64" t="str">
        <f>CONCATENATE(" )", Source!DM43, Source!FU43, "=", Source!FY43)</f>
        <v xml:space="preserve"> )*0,85=80,75</v>
      </c>
      <c r="G139" s="75"/>
      <c r="H139" s="33">
        <f>SUM(T133:T140)</f>
        <v>42.84</v>
      </c>
      <c r="I139" s="36"/>
      <c r="J139" s="31">
        <f>Source!AU43</f>
        <v>81</v>
      </c>
      <c r="K139" s="33">
        <f>SUM(U133:U140)</f>
        <v>1445.89</v>
      </c>
    </row>
    <row r="140" spans="1:25" ht="14.25" x14ac:dyDescent="0.2">
      <c r="A140" s="44"/>
      <c r="B140" s="45"/>
      <c r="C140" s="45" t="s">
        <v>1377</v>
      </c>
      <c r="D140" s="37" t="s">
        <v>1378</v>
      </c>
      <c r="E140" s="38">
        <f>Source!AQ43</f>
        <v>45.8</v>
      </c>
      <c r="F140" s="39"/>
      <c r="G140" s="40" t="str">
        <f>Source!DI43</f>
        <v>)*1,35)*0,8</v>
      </c>
      <c r="H140" s="39"/>
      <c r="I140" s="40"/>
      <c r="J140" s="40"/>
      <c r="K140" s="39"/>
    </row>
    <row r="141" spans="1:25" ht="15" x14ac:dyDescent="0.25">
      <c r="G141" s="76">
        <f>H135+H136+H138+H139</f>
        <v>219.25</v>
      </c>
      <c r="H141" s="76"/>
      <c r="J141" s="76">
        <f>K135+K136+K138+K139</f>
        <v>5820.8300000000008</v>
      </c>
      <c r="K141" s="76"/>
      <c r="N141" s="28">
        <f>G141</f>
        <v>219.25</v>
      </c>
      <c r="O141" s="28">
        <f>J141</f>
        <v>5820.8300000000008</v>
      </c>
      <c r="P141" s="28" t="e">
        <f>#REF!</f>
        <v>#REF!</v>
      </c>
      <c r="V141">
        <f>IF(Source!BI43&lt;=1,H135+H136+H138+H139, 0)</f>
        <v>219.25</v>
      </c>
      <c r="W141">
        <f>IF(Source!BI43=2,H135+H136+H138+H139, 0)</f>
        <v>0</v>
      </c>
      <c r="X141">
        <f>IF(Source!BI43=3,H135+H136+H138+H139, 0)</f>
        <v>0</v>
      </c>
      <c r="Y141">
        <f>IF(Source!BI43=4,H135+H136+H138+H139, 0)</f>
        <v>0</v>
      </c>
    </row>
    <row r="142" spans="1:25" ht="65.25" x14ac:dyDescent="0.2">
      <c r="A142" s="20" t="str">
        <f>Source!E44</f>
        <v>13</v>
      </c>
      <c r="B142" s="43" t="s">
        <v>1391</v>
      </c>
      <c r="C142" s="43" t="str">
        <f>Source!G44</f>
        <v>Демонтаж площадки, ступеней и пандуса из асфальтобетона</v>
      </c>
      <c r="D142" s="32" t="str">
        <f>Source!H44</f>
        <v>м3</v>
      </c>
      <c r="E142" s="10">
        <f>Source!I44</f>
        <v>3.23</v>
      </c>
      <c r="F142" s="33">
        <f>Source!AL44+Source!AM44+Source!AO44</f>
        <v>316.42</v>
      </c>
      <c r="G142" s="34"/>
      <c r="H142" s="33"/>
      <c r="I142" s="34" t="str">
        <f>Source!BO44</f>
        <v>46-04-003-01</v>
      </c>
      <c r="J142" s="34"/>
      <c r="K142" s="33"/>
      <c r="R142">
        <f>ROUND((Source!FX44/100)*((ROUND(Source!AF44*Source!I44, 2)+ROUND(Source!AE44*Source!I44, 2))), 2)</f>
        <v>303.33999999999997</v>
      </c>
      <c r="S142">
        <f>Source!X44</f>
        <v>10207.19</v>
      </c>
      <c r="T142">
        <f>ROUND((Source!FY44/100)*((ROUND(Source!AF44*Source!I44, 2)+ROUND(Source!AE44*Source!I44, 2))), 2)</f>
        <v>182.31</v>
      </c>
      <c r="U142">
        <f>Source!Y44</f>
        <v>6186.17</v>
      </c>
    </row>
    <row r="143" spans="1:25" ht="14.25" x14ac:dyDescent="0.2">
      <c r="A143" s="20"/>
      <c r="B143" s="43"/>
      <c r="C143" s="43" t="s">
        <v>1372</v>
      </c>
      <c r="D143" s="32"/>
      <c r="E143" s="10"/>
      <c r="F143" s="33">
        <f>Source!AO44</f>
        <v>82.49</v>
      </c>
      <c r="G143" s="34" t="str">
        <f>Source!DG44</f>
        <v>)*1,15</v>
      </c>
      <c r="H143" s="33">
        <f>ROUND(Source!AF44*Source!I44, 2)</f>
        <v>306.39999999999998</v>
      </c>
      <c r="I143" s="34"/>
      <c r="J143" s="34">
        <f>IF(Source!BA44&lt;&gt; 0, Source!BA44, 1)</f>
        <v>33.65</v>
      </c>
      <c r="K143" s="33">
        <f>Source!S44</f>
        <v>10310.290000000001</v>
      </c>
      <c r="Q143">
        <f>H143</f>
        <v>306.39999999999998</v>
      </c>
    </row>
    <row r="144" spans="1:25" ht="14.25" x14ac:dyDescent="0.2">
      <c r="A144" s="20"/>
      <c r="B144" s="43"/>
      <c r="C144" s="43" t="s">
        <v>646</v>
      </c>
      <c r="D144" s="32"/>
      <c r="E144" s="10"/>
      <c r="F144" s="33">
        <f>Source!AM44</f>
        <v>233.93</v>
      </c>
      <c r="G144" s="34" t="str">
        <f>Source!DE44</f>
        <v>)*1,15</v>
      </c>
      <c r="H144" s="33">
        <f>ROUND(Source!AD44*Source!I44, 2)</f>
        <v>868.93</v>
      </c>
      <c r="I144" s="34"/>
      <c r="J144" s="34">
        <f>IF(Source!BB44&lt;&gt; 0, Source!BB44, 1)</f>
        <v>2.84</v>
      </c>
      <c r="K144" s="33">
        <f>Source!Q44</f>
        <v>2467.77</v>
      </c>
    </row>
    <row r="145" spans="1:25" ht="14.25" x14ac:dyDescent="0.2">
      <c r="A145" s="20"/>
      <c r="B145" s="43"/>
      <c r="C145" s="43" t="s">
        <v>1374</v>
      </c>
      <c r="D145" s="32" t="s">
        <v>1375</v>
      </c>
      <c r="E145" s="10">
        <f>Source!BZ44</f>
        <v>110</v>
      </c>
      <c r="F145" s="64" t="str">
        <f>CONCATENATE(" )", Source!DL44, Source!FT44, "=", Source!FX44)</f>
        <v xml:space="preserve"> )*0,9=99</v>
      </c>
      <c r="G145" s="75"/>
      <c r="H145" s="33">
        <f>SUM(R142:R147)</f>
        <v>303.33999999999997</v>
      </c>
      <c r="I145" s="36"/>
      <c r="J145" s="31">
        <f>Source!AT44</f>
        <v>99</v>
      </c>
      <c r="K145" s="33">
        <f>SUM(S142:S147)</f>
        <v>10207.19</v>
      </c>
    </row>
    <row r="146" spans="1:25" ht="14.25" x14ac:dyDescent="0.2">
      <c r="A146" s="20"/>
      <c r="B146" s="43"/>
      <c r="C146" s="43" t="s">
        <v>1376</v>
      </c>
      <c r="D146" s="32" t="s">
        <v>1375</v>
      </c>
      <c r="E146" s="10">
        <f>Source!CA44</f>
        <v>70</v>
      </c>
      <c r="F146" s="64" t="str">
        <f>CONCATENATE(" )", Source!DM44, Source!FU44, "=", Source!FY44)</f>
        <v xml:space="preserve"> )*0,85=59,5</v>
      </c>
      <c r="G146" s="75"/>
      <c r="H146" s="33">
        <f>SUM(T142:T147)</f>
        <v>182.31</v>
      </c>
      <c r="I146" s="36"/>
      <c r="J146" s="31">
        <f>Source!AU44</f>
        <v>60</v>
      </c>
      <c r="K146" s="33">
        <f>SUM(U142:U147)</f>
        <v>6186.17</v>
      </c>
    </row>
    <row r="147" spans="1:25" ht="14.25" x14ac:dyDescent="0.2">
      <c r="A147" s="44"/>
      <c r="B147" s="45"/>
      <c r="C147" s="45" t="s">
        <v>1377</v>
      </c>
      <c r="D147" s="37" t="s">
        <v>1378</v>
      </c>
      <c r="E147" s="38">
        <f>Source!AQ44</f>
        <v>9.67</v>
      </c>
      <c r="F147" s="39"/>
      <c r="G147" s="40" t="str">
        <f>Source!DI44</f>
        <v>)*1,15</v>
      </c>
      <c r="H147" s="39"/>
      <c r="I147" s="40"/>
      <c r="J147" s="40"/>
      <c r="K147" s="39"/>
    </row>
    <row r="148" spans="1:25" ht="15" x14ac:dyDescent="0.25">
      <c r="G148" s="76">
        <f>H143+H144+H145+H146</f>
        <v>1660.9799999999998</v>
      </c>
      <c r="H148" s="76"/>
      <c r="J148" s="76">
        <f>K143+K144+K145+K146</f>
        <v>29171.42</v>
      </c>
      <c r="K148" s="76"/>
      <c r="N148" s="28">
        <f>G148</f>
        <v>1660.9799999999998</v>
      </c>
      <c r="O148" s="28">
        <f>J148</f>
        <v>29171.42</v>
      </c>
      <c r="P148" s="28" t="e">
        <f>#REF!</f>
        <v>#REF!</v>
      </c>
      <c r="V148">
        <f>IF(Source!BI44&lt;=1,H143+H144+H145+H146, 0)</f>
        <v>1660.9799999999998</v>
      </c>
      <c r="W148">
        <f>IF(Source!BI44=2,H143+H144+H145+H146, 0)</f>
        <v>0</v>
      </c>
      <c r="X148">
        <f>IF(Source!BI44=3,H143+H144+H145+H146, 0)</f>
        <v>0</v>
      </c>
      <c r="Y148">
        <f>IF(Source!BI44=4,H143+H144+H145+H146, 0)</f>
        <v>0</v>
      </c>
    </row>
    <row r="149" spans="1:25" ht="90.75" x14ac:dyDescent="0.2">
      <c r="A149" s="20" t="str">
        <f>Source!E45</f>
        <v>14</v>
      </c>
      <c r="B149" s="43" t="s">
        <v>1392</v>
      </c>
      <c r="C149" s="43" t="str">
        <f>Source!G45</f>
        <v>Демонтаж ограждения площадки из эл. сварн. трубы 20х20 мм</v>
      </c>
      <c r="D149" s="32" t="str">
        <f>Source!H45</f>
        <v>т</v>
      </c>
      <c r="E149" s="10">
        <f>Source!I45</f>
        <v>0.01</v>
      </c>
      <c r="F149" s="33">
        <f>Source!AL45+Source!AM45+Source!AO45</f>
        <v>999.79</v>
      </c>
      <c r="G149" s="34"/>
      <c r="H149" s="33"/>
      <c r="I149" s="34" t="str">
        <f>Source!BO45</f>
        <v>09-03-030-01</v>
      </c>
      <c r="J149" s="34"/>
      <c r="K149" s="33"/>
      <c r="R149">
        <f>ROUND((Source!FX45/100)*((ROUND(Source!AF45*Source!I45, 2)+ROUND(Source!AE45*Source!I45, 2))), 2)</f>
        <v>2.97</v>
      </c>
      <c r="S149">
        <f>Source!X45</f>
        <v>100.21</v>
      </c>
      <c r="T149">
        <f>ROUND((Source!FY45/100)*((ROUND(Source!AF45*Source!I45, 2)+ROUND(Source!AE45*Source!I45, 2))), 2)</f>
        <v>2.65</v>
      </c>
      <c r="U149">
        <f>Source!Y45</f>
        <v>89.08</v>
      </c>
    </row>
    <row r="150" spans="1:25" ht="14.25" x14ac:dyDescent="0.2">
      <c r="A150" s="20"/>
      <c r="B150" s="43"/>
      <c r="C150" s="43" t="s">
        <v>1372</v>
      </c>
      <c r="D150" s="32"/>
      <c r="E150" s="10"/>
      <c r="F150" s="33">
        <f>Source!AO45</f>
        <v>329.56</v>
      </c>
      <c r="G150" s="34" t="str">
        <f>Source!DG45</f>
        <v>)*1,35)*0,7</v>
      </c>
      <c r="H150" s="33">
        <f>ROUND(Source!AF45*Source!I45, 2)</f>
        <v>3.11</v>
      </c>
      <c r="I150" s="34"/>
      <c r="J150" s="34">
        <f>IF(Source!BA45&lt;&gt; 0, Source!BA45, 1)</f>
        <v>33.65</v>
      </c>
      <c r="K150" s="33">
        <f>Source!S45</f>
        <v>104.8</v>
      </c>
      <c r="Q150">
        <f>H150</f>
        <v>3.11</v>
      </c>
    </row>
    <row r="151" spans="1:25" ht="14.25" x14ac:dyDescent="0.2">
      <c r="A151" s="20"/>
      <c r="B151" s="43"/>
      <c r="C151" s="43" t="s">
        <v>646</v>
      </c>
      <c r="D151" s="32"/>
      <c r="E151" s="10"/>
      <c r="F151" s="33">
        <f>Source!AM45</f>
        <v>581.74</v>
      </c>
      <c r="G151" s="34" t="str">
        <f>Source!DE45</f>
        <v>)*1,35)*0,7</v>
      </c>
      <c r="H151" s="33">
        <f>ROUND(Source!AD45*Source!I45, 2)</f>
        <v>5.5</v>
      </c>
      <c r="I151" s="34"/>
      <c r="J151" s="34">
        <f>IF(Source!BB45&lt;&gt; 0, Source!BB45, 1)</f>
        <v>9.14</v>
      </c>
      <c r="K151" s="33">
        <f>Source!Q45</f>
        <v>50.25</v>
      </c>
    </row>
    <row r="152" spans="1:25" ht="14.25" x14ac:dyDescent="0.2">
      <c r="A152" s="20"/>
      <c r="B152" s="43"/>
      <c r="C152" s="43" t="s">
        <v>1373</v>
      </c>
      <c r="D152" s="32"/>
      <c r="E152" s="10"/>
      <c r="F152" s="33">
        <f>Source!AN45</f>
        <v>59.5</v>
      </c>
      <c r="G152" s="34" t="str">
        <f>Source!DF45</f>
        <v>)*1,35)*0,7</v>
      </c>
      <c r="H152" s="35">
        <f>ROUND(Source!AE45*Source!I45, 2)</f>
        <v>0.56000000000000005</v>
      </c>
      <c r="I152" s="34"/>
      <c r="J152" s="34">
        <f>IF(Source!BS45&lt;&gt; 0, Source!BS45, 1)</f>
        <v>33.65</v>
      </c>
      <c r="K152" s="35">
        <f>Source!R45</f>
        <v>18.920000000000002</v>
      </c>
      <c r="Q152">
        <f>H152</f>
        <v>0.56000000000000005</v>
      </c>
    </row>
    <row r="153" spans="1:25" ht="14.25" x14ac:dyDescent="0.2">
      <c r="A153" s="20"/>
      <c r="B153" s="43"/>
      <c r="C153" s="43" t="s">
        <v>1374</v>
      </c>
      <c r="D153" s="32" t="s">
        <v>1375</v>
      </c>
      <c r="E153" s="10">
        <f>Source!BZ45</f>
        <v>90</v>
      </c>
      <c r="F153" s="64" t="str">
        <f>CONCATENATE(" )", Source!DL45, Source!FT45, "=", Source!FX45)</f>
        <v xml:space="preserve"> )*0,9=81</v>
      </c>
      <c r="G153" s="75"/>
      <c r="H153" s="33">
        <f>SUM(R149:R155)</f>
        <v>2.97</v>
      </c>
      <c r="I153" s="36"/>
      <c r="J153" s="31">
        <f>Source!AT45</f>
        <v>81</v>
      </c>
      <c r="K153" s="33">
        <f>SUM(S149:S155)</f>
        <v>100.21</v>
      </c>
    </row>
    <row r="154" spans="1:25" ht="14.25" x14ac:dyDescent="0.2">
      <c r="A154" s="20"/>
      <c r="B154" s="43"/>
      <c r="C154" s="43" t="s">
        <v>1376</v>
      </c>
      <c r="D154" s="32" t="s">
        <v>1375</v>
      </c>
      <c r="E154" s="10">
        <f>Source!CA45</f>
        <v>85</v>
      </c>
      <c r="F154" s="64" t="str">
        <f>CONCATENATE(" )", Source!DM45, Source!FU45, "=", Source!FY45)</f>
        <v xml:space="preserve"> )*0,85=72,25</v>
      </c>
      <c r="G154" s="75"/>
      <c r="H154" s="33">
        <f>SUM(T149:T155)</f>
        <v>2.65</v>
      </c>
      <c r="I154" s="36"/>
      <c r="J154" s="31">
        <f>Source!AU45</f>
        <v>72</v>
      </c>
      <c r="K154" s="33">
        <f>SUM(U149:U155)</f>
        <v>89.08</v>
      </c>
    </row>
    <row r="155" spans="1:25" ht="14.25" x14ac:dyDescent="0.2">
      <c r="A155" s="44"/>
      <c r="B155" s="45"/>
      <c r="C155" s="45" t="s">
        <v>1377</v>
      </c>
      <c r="D155" s="37" t="s">
        <v>1378</v>
      </c>
      <c r="E155" s="38">
        <f>Source!AQ45</f>
        <v>35.9</v>
      </c>
      <c r="F155" s="39"/>
      <c r="G155" s="40" t="str">
        <f>Source!DI45</f>
        <v>)*1,35)*0,7</v>
      </c>
      <c r="H155" s="39"/>
      <c r="I155" s="40"/>
      <c r="J155" s="40"/>
      <c r="K155" s="39"/>
    </row>
    <row r="156" spans="1:25" ht="15" x14ac:dyDescent="0.25">
      <c r="G156" s="76">
        <f>H150+H151+H153+H154</f>
        <v>14.23</v>
      </c>
      <c r="H156" s="76"/>
      <c r="J156" s="76">
        <f>K150+K151+K153+K154</f>
        <v>344.34</v>
      </c>
      <c r="K156" s="76"/>
      <c r="N156" s="28">
        <f>G156</f>
        <v>14.23</v>
      </c>
      <c r="O156" s="28">
        <f>J156</f>
        <v>344.34</v>
      </c>
      <c r="P156" s="28" t="e">
        <f>#REF!</f>
        <v>#REF!</v>
      </c>
      <c r="V156">
        <f>IF(Source!BI45&lt;=1,H150+H151+H153+H154, 0)</f>
        <v>14.23</v>
      </c>
      <c r="W156">
        <f>IF(Source!BI45=2,H150+H151+H153+H154, 0)</f>
        <v>0</v>
      </c>
      <c r="X156">
        <f>IF(Source!BI45=3,H150+H151+H153+H154, 0)</f>
        <v>0</v>
      </c>
      <c r="Y156">
        <f>IF(Source!BI45=4,H150+H151+H153+H154, 0)</f>
        <v>0</v>
      </c>
    </row>
    <row r="157" spans="1:25" ht="90.75" x14ac:dyDescent="0.2">
      <c r="A157" s="20" t="str">
        <f>Source!E46</f>
        <v>15</v>
      </c>
      <c r="B157" s="43" t="s">
        <v>1393</v>
      </c>
      <c r="C157" s="43" t="str">
        <f>Source!G46</f>
        <v>Демонтаж почтового ящика с сохранением</v>
      </c>
      <c r="D157" s="32" t="str">
        <f>Source!H46</f>
        <v>ШТ</v>
      </c>
      <c r="E157" s="10">
        <f>Source!I46</f>
        <v>1</v>
      </c>
      <c r="F157" s="33">
        <f>Source!AL46+Source!AM46+Source!AO46</f>
        <v>16.04</v>
      </c>
      <c r="G157" s="34"/>
      <c r="H157" s="33"/>
      <c r="I157" s="34" t="str">
        <f>Source!BO46</f>
        <v>09-05-016-01</v>
      </c>
      <c r="J157" s="34"/>
      <c r="K157" s="33"/>
      <c r="R157">
        <f>ROUND((Source!FX46/100)*((ROUND(Source!AF46*Source!I46, 2)+ROUND(Source!AE46*Source!I46, 2))), 2)</f>
        <v>12.28</v>
      </c>
      <c r="S157">
        <f>Source!X46</f>
        <v>413.21</v>
      </c>
      <c r="T157">
        <f>ROUND((Source!FY46/100)*((ROUND(Source!AF46*Source!I46, 2)+ROUND(Source!AE46*Source!I46, 2))), 2)</f>
        <v>10.95</v>
      </c>
      <c r="U157">
        <f>Source!Y46</f>
        <v>367.29</v>
      </c>
    </row>
    <row r="158" spans="1:25" ht="14.25" x14ac:dyDescent="0.2">
      <c r="A158" s="20"/>
      <c r="B158" s="43"/>
      <c r="C158" s="43" t="s">
        <v>1372</v>
      </c>
      <c r="D158" s="32"/>
      <c r="E158" s="10"/>
      <c r="F158" s="33">
        <f>Source!AO46</f>
        <v>16.04</v>
      </c>
      <c r="G158" s="34" t="str">
        <f>Source!DG46</f>
        <v>)*1,35)*0,7</v>
      </c>
      <c r="H158" s="33">
        <f>ROUND(Source!AF46*Source!I46, 2)</f>
        <v>15.16</v>
      </c>
      <c r="I158" s="34"/>
      <c r="J158" s="34">
        <f>IF(Source!BA46&lt;&gt; 0, Source!BA46, 1)</f>
        <v>33.65</v>
      </c>
      <c r="K158" s="33">
        <f>Source!S46</f>
        <v>510.13</v>
      </c>
      <c r="Q158">
        <f>H158</f>
        <v>15.16</v>
      </c>
    </row>
    <row r="159" spans="1:25" ht="14.25" x14ac:dyDescent="0.2">
      <c r="A159" s="20"/>
      <c r="B159" s="43"/>
      <c r="C159" s="43" t="s">
        <v>1374</v>
      </c>
      <c r="D159" s="32" t="s">
        <v>1375</v>
      </c>
      <c r="E159" s="10">
        <f>Source!BZ46</f>
        <v>90</v>
      </c>
      <c r="F159" s="64" t="str">
        <f>CONCATENATE(" )", Source!DL46, Source!FT46, "=", Source!FX46)</f>
        <v xml:space="preserve"> )*0,9=81</v>
      </c>
      <c r="G159" s="75"/>
      <c r="H159" s="33">
        <f>SUM(R157:R161)</f>
        <v>12.28</v>
      </c>
      <c r="I159" s="36"/>
      <c r="J159" s="31">
        <f>Source!AT46</f>
        <v>81</v>
      </c>
      <c r="K159" s="33">
        <f>SUM(S157:S161)</f>
        <v>413.21</v>
      </c>
    </row>
    <row r="160" spans="1:25" ht="14.25" x14ac:dyDescent="0.2">
      <c r="A160" s="20"/>
      <c r="B160" s="43"/>
      <c r="C160" s="43" t="s">
        <v>1376</v>
      </c>
      <c r="D160" s="32" t="s">
        <v>1375</v>
      </c>
      <c r="E160" s="10">
        <f>Source!CA46</f>
        <v>85</v>
      </c>
      <c r="F160" s="64" t="str">
        <f>CONCATENATE(" )", Source!DM46, Source!FU46, "=", Source!FY46)</f>
        <v xml:space="preserve"> )*0,85=72,25</v>
      </c>
      <c r="G160" s="75"/>
      <c r="H160" s="33">
        <f>SUM(T157:T161)</f>
        <v>10.95</v>
      </c>
      <c r="I160" s="36"/>
      <c r="J160" s="31">
        <f>Source!AU46</f>
        <v>72</v>
      </c>
      <c r="K160" s="33">
        <f>SUM(U157:U161)</f>
        <v>367.29</v>
      </c>
    </row>
    <row r="161" spans="1:25" ht="14.25" x14ac:dyDescent="0.2">
      <c r="A161" s="44"/>
      <c r="B161" s="45"/>
      <c r="C161" s="45" t="s">
        <v>1377</v>
      </c>
      <c r="D161" s="37" t="s">
        <v>1378</v>
      </c>
      <c r="E161" s="38">
        <f>Source!AQ46</f>
        <v>1.88</v>
      </c>
      <c r="F161" s="39"/>
      <c r="G161" s="40" t="str">
        <f>Source!DI46</f>
        <v>)*1,35)*0,7</v>
      </c>
      <c r="H161" s="39"/>
      <c r="I161" s="40"/>
      <c r="J161" s="40"/>
      <c r="K161" s="39"/>
    </row>
    <row r="162" spans="1:25" ht="15" x14ac:dyDescent="0.25">
      <c r="G162" s="76">
        <f>H158+H159+H160</f>
        <v>38.39</v>
      </c>
      <c r="H162" s="76"/>
      <c r="J162" s="76">
        <f>K158+K159+K160</f>
        <v>1290.6299999999999</v>
      </c>
      <c r="K162" s="76"/>
      <c r="N162" s="28">
        <f>G162</f>
        <v>38.39</v>
      </c>
      <c r="O162" s="28">
        <f>J162</f>
        <v>1290.6299999999999</v>
      </c>
      <c r="P162" s="28" t="e">
        <f>#REF!</f>
        <v>#REF!</v>
      </c>
      <c r="V162">
        <f>IF(Source!BI46&lt;=1,H158+H159+H160, 0)</f>
        <v>38.39</v>
      </c>
      <c r="W162">
        <f>IF(Source!BI46=2,H158+H159+H160, 0)</f>
        <v>0</v>
      </c>
      <c r="X162">
        <f>IF(Source!BI46=3,H158+H159+H160, 0)</f>
        <v>0</v>
      </c>
      <c r="Y162">
        <f>IF(Source!BI46=4,H158+H159+H160, 0)</f>
        <v>0</v>
      </c>
    </row>
    <row r="163" spans="1:25" ht="90.75" x14ac:dyDescent="0.2">
      <c r="A163" s="20" t="str">
        <f>Source!E47</f>
        <v>16</v>
      </c>
      <c r="B163" s="43" t="s">
        <v>1394</v>
      </c>
      <c r="C163" s="43" t="str">
        <f>Source!G47</f>
        <v>Демонтаж вывески ПВХ (информационной) с сохранением</v>
      </c>
      <c r="D163" s="32" t="str">
        <f>Source!H47</f>
        <v>ШТ</v>
      </c>
      <c r="E163" s="10">
        <f>Source!I47</f>
        <v>1</v>
      </c>
      <c r="F163" s="33">
        <f>Source!AL47+Source!AM47+Source!AO47</f>
        <v>0.98</v>
      </c>
      <c r="G163" s="34"/>
      <c r="H163" s="33"/>
      <c r="I163" s="34" t="str">
        <f>Source!BO47</f>
        <v>09-05-014-01</v>
      </c>
      <c r="J163" s="34"/>
      <c r="K163" s="33"/>
      <c r="R163">
        <f>ROUND((Source!FX47/100)*((ROUND(Source!AF47*Source!I47, 2)+ROUND(Source!AE47*Source!I47, 2))), 2)</f>
        <v>0.59</v>
      </c>
      <c r="S163">
        <f>Source!X47</f>
        <v>19.89</v>
      </c>
      <c r="T163">
        <f>ROUND((Source!FY47/100)*((ROUND(Source!AF47*Source!I47, 2)+ROUND(Source!AE47*Source!I47, 2))), 2)</f>
        <v>0.53</v>
      </c>
      <c r="U163">
        <f>Source!Y47</f>
        <v>17.68</v>
      </c>
    </row>
    <row r="164" spans="1:25" ht="14.25" x14ac:dyDescent="0.2">
      <c r="A164" s="20"/>
      <c r="B164" s="43"/>
      <c r="C164" s="43" t="s">
        <v>1372</v>
      </c>
      <c r="D164" s="32"/>
      <c r="E164" s="10"/>
      <c r="F164" s="33">
        <f>Source!AO47</f>
        <v>0.77</v>
      </c>
      <c r="G164" s="34" t="str">
        <f>Source!DG47</f>
        <v>)*1,35)*0,7</v>
      </c>
      <c r="H164" s="33">
        <f>ROUND(Source!AF47*Source!I47, 2)</f>
        <v>0.73</v>
      </c>
      <c r="I164" s="34"/>
      <c r="J164" s="34">
        <f>IF(Source!BA47&lt;&gt; 0, Source!BA47, 1)</f>
        <v>33.65</v>
      </c>
      <c r="K164" s="33">
        <f>Source!S47</f>
        <v>24.56</v>
      </c>
      <c r="Q164">
        <f>H164</f>
        <v>0.73</v>
      </c>
    </row>
    <row r="165" spans="1:25" ht="14.25" x14ac:dyDescent="0.2">
      <c r="A165" s="20"/>
      <c r="B165" s="43"/>
      <c r="C165" s="43" t="s">
        <v>1374</v>
      </c>
      <c r="D165" s="32" t="s">
        <v>1375</v>
      </c>
      <c r="E165" s="10">
        <f>Source!BZ47</f>
        <v>90</v>
      </c>
      <c r="F165" s="64" t="str">
        <f>CONCATENATE(" )", Source!DL47, Source!FT47, "=", Source!FX47)</f>
        <v xml:space="preserve"> )*0,9=81</v>
      </c>
      <c r="G165" s="75"/>
      <c r="H165" s="33">
        <f>SUM(R163:R167)</f>
        <v>0.59</v>
      </c>
      <c r="I165" s="36"/>
      <c r="J165" s="31">
        <f>Source!AT47</f>
        <v>81</v>
      </c>
      <c r="K165" s="33">
        <f>SUM(S163:S167)</f>
        <v>19.89</v>
      </c>
    </row>
    <row r="166" spans="1:25" ht="14.25" x14ac:dyDescent="0.2">
      <c r="A166" s="20"/>
      <c r="B166" s="43"/>
      <c r="C166" s="43" t="s">
        <v>1376</v>
      </c>
      <c r="D166" s="32" t="s">
        <v>1375</v>
      </c>
      <c r="E166" s="10">
        <f>Source!CA47</f>
        <v>85</v>
      </c>
      <c r="F166" s="64" t="str">
        <f>CONCATENATE(" )", Source!DM47, Source!FU47, "=", Source!FY47)</f>
        <v xml:space="preserve"> )*0,85=72,25</v>
      </c>
      <c r="G166" s="75"/>
      <c r="H166" s="33">
        <f>SUM(T163:T167)</f>
        <v>0.53</v>
      </c>
      <c r="I166" s="36"/>
      <c r="J166" s="31">
        <f>Source!AU47</f>
        <v>72</v>
      </c>
      <c r="K166" s="33">
        <f>SUM(U163:U167)</f>
        <v>17.68</v>
      </c>
    </row>
    <row r="167" spans="1:25" ht="14.25" x14ac:dyDescent="0.2">
      <c r="A167" s="44"/>
      <c r="B167" s="45"/>
      <c r="C167" s="45" t="s">
        <v>1377</v>
      </c>
      <c r="D167" s="37" t="s">
        <v>1378</v>
      </c>
      <c r="E167" s="38">
        <f>Source!AQ47</f>
        <v>0.09</v>
      </c>
      <c r="F167" s="39"/>
      <c r="G167" s="40" t="str">
        <f>Source!DI47</f>
        <v>)*1,35)*0,7</v>
      </c>
      <c r="H167" s="39"/>
      <c r="I167" s="40"/>
      <c r="J167" s="40"/>
      <c r="K167" s="39"/>
    </row>
    <row r="168" spans="1:25" ht="15" x14ac:dyDescent="0.25">
      <c r="G168" s="76">
        <f>H164+H165+H166</f>
        <v>1.8499999999999999</v>
      </c>
      <c r="H168" s="76"/>
      <c r="J168" s="76">
        <f>K164+K165+K166</f>
        <v>62.13</v>
      </c>
      <c r="K168" s="76"/>
      <c r="N168" s="28">
        <f>G168</f>
        <v>1.8499999999999999</v>
      </c>
      <c r="O168" s="28">
        <f>J168</f>
        <v>62.13</v>
      </c>
      <c r="P168" s="28" t="e">
        <f>#REF!</f>
        <v>#REF!</v>
      </c>
      <c r="V168">
        <f>IF(Source!BI47&lt;=1,H164+H165+H166, 0)</f>
        <v>1.8499999999999999</v>
      </c>
      <c r="W168">
        <f>IF(Source!BI47=2,H164+H165+H166, 0)</f>
        <v>0</v>
      </c>
      <c r="X168">
        <f>IF(Source!BI47=3,H164+H165+H166, 0)</f>
        <v>0</v>
      </c>
      <c r="Y168">
        <f>IF(Source!BI47=4,H164+H165+H166, 0)</f>
        <v>0</v>
      </c>
    </row>
    <row r="169" spans="1:25" ht="90.75" x14ac:dyDescent="0.2">
      <c r="A169" s="20" t="str">
        <f>Source!E48</f>
        <v>17</v>
      </c>
      <c r="B169" s="43" t="s">
        <v>1395</v>
      </c>
      <c r="C169" s="43" t="str">
        <f>Source!G48</f>
        <v>Демонтаж урн с сохранением</v>
      </c>
      <c r="D169" s="32" t="str">
        <f>Source!H48</f>
        <v>т</v>
      </c>
      <c r="E169" s="10">
        <f>Source!I48</f>
        <v>7.0000000000000001E-3</v>
      </c>
      <c r="F169" s="33">
        <f>Source!AL48+Source!AM48+Source!AO48</f>
        <v>842.06000000000006</v>
      </c>
      <c r="G169" s="34"/>
      <c r="H169" s="33"/>
      <c r="I169" s="34" t="str">
        <f>Source!BO48</f>
        <v>09-03-039-05</v>
      </c>
      <c r="J169" s="34"/>
      <c r="K169" s="33"/>
      <c r="R169">
        <f>ROUND((Source!FX48/100)*((ROUND(Source!AF48*Source!I48, 2)+ROUND(Source!AE48*Source!I48, 2))), 2)</f>
        <v>0.98</v>
      </c>
      <c r="S169">
        <f>Source!X48</f>
        <v>32.869999999999997</v>
      </c>
      <c r="T169">
        <f>ROUND((Source!FY48/100)*((ROUND(Source!AF48*Source!I48, 2)+ROUND(Source!AE48*Source!I48, 2))), 2)</f>
        <v>0.87</v>
      </c>
      <c r="U169">
        <f>Source!Y48</f>
        <v>29.22</v>
      </c>
    </row>
    <row r="170" spans="1:25" ht="14.25" x14ac:dyDescent="0.2">
      <c r="A170" s="20"/>
      <c r="B170" s="43"/>
      <c r="C170" s="43" t="s">
        <v>1372</v>
      </c>
      <c r="D170" s="32"/>
      <c r="E170" s="10"/>
      <c r="F170" s="33">
        <f>Source!AO48</f>
        <v>162.62</v>
      </c>
      <c r="G170" s="34" t="str">
        <f>Source!DG48</f>
        <v>)*1,35)*0,7</v>
      </c>
      <c r="H170" s="33">
        <f>ROUND(Source!AF48*Source!I48, 2)</f>
        <v>1.08</v>
      </c>
      <c r="I170" s="34"/>
      <c r="J170" s="34">
        <f>IF(Source!BA48&lt;&gt; 0, Source!BA48, 1)</f>
        <v>33.65</v>
      </c>
      <c r="K170" s="33">
        <f>Source!S48</f>
        <v>36.200000000000003</v>
      </c>
      <c r="Q170">
        <f>H170</f>
        <v>1.08</v>
      </c>
    </row>
    <row r="171" spans="1:25" ht="14.25" x14ac:dyDescent="0.2">
      <c r="A171" s="20"/>
      <c r="B171" s="43"/>
      <c r="C171" s="43" t="s">
        <v>646</v>
      </c>
      <c r="D171" s="32"/>
      <c r="E171" s="10"/>
      <c r="F171" s="33">
        <f>Source!AM48</f>
        <v>228.99</v>
      </c>
      <c r="G171" s="34" t="str">
        <f>Source!DE48</f>
        <v>)*1,35)*0,7</v>
      </c>
      <c r="H171" s="33">
        <f>ROUND(Source!AD48*Source!I48, 2)</f>
        <v>1.51</v>
      </c>
      <c r="I171" s="34"/>
      <c r="J171" s="34">
        <f>IF(Source!BB48&lt;&gt; 0, Source!BB48, 1)</f>
        <v>9.1199999999999992</v>
      </c>
      <c r="K171" s="33">
        <f>Source!Q48</f>
        <v>13.81</v>
      </c>
    </row>
    <row r="172" spans="1:25" ht="14.25" x14ac:dyDescent="0.2">
      <c r="A172" s="20"/>
      <c r="B172" s="43"/>
      <c r="C172" s="43" t="s">
        <v>1373</v>
      </c>
      <c r="D172" s="32"/>
      <c r="E172" s="10"/>
      <c r="F172" s="33">
        <f>Source!AN48</f>
        <v>19.670000000000002</v>
      </c>
      <c r="G172" s="34" t="str">
        <f>Source!DF48</f>
        <v>)*1,35)*0,7</v>
      </c>
      <c r="H172" s="35">
        <f>ROUND(Source!AE48*Source!I48, 2)</f>
        <v>0.13</v>
      </c>
      <c r="I172" s="34"/>
      <c r="J172" s="34">
        <f>IF(Source!BS48&lt;&gt; 0, Source!BS48, 1)</f>
        <v>33.65</v>
      </c>
      <c r="K172" s="35">
        <f>Source!R48</f>
        <v>4.38</v>
      </c>
      <c r="Q172">
        <f>H172</f>
        <v>0.13</v>
      </c>
    </row>
    <row r="173" spans="1:25" ht="14.25" x14ac:dyDescent="0.2">
      <c r="A173" s="20"/>
      <c r="B173" s="43"/>
      <c r="C173" s="43" t="s">
        <v>1374</v>
      </c>
      <c r="D173" s="32" t="s">
        <v>1375</v>
      </c>
      <c r="E173" s="10">
        <f>Source!BZ48</f>
        <v>90</v>
      </c>
      <c r="F173" s="64" t="str">
        <f>CONCATENATE(" )", Source!DL48, Source!FT48, "=", Source!FX48)</f>
        <v xml:space="preserve"> )*0,9=81</v>
      </c>
      <c r="G173" s="75"/>
      <c r="H173" s="33">
        <f>SUM(R169:R175)</f>
        <v>0.98</v>
      </c>
      <c r="I173" s="36"/>
      <c r="J173" s="31">
        <f>Source!AT48</f>
        <v>81</v>
      </c>
      <c r="K173" s="33">
        <f>SUM(S169:S175)</f>
        <v>32.869999999999997</v>
      </c>
    </row>
    <row r="174" spans="1:25" ht="14.25" x14ac:dyDescent="0.2">
      <c r="A174" s="20"/>
      <c r="B174" s="43"/>
      <c r="C174" s="43" t="s">
        <v>1376</v>
      </c>
      <c r="D174" s="32" t="s">
        <v>1375</v>
      </c>
      <c r="E174" s="10">
        <f>Source!CA48</f>
        <v>85</v>
      </c>
      <c r="F174" s="64" t="str">
        <f>CONCATENATE(" )", Source!DM48, Source!FU48, "=", Source!FY48)</f>
        <v xml:space="preserve"> )*0,85=72,25</v>
      </c>
      <c r="G174" s="75"/>
      <c r="H174" s="33">
        <f>SUM(T169:T175)</f>
        <v>0.87</v>
      </c>
      <c r="I174" s="36"/>
      <c r="J174" s="31">
        <f>Source!AU48</f>
        <v>72</v>
      </c>
      <c r="K174" s="33">
        <f>SUM(U169:U175)</f>
        <v>29.22</v>
      </c>
    </row>
    <row r="175" spans="1:25" ht="14.25" x14ac:dyDescent="0.2">
      <c r="A175" s="44"/>
      <c r="B175" s="45"/>
      <c r="C175" s="45" t="s">
        <v>1377</v>
      </c>
      <c r="D175" s="37" t="s">
        <v>1378</v>
      </c>
      <c r="E175" s="38">
        <f>Source!AQ48</f>
        <v>17.3</v>
      </c>
      <c r="F175" s="39"/>
      <c r="G175" s="40" t="str">
        <f>Source!DI48</f>
        <v>)*1,35)*0,7</v>
      </c>
      <c r="H175" s="39"/>
      <c r="I175" s="40"/>
      <c r="J175" s="40"/>
      <c r="K175" s="39"/>
    </row>
    <row r="176" spans="1:25" ht="15" x14ac:dyDescent="0.25">
      <c r="G176" s="76">
        <f>H170+H171+H173+H174</f>
        <v>4.4399999999999995</v>
      </c>
      <c r="H176" s="76"/>
      <c r="J176" s="76">
        <f>K170+K171+K173+K174</f>
        <v>112.1</v>
      </c>
      <c r="K176" s="76"/>
      <c r="N176" s="28">
        <f>G176</f>
        <v>4.4399999999999995</v>
      </c>
      <c r="O176" s="28">
        <f>J176</f>
        <v>112.1</v>
      </c>
      <c r="P176" s="28" t="e">
        <f>#REF!</f>
        <v>#REF!</v>
      </c>
      <c r="V176">
        <f>IF(Source!BI48&lt;=1,H170+H171+H173+H174, 0)</f>
        <v>4.4399999999999995</v>
      </c>
      <c r="W176">
        <f>IF(Source!BI48=2,H170+H171+H173+H174, 0)</f>
        <v>0</v>
      </c>
      <c r="X176">
        <f>IF(Source!BI48=3,H170+H171+H173+H174, 0)</f>
        <v>0</v>
      </c>
      <c r="Y176">
        <f>IF(Source!BI48=4,H170+H171+H173+H174, 0)</f>
        <v>0</v>
      </c>
    </row>
    <row r="177" spans="1:25" ht="90.75" x14ac:dyDescent="0.2">
      <c r="A177" s="20" t="str">
        <f>Source!E49</f>
        <v>18</v>
      </c>
      <c r="B177" s="43" t="s">
        <v>1396</v>
      </c>
      <c r="C177" s="43" t="str">
        <f>Source!G49</f>
        <v>Демонтаж доводчиков дверных</v>
      </c>
      <c r="D177" s="32" t="str">
        <f>Source!H49</f>
        <v>ШТ</v>
      </c>
      <c r="E177" s="10">
        <f>Source!I49</f>
        <v>2</v>
      </c>
      <c r="F177" s="33">
        <f>Source!AL49+Source!AM49+Source!AO49</f>
        <v>15.44</v>
      </c>
      <c r="G177" s="34"/>
      <c r="H177" s="33"/>
      <c r="I177" s="34" t="str">
        <f>Source!BO49</f>
        <v>09-04-012-02</v>
      </c>
      <c r="J177" s="34"/>
      <c r="K177" s="33"/>
      <c r="R177">
        <f>ROUND((Source!FX49/100)*((ROUND(Source!AF49*Source!I49, 2)+ROUND(Source!AE49*Source!I49, 2))), 2)</f>
        <v>16.850000000000001</v>
      </c>
      <c r="S177">
        <f>Source!X49</f>
        <v>566.94000000000005</v>
      </c>
      <c r="T177">
        <f>ROUND((Source!FY49/100)*((ROUND(Source!AF49*Source!I49, 2)+ROUND(Source!AE49*Source!I49, 2))), 2)</f>
        <v>15.03</v>
      </c>
      <c r="U177">
        <f>Source!Y49</f>
        <v>503.94</v>
      </c>
    </row>
    <row r="178" spans="1:25" ht="14.25" x14ac:dyDescent="0.2">
      <c r="A178" s="20"/>
      <c r="B178" s="43"/>
      <c r="C178" s="43" t="s">
        <v>1372</v>
      </c>
      <c r="D178" s="32"/>
      <c r="E178" s="10"/>
      <c r="F178" s="33">
        <f>Source!AO49</f>
        <v>11.01</v>
      </c>
      <c r="G178" s="34" t="str">
        <f>Source!DG49</f>
        <v>)*1,35)*0,7</v>
      </c>
      <c r="H178" s="33">
        <f>ROUND(Source!AF49*Source!I49, 2)</f>
        <v>20.8</v>
      </c>
      <c r="I178" s="34"/>
      <c r="J178" s="34">
        <f>IF(Source!BA49&lt;&gt; 0, Source!BA49, 1)</f>
        <v>33.65</v>
      </c>
      <c r="K178" s="33">
        <f>Source!S49</f>
        <v>699.92</v>
      </c>
      <c r="Q178">
        <f>H178</f>
        <v>20.8</v>
      </c>
    </row>
    <row r="179" spans="1:25" ht="14.25" x14ac:dyDescent="0.2">
      <c r="A179" s="20"/>
      <c r="B179" s="43"/>
      <c r="C179" s="43" t="s">
        <v>646</v>
      </c>
      <c r="D179" s="32"/>
      <c r="E179" s="10"/>
      <c r="F179" s="33">
        <f>Source!AM49</f>
        <v>2.11</v>
      </c>
      <c r="G179" s="34" t="str">
        <f>Source!DE49</f>
        <v>)*1,35)*0,7</v>
      </c>
      <c r="H179" s="33">
        <f>ROUND(Source!AD49*Source!I49, 2)</f>
        <v>3.98</v>
      </c>
      <c r="I179" s="34"/>
      <c r="J179" s="34">
        <f>IF(Source!BB49&lt;&gt; 0, Source!BB49, 1)</f>
        <v>4.96</v>
      </c>
      <c r="K179" s="33">
        <f>Source!Q49</f>
        <v>19.739999999999998</v>
      </c>
    </row>
    <row r="180" spans="1:25" ht="14.25" x14ac:dyDescent="0.2">
      <c r="A180" s="20"/>
      <c r="B180" s="43"/>
      <c r="C180" s="43" t="s">
        <v>1374</v>
      </c>
      <c r="D180" s="32" t="s">
        <v>1375</v>
      </c>
      <c r="E180" s="10">
        <f>Source!BZ49</f>
        <v>90</v>
      </c>
      <c r="F180" s="64" t="str">
        <f>CONCATENATE(" )", Source!DL49, Source!FT49, "=", Source!FX49)</f>
        <v xml:space="preserve"> )*0,9=81</v>
      </c>
      <c r="G180" s="75"/>
      <c r="H180" s="33">
        <f>SUM(R177:R182)</f>
        <v>16.850000000000001</v>
      </c>
      <c r="I180" s="36"/>
      <c r="J180" s="31">
        <f>Source!AT49</f>
        <v>81</v>
      </c>
      <c r="K180" s="33">
        <f>SUM(S177:S182)</f>
        <v>566.94000000000005</v>
      </c>
    </row>
    <row r="181" spans="1:25" ht="14.25" x14ac:dyDescent="0.2">
      <c r="A181" s="20"/>
      <c r="B181" s="43"/>
      <c r="C181" s="43" t="s">
        <v>1376</v>
      </c>
      <c r="D181" s="32" t="s">
        <v>1375</v>
      </c>
      <c r="E181" s="10">
        <f>Source!CA49</f>
        <v>85</v>
      </c>
      <c r="F181" s="64" t="str">
        <f>CONCATENATE(" )", Source!DM49, Source!FU49, "=", Source!FY49)</f>
        <v xml:space="preserve"> )*0,85=72,25</v>
      </c>
      <c r="G181" s="75"/>
      <c r="H181" s="33">
        <f>SUM(T177:T182)</f>
        <v>15.03</v>
      </c>
      <c r="I181" s="36"/>
      <c r="J181" s="31">
        <f>Source!AU49</f>
        <v>72</v>
      </c>
      <c r="K181" s="33">
        <f>SUM(U177:U182)</f>
        <v>503.94</v>
      </c>
    </row>
    <row r="182" spans="1:25" ht="14.25" x14ac:dyDescent="0.2">
      <c r="A182" s="44"/>
      <c r="B182" s="45"/>
      <c r="C182" s="45" t="s">
        <v>1377</v>
      </c>
      <c r="D182" s="37" t="s">
        <v>1378</v>
      </c>
      <c r="E182" s="38">
        <f>Source!AQ49</f>
        <v>1.1100000000000001</v>
      </c>
      <c r="F182" s="39"/>
      <c r="G182" s="40" t="str">
        <f>Source!DI49</f>
        <v>)*1,35)*0,7</v>
      </c>
      <c r="H182" s="39"/>
      <c r="I182" s="40"/>
      <c r="J182" s="40"/>
      <c r="K182" s="39"/>
    </row>
    <row r="183" spans="1:25" ht="15" x14ac:dyDescent="0.25">
      <c r="G183" s="76">
        <f>H178+H179+H180+H181</f>
        <v>56.660000000000004</v>
      </c>
      <c r="H183" s="76"/>
      <c r="J183" s="76">
        <f>K178+K179+K180+K181</f>
        <v>1790.54</v>
      </c>
      <c r="K183" s="76"/>
      <c r="N183" s="28">
        <f>G183</f>
        <v>56.660000000000004</v>
      </c>
      <c r="O183" s="28">
        <f>J183</f>
        <v>1790.54</v>
      </c>
      <c r="P183" s="28" t="e">
        <f>#REF!</f>
        <v>#REF!</v>
      </c>
      <c r="V183">
        <f>IF(Source!BI49&lt;=1,H178+H179+H180+H181, 0)</f>
        <v>56.660000000000004</v>
      </c>
      <c r="W183">
        <f>IF(Source!BI49=2,H178+H179+H180+H181, 0)</f>
        <v>0</v>
      </c>
      <c r="X183">
        <f>IF(Source!BI49=3,H178+H179+H180+H181, 0)</f>
        <v>0</v>
      </c>
      <c r="Y183">
        <f>IF(Source!BI49=4,H178+H179+H180+H181, 0)</f>
        <v>0</v>
      </c>
    </row>
    <row r="184" spans="1:25" ht="65.25" x14ac:dyDescent="0.2">
      <c r="A184" s="20" t="str">
        <f>Source!E50</f>
        <v>19</v>
      </c>
      <c r="B184" s="43" t="s">
        <v>1397</v>
      </c>
      <c r="C184" s="43" t="str">
        <f>Source!G50</f>
        <v>Разборка асфальтового покрытия толщиной 50 мм с резкой - 9  м.п. (под площадку входа и тактильную плитку)</v>
      </c>
      <c r="D184" s="32" t="str">
        <f>Source!H50</f>
        <v>100 м3</v>
      </c>
      <c r="E184" s="10">
        <f>Source!I50</f>
        <v>2.0999999999999999E-3</v>
      </c>
      <c r="F184" s="33">
        <f>Source!AL50+Source!AM50+Source!AO50</f>
        <v>4978.7699999999995</v>
      </c>
      <c r="G184" s="34"/>
      <c r="H184" s="33"/>
      <c r="I184" s="34" t="str">
        <f>Source!BO50</f>
        <v>68-12-4</v>
      </c>
      <c r="J184" s="34"/>
      <c r="K184" s="33"/>
      <c r="R184">
        <f>ROUND((Source!FX50/100)*((ROUND(Source!AF50*Source!I50, 2)+ROUND(Source!AE50*Source!I50, 2))), 2)</f>
        <v>4.2300000000000004</v>
      </c>
      <c r="S184">
        <f>Source!X50</f>
        <v>142.51</v>
      </c>
      <c r="T184">
        <f>ROUND((Source!FY50/100)*((ROUND(Source!AF50*Source!I50, 2)+ROUND(Source!AE50*Source!I50, 2))), 2)</f>
        <v>2.44</v>
      </c>
      <c r="U184">
        <f>Source!Y50</f>
        <v>82.22</v>
      </c>
    </row>
    <row r="185" spans="1:25" x14ac:dyDescent="0.2">
      <c r="C185" s="27" t="str">
        <f>"Объем: "&amp;Source!I50&amp;"=0,21/"&amp;"100"</f>
        <v>Объем: 0,0021=0,21/100</v>
      </c>
    </row>
    <row r="186" spans="1:25" ht="14.25" x14ac:dyDescent="0.2">
      <c r="A186" s="20"/>
      <c r="B186" s="43"/>
      <c r="C186" s="43" t="s">
        <v>1372</v>
      </c>
      <c r="D186" s="32"/>
      <c r="E186" s="10"/>
      <c r="F186" s="33">
        <f>Source!AO50</f>
        <v>1288.05</v>
      </c>
      <c r="G186" s="34" t="str">
        <f>Source!DG50</f>
        <v>)*1,15</v>
      </c>
      <c r="H186" s="33">
        <f>ROUND(Source!AF50*Source!I50, 2)</f>
        <v>3.11</v>
      </c>
      <c r="I186" s="34"/>
      <c r="J186" s="34">
        <f>IF(Source!BA50&lt;&gt; 0, Source!BA50, 1)</f>
        <v>33.65</v>
      </c>
      <c r="K186" s="33">
        <f>Source!S50</f>
        <v>104.67</v>
      </c>
      <c r="Q186">
        <f>H186</f>
        <v>3.11</v>
      </c>
    </row>
    <row r="187" spans="1:25" ht="14.25" x14ac:dyDescent="0.2">
      <c r="A187" s="20"/>
      <c r="B187" s="43"/>
      <c r="C187" s="43" t="s">
        <v>646</v>
      </c>
      <c r="D187" s="32"/>
      <c r="E187" s="10"/>
      <c r="F187" s="33">
        <f>Source!AM50</f>
        <v>3690.72</v>
      </c>
      <c r="G187" s="34" t="str">
        <f>Source!DE50</f>
        <v>)*1,15</v>
      </c>
      <c r="H187" s="33">
        <f>ROUND(Source!AD50*Source!I50, 2)</f>
        <v>8.91</v>
      </c>
      <c r="I187" s="34"/>
      <c r="J187" s="34">
        <f>IF(Source!BB50&lt;&gt; 0, Source!BB50, 1)</f>
        <v>8.17</v>
      </c>
      <c r="K187" s="33">
        <f>Source!Q50</f>
        <v>72.819999999999993</v>
      </c>
    </row>
    <row r="188" spans="1:25" ht="14.25" x14ac:dyDescent="0.2">
      <c r="A188" s="20"/>
      <c r="B188" s="43"/>
      <c r="C188" s="43" t="s">
        <v>1373</v>
      </c>
      <c r="D188" s="32"/>
      <c r="E188" s="10"/>
      <c r="F188" s="33">
        <f>Source!AN50</f>
        <v>398.18</v>
      </c>
      <c r="G188" s="34" t="str">
        <f>Source!DF50</f>
        <v>)*1,15</v>
      </c>
      <c r="H188" s="35">
        <f>ROUND(Source!AE50*Source!I50, 2)</f>
        <v>0.96</v>
      </c>
      <c r="I188" s="34"/>
      <c r="J188" s="34">
        <f>IF(Source!BS50&lt;&gt; 0, Source!BS50, 1)</f>
        <v>33.65</v>
      </c>
      <c r="K188" s="35">
        <f>Source!R50</f>
        <v>32.36</v>
      </c>
      <c r="Q188">
        <f>H188</f>
        <v>0.96</v>
      </c>
    </row>
    <row r="189" spans="1:25" ht="14.25" x14ac:dyDescent="0.2">
      <c r="A189" s="20"/>
      <c r="B189" s="43"/>
      <c r="C189" s="43" t="s">
        <v>1374</v>
      </c>
      <c r="D189" s="32" t="s">
        <v>1375</v>
      </c>
      <c r="E189" s="10">
        <f>Source!BZ50</f>
        <v>104</v>
      </c>
      <c r="F189" s="46"/>
      <c r="G189" s="34"/>
      <c r="H189" s="33">
        <f>SUM(R184:R191)</f>
        <v>4.2300000000000004</v>
      </c>
      <c r="I189" s="36"/>
      <c r="J189" s="31">
        <f>Source!AT50</f>
        <v>104</v>
      </c>
      <c r="K189" s="33">
        <f>SUM(S184:S191)</f>
        <v>142.51</v>
      </c>
    </row>
    <row r="190" spans="1:25" ht="14.25" x14ac:dyDescent="0.2">
      <c r="A190" s="20"/>
      <c r="B190" s="43"/>
      <c r="C190" s="43" t="s">
        <v>1376</v>
      </c>
      <c r="D190" s="32" t="s">
        <v>1375</v>
      </c>
      <c r="E190" s="10">
        <f>Source!CA50</f>
        <v>60</v>
      </c>
      <c r="F190" s="46"/>
      <c r="G190" s="34"/>
      <c r="H190" s="33">
        <f>SUM(T184:T191)</f>
        <v>2.44</v>
      </c>
      <c r="I190" s="36"/>
      <c r="J190" s="31">
        <f>Source!AU50</f>
        <v>60</v>
      </c>
      <c r="K190" s="33">
        <f>SUM(U184:U191)</f>
        <v>82.22</v>
      </c>
    </row>
    <row r="191" spans="1:25" ht="14.25" x14ac:dyDescent="0.2">
      <c r="A191" s="44"/>
      <c r="B191" s="45"/>
      <c r="C191" s="45" t="s">
        <v>1377</v>
      </c>
      <c r="D191" s="37" t="s">
        <v>1378</v>
      </c>
      <c r="E191" s="38">
        <f>Source!AQ50</f>
        <v>155</v>
      </c>
      <c r="F191" s="39"/>
      <c r="G191" s="40" t="str">
        <f>Source!DI50</f>
        <v>)*1,15</v>
      </c>
      <c r="H191" s="39"/>
      <c r="I191" s="40"/>
      <c r="J191" s="40"/>
      <c r="K191" s="39"/>
    </row>
    <row r="192" spans="1:25" ht="15" x14ac:dyDescent="0.25">
      <c r="G192" s="76">
        <f>H186+H187+H189+H190</f>
        <v>18.690000000000001</v>
      </c>
      <c r="H192" s="76"/>
      <c r="J192" s="76">
        <f>K186+K187+K189+K190</f>
        <v>402.22</v>
      </c>
      <c r="K192" s="76"/>
      <c r="N192" s="28">
        <f>G192</f>
        <v>18.690000000000001</v>
      </c>
      <c r="O192" s="28">
        <f>J192</f>
        <v>402.22</v>
      </c>
      <c r="P192" s="28" t="e">
        <f>#REF!</f>
        <v>#REF!</v>
      </c>
      <c r="V192">
        <f>IF(Source!BI50&lt;=1,H186+H187+H189+H190, 0)</f>
        <v>18.690000000000001</v>
      </c>
      <c r="W192">
        <f>IF(Source!BI50=2,H186+H187+H189+H190, 0)</f>
        <v>0</v>
      </c>
      <c r="X192">
        <f>IF(Source!BI50=3,H186+H187+H189+H190, 0)</f>
        <v>0</v>
      </c>
      <c r="Y192">
        <f>IF(Source!BI50=4,H186+H187+H189+H190, 0)</f>
        <v>0</v>
      </c>
    </row>
    <row r="194" spans="1:25" ht="15" x14ac:dyDescent="0.25">
      <c r="B194" s="77" t="str">
        <f>Source!G51</f>
        <v>Общестроительные работы</v>
      </c>
      <c r="C194" s="77"/>
      <c r="D194" s="77"/>
      <c r="E194" s="77"/>
      <c r="F194" s="77"/>
      <c r="G194" s="77"/>
      <c r="H194" s="77"/>
      <c r="I194" s="77"/>
      <c r="J194" s="77"/>
      <c r="K194" s="77"/>
    </row>
    <row r="195" spans="1:25" ht="103.5" x14ac:dyDescent="0.2">
      <c r="A195" s="20" t="str">
        <f>Source!E52</f>
        <v>20</v>
      </c>
      <c r="B195" s="43" t="s">
        <v>1398</v>
      </c>
      <c r="C195" s="43" t="str">
        <f>Source!G52</f>
        <v>Разработка грунта вручную в траншеях глубиной до 2 м без креплений с откосами, группа грунтов: 2</v>
      </c>
      <c r="D195" s="32" t="str">
        <f>Source!H52</f>
        <v>100 м3</v>
      </c>
      <c r="E195" s="10">
        <f>Source!I52</f>
        <v>4.1999999999999997E-3</v>
      </c>
      <c r="F195" s="33">
        <f>Source!AL52+Source!AM52+Source!AO52</f>
        <v>1201.2</v>
      </c>
      <c r="G195" s="34"/>
      <c r="H195" s="33"/>
      <c r="I195" s="34" t="str">
        <f>Source!BO52</f>
        <v>01-02-057-02</v>
      </c>
      <c r="J195" s="34"/>
      <c r="K195" s="33"/>
      <c r="R195">
        <f>ROUND((Source!FX52/100)*((ROUND(Source!AF52*Source!I52, 2)+ROUND(Source!AE52*Source!I52, 2))), 2)</f>
        <v>5.64</v>
      </c>
      <c r="S195">
        <f>Source!X52</f>
        <v>189.76</v>
      </c>
      <c r="T195">
        <f>ROUND((Source!FY52/100)*((ROUND(Source!AF52*Source!I52, 2)+ROUND(Source!AE52*Source!I52, 2))), 2)</f>
        <v>2.99</v>
      </c>
      <c r="U195">
        <f>Source!Y52</f>
        <v>100.15</v>
      </c>
    </row>
    <row r="196" spans="1:25" x14ac:dyDescent="0.2">
      <c r="C196" s="27" t="str">
        <f>"Объем: "&amp;Source!I52&amp;"=0,42/"&amp;"100"</f>
        <v>Объем: 0,0042=0,42/100</v>
      </c>
    </row>
    <row r="197" spans="1:25" ht="14.25" x14ac:dyDescent="0.2">
      <c r="A197" s="20"/>
      <c r="B197" s="43"/>
      <c r="C197" s="43" t="s">
        <v>1372</v>
      </c>
      <c r="D197" s="32"/>
      <c r="E197" s="10"/>
      <c r="F197" s="33">
        <f>Source!AO52</f>
        <v>1201.2</v>
      </c>
      <c r="G197" s="34" t="str">
        <f>Source!DG52</f>
        <v>)*1,15)*1,35</v>
      </c>
      <c r="H197" s="33">
        <f>ROUND(Source!AF52*Source!I52, 2)</f>
        <v>7.83</v>
      </c>
      <c r="I197" s="34"/>
      <c r="J197" s="34">
        <f>IF(Source!BA52&lt;&gt; 0, Source!BA52, 1)</f>
        <v>33.65</v>
      </c>
      <c r="K197" s="33">
        <f>Source!S52</f>
        <v>263.56</v>
      </c>
      <c r="Q197">
        <f>H197</f>
        <v>7.83</v>
      </c>
    </row>
    <row r="198" spans="1:25" ht="14.25" x14ac:dyDescent="0.2">
      <c r="A198" s="20"/>
      <c r="B198" s="43"/>
      <c r="C198" s="43" t="s">
        <v>1374</v>
      </c>
      <c r="D198" s="32" t="s">
        <v>1375</v>
      </c>
      <c r="E198" s="10">
        <f>Source!BZ52</f>
        <v>80</v>
      </c>
      <c r="F198" s="64" t="str">
        <f>CONCATENATE(" )", Source!DL52, Source!FT52, "=", Source!FX52)</f>
        <v xml:space="preserve"> )*0,9=72</v>
      </c>
      <c r="G198" s="75"/>
      <c r="H198" s="33">
        <f>SUM(R195:R200)</f>
        <v>5.64</v>
      </c>
      <c r="I198" s="36"/>
      <c r="J198" s="31">
        <f>Source!AT52</f>
        <v>72</v>
      </c>
      <c r="K198" s="33">
        <f>SUM(S195:S200)</f>
        <v>189.76</v>
      </c>
    </row>
    <row r="199" spans="1:25" ht="14.25" x14ac:dyDescent="0.2">
      <c r="A199" s="20"/>
      <c r="B199" s="43"/>
      <c r="C199" s="43" t="s">
        <v>1376</v>
      </c>
      <c r="D199" s="32" t="s">
        <v>1375</v>
      </c>
      <c r="E199" s="10">
        <f>Source!CA52</f>
        <v>45</v>
      </c>
      <c r="F199" s="64" t="str">
        <f>CONCATENATE(" )", Source!DM52, Source!FU52, "=", Source!FY52)</f>
        <v xml:space="preserve"> )*0,85=38,25</v>
      </c>
      <c r="G199" s="75"/>
      <c r="H199" s="33">
        <f>SUM(T195:T200)</f>
        <v>2.99</v>
      </c>
      <c r="I199" s="36"/>
      <c r="J199" s="31">
        <f>Source!AU52</f>
        <v>38</v>
      </c>
      <c r="K199" s="33">
        <f>SUM(U195:U200)</f>
        <v>100.15</v>
      </c>
    </row>
    <row r="200" spans="1:25" ht="14.25" x14ac:dyDescent="0.2">
      <c r="A200" s="44"/>
      <c r="B200" s="45"/>
      <c r="C200" s="45" t="s">
        <v>1377</v>
      </c>
      <c r="D200" s="37" t="s">
        <v>1378</v>
      </c>
      <c r="E200" s="38">
        <f>Source!AQ52</f>
        <v>154</v>
      </c>
      <c r="F200" s="39"/>
      <c r="G200" s="40" t="str">
        <f>Source!DI52</f>
        <v>)*1,15)*1,35</v>
      </c>
      <c r="H200" s="39"/>
      <c r="I200" s="40"/>
      <c r="J200" s="40"/>
      <c r="K200" s="39"/>
    </row>
    <row r="201" spans="1:25" ht="15" x14ac:dyDescent="0.25">
      <c r="G201" s="76">
        <f>H197+H198+H199</f>
        <v>16.46</v>
      </c>
      <c r="H201" s="76"/>
      <c r="J201" s="76">
        <f>K197+K198+K199</f>
        <v>553.47</v>
      </c>
      <c r="K201" s="76"/>
      <c r="N201" s="28">
        <f>G201</f>
        <v>16.46</v>
      </c>
      <c r="O201" s="28">
        <f>J201</f>
        <v>553.47</v>
      </c>
      <c r="P201" s="28" t="e">
        <f>#REF!</f>
        <v>#REF!</v>
      </c>
      <c r="V201">
        <f>IF(Source!BI52&lt;=1,H197+H198+H199, 0)</f>
        <v>16.46</v>
      </c>
      <c r="W201">
        <f>IF(Source!BI52=2,H197+H198+H199, 0)</f>
        <v>0</v>
      </c>
      <c r="X201">
        <f>IF(Source!BI52=3,H197+H198+H199, 0)</f>
        <v>0</v>
      </c>
      <c r="Y201">
        <f>IF(Source!BI52=4,H197+H198+H199, 0)</f>
        <v>0</v>
      </c>
    </row>
    <row r="202" spans="1:25" ht="103.5" x14ac:dyDescent="0.2">
      <c r="A202" s="20" t="str">
        <f>Source!E53</f>
        <v>21</v>
      </c>
      <c r="B202" s="43" t="s">
        <v>1399</v>
      </c>
      <c r="C202" s="43" t="str">
        <f>Source!G53</f>
        <v>Устройство перегородок из гипсоволокнистых листов (ГВЛв) с одинарным металлическим каркасом и двухслойной обшивкой с обеих сторон</v>
      </c>
      <c r="D202" s="32" t="str">
        <f>Source!H53</f>
        <v>100 м2</v>
      </c>
      <c r="E202" s="10">
        <f>Source!I53</f>
        <v>0.21</v>
      </c>
      <c r="F202" s="33">
        <f>Source!AL53+Source!AM53+Source!AO53</f>
        <v>14732.52</v>
      </c>
      <c r="G202" s="34"/>
      <c r="H202" s="33"/>
      <c r="I202" s="34" t="str">
        <f>Source!BO53</f>
        <v>10-06-032-01</v>
      </c>
      <c r="J202" s="34"/>
      <c r="K202" s="33"/>
      <c r="R202">
        <f>ROUND((Source!FX53/100)*((ROUND(Source!AF53*Source!I53, 2)+ROUND(Source!AE53*Source!I53, 2))), 2)</f>
        <v>458.74</v>
      </c>
      <c r="S202">
        <f>Source!X53</f>
        <v>15407.71</v>
      </c>
      <c r="T202">
        <f>ROUND((Source!FY53/100)*((ROUND(Source!AF53*Source!I53, 2)+ROUND(Source!AE53*Source!I53, 2))), 2)</f>
        <v>231.31</v>
      </c>
      <c r="U202">
        <f>Source!Y53</f>
        <v>7849.21</v>
      </c>
    </row>
    <row r="203" spans="1:25" x14ac:dyDescent="0.2">
      <c r="C203" s="27" t="str">
        <f>"Объем: "&amp;Source!I53&amp;"=21/"&amp;"100"</f>
        <v>Объем: 0,21=21/100</v>
      </c>
    </row>
    <row r="204" spans="1:25" ht="14.25" x14ac:dyDescent="0.2">
      <c r="A204" s="20"/>
      <c r="B204" s="43"/>
      <c r="C204" s="43" t="s">
        <v>1372</v>
      </c>
      <c r="D204" s="32"/>
      <c r="E204" s="10"/>
      <c r="F204" s="33">
        <f>Source!AO53</f>
        <v>1306.08</v>
      </c>
      <c r="G204" s="34" t="str">
        <f>Source!DG53</f>
        <v>)*1,15)*1,35</v>
      </c>
      <c r="H204" s="33">
        <f>ROUND(Source!AF53*Source!I53, 2)</f>
        <v>425.81</v>
      </c>
      <c r="I204" s="34"/>
      <c r="J204" s="34">
        <f>IF(Source!BA53&lt;&gt; 0, Source!BA53, 1)</f>
        <v>33.65</v>
      </c>
      <c r="K204" s="33">
        <f>Source!S53</f>
        <v>14328.67</v>
      </c>
      <c r="Q204">
        <f>H204</f>
        <v>425.81</v>
      </c>
    </row>
    <row r="205" spans="1:25" ht="14.25" x14ac:dyDescent="0.2">
      <c r="A205" s="20"/>
      <c r="B205" s="43"/>
      <c r="C205" s="43" t="s">
        <v>646</v>
      </c>
      <c r="D205" s="32"/>
      <c r="E205" s="10"/>
      <c r="F205" s="33">
        <f>Source!AM53</f>
        <v>138.62</v>
      </c>
      <c r="G205" s="34" t="str">
        <f>Source!DE53</f>
        <v>)*1,25)*1,35</v>
      </c>
      <c r="H205" s="33">
        <f>ROUND(Source!AD53*Source!I53, 2)</f>
        <v>49.12</v>
      </c>
      <c r="I205" s="34"/>
      <c r="J205" s="34">
        <f>IF(Source!BB53&lt;&gt; 0, Source!BB53, 1)</f>
        <v>9.56</v>
      </c>
      <c r="K205" s="33">
        <f>Source!Q53</f>
        <v>469.62</v>
      </c>
    </row>
    <row r="206" spans="1:25" ht="14.25" x14ac:dyDescent="0.2">
      <c r="A206" s="20"/>
      <c r="B206" s="43"/>
      <c r="C206" s="43" t="s">
        <v>1373</v>
      </c>
      <c r="D206" s="32"/>
      <c r="E206" s="10"/>
      <c r="F206" s="33">
        <f>Source!AN53</f>
        <v>17.350000000000001</v>
      </c>
      <c r="G206" s="34" t="str">
        <f>Source!DF53</f>
        <v>)*1,25)*1,35</v>
      </c>
      <c r="H206" s="35">
        <f>ROUND(Source!AE53*Source!I53, 2)</f>
        <v>6.15</v>
      </c>
      <c r="I206" s="34"/>
      <c r="J206" s="34">
        <f>IF(Source!BS53&lt;&gt; 0, Source!BS53, 1)</f>
        <v>33.65</v>
      </c>
      <c r="K206" s="35">
        <f>Source!R53</f>
        <v>206.91</v>
      </c>
      <c r="Q206">
        <f>H206</f>
        <v>6.15</v>
      </c>
    </row>
    <row r="207" spans="1:25" ht="14.25" x14ac:dyDescent="0.2">
      <c r="A207" s="20"/>
      <c r="B207" s="43"/>
      <c r="C207" s="43" t="s">
        <v>1400</v>
      </c>
      <c r="D207" s="32"/>
      <c r="E207" s="10"/>
      <c r="F207" s="33">
        <f>Source!AL53</f>
        <v>13287.82</v>
      </c>
      <c r="G207" s="34" t="str">
        <f>Source!DD53</f>
        <v/>
      </c>
      <c r="H207" s="33">
        <f>ROUND(Source!AC53*Source!I53, 2)</f>
        <v>2790.44</v>
      </c>
      <c r="I207" s="34"/>
      <c r="J207" s="34">
        <f>IF(Source!BC53&lt;&gt; 0, Source!BC53, 1)</f>
        <v>7.23</v>
      </c>
      <c r="K207" s="33">
        <f>Source!P53</f>
        <v>20174.900000000001</v>
      </c>
    </row>
    <row r="208" spans="1:25" ht="14.25" x14ac:dyDescent="0.2">
      <c r="A208" s="20"/>
      <c r="B208" s="43"/>
      <c r="C208" s="43" t="s">
        <v>1374</v>
      </c>
      <c r="D208" s="32" t="s">
        <v>1375</v>
      </c>
      <c r="E208" s="10">
        <f>Source!BZ53</f>
        <v>118</v>
      </c>
      <c r="F208" s="64" t="str">
        <f>CONCATENATE(" )", Source!DL53, Source!FT53, "=", Source!FX53)</f>
        <v xml:space="preserve"> )*0,9=106,2</v>
      </c>
      <c r="G208" s="75"/>
      <c r="H208" s="33">
        <f>SUM(R202:R211)</f>
        <v>458.74</v>
      </c>
      <c r="I208" s="36"/>
      <c r="J208" s="31">
        <f>Source!AT53</f>
        <v>106</v>
      </c>
      <c r="K208" s="33">
        <f>SUM(S202:S211)</f>
        <v>15407.71</v>
      </c>
    </row>
    <row r="209" spans="1:25" ht="14.25" x14ac:dyDescent="0.2">
      <c r="A209" s="20"/>
      <c r="B209" s="43"/>
      <c r="C209" s="43" t="s">
        <v>1376</v>
      </c>
      <c r="D209" s="32" t="s">
        <v>1375</v>
      </c>
      <c r="E209" s="10">
        <f>Source!CA53</f>
        <v>63</v>
      </c>
      <c r="F209" s="64" t="str">
        <f>CONCATENATE(" )", Source!DM53, Source!FU53, "=", Source!FY53)</f>
        <v xml:space="preserve"> )*0,85=53,55</v>
      </c>
      <c r="G209" s="75"/>
      <c r="H209" s="33">
        <f>SUM(T202:T211)</f>
        <v>231.31</v>
      </c>
      <c r="I209" s="36"/>
      <c r="J209" s="31">
        <f>Source!AU53</f>
        <v>54</v>
      </c>
      <c r="K209" s="33">
        <f>SUM(U202:U211)</f>
        <v>7849.21</v>
      </c>
    </row>
    <row r="210" spans="1:25" ht="14.25" x14ac:dyDescent="0.2">
      <c r="A210" s="20"/>
      <c r="B210" s="43"/>
      <c r="C210" s="43" t="s">
        <v>1377</v>
      </c>
      <c r="D210" s="32" t="s">
        <v>1378</v>
      </c>
      <c r="E210" s="10">
        <f>Source!AQ53</f>
        <v>144</v>
      </c>
      <c r="F210" s="33"/>
      <c r="G210" s="34" t="str">
        <f>Source!DI53</f>
        <v>)*1,15)*1,35</v>
      </c>
      <c r="H210" s="33"/>
      <c r="I210" s="34"/>
      <c r="J210" s="34"/>
      <c r="K210" s="33"/>
    </row>
    <row r="211" spans="1:25" ht="42.75" x14ac:dyDescent="0.2">
      <c r="A211" s="44"/>
      <c r="B211" s="45" t="str">
        <f>Source!F54</f>
        <v>12.2.05.05-0009</v>
      </c>
      <c r="C211" s="45" t="str">
        <f>Source!G54</f>
        <v>Плиты теплоизоляционные минераловатные на синтетическом связующем, толщиной 60 мм</v>
      </c>
      <c r="D211" s="37" t="str">
        <f>Source!H54</f>
        <v>м3</v>
      </c>
      <c r="E211" s="38">
        <f>Source!I54</f>
        <v>1.26</v>
      </c>
      <c r="F211" s="39">
        <f>Source!AL54+Source!AM54+Source!AO54</f>
        <v>359.64</v>
      </c>
      <c r="G211" s="41" t="s">
        <v>1385</v>
      </c>
      <c r="H211" s="39">
        <f>ROUND(Source!AC54*Source!I54, 2)+ROUND(Source!AD54*Source!I54, 2)+ROUND(Source!AF54*Source!I54, 2)</f>
        <v>453.15</v>
      </c>
      <c r="I211" s="40"/>
      <c r="J211" s="40">
        <f>IF(Source!BC54&lt;&gt; 0, Source!BC54, 1)</f>
        <v>7.98</v>
      </c>
      <c r="K211" s="39">
        <f>Source!O54</f>
        <v>3616.11</v>
      </c>
      <c r="R211">
        <f>ROUND((Source!FX54/100)*((ROUND(Source!AF54*Source!I54, 2)+ROUND(Source!AE54*Source!I54, 2))), 2)</f>
        <v>0</v>
      </c>
      <c r="S211">
        <f>Source!X54</f>
        <v>0</v>
      </c>
      <c r="T211">
        <f>ROUND((Source!FY54/100)*((ROUND(Source!AF54*Source!I54, 2)+ROUND(Source!AE54*Source!I54, 2))), 2)</f>
        <v>0</v>
      </c>
      <c r="U211">
        <f>Source!Y54</f>
        <v>0</v>
      </c>
      <c r="V211">
        <f>IF(Source!BI54&lt;=1,H211, 0)</f>
        <v>453.15</v>
      </c>
      <c r="W211">
        <f>IF(Source!BI54=2,H211, 0)</f>
        <v>0</v>
      </c>
      <c r="X211">
        <f>IF(Source!BI54=3,H211, 0)</f>
        <v>0</v>
      </c>
      <c r="Y211">
        <f>IF(Source!BI54=4,H211, 0)</f>
        <v>0</v>
      </c>
    </row>
    <row r="212" spans="1:25" ht="15" x14ac:dyDescent="0.25">
      <c r="G212" s="76">
        <f>H204+H205+H207+H208+H209+SUM(H211:H211)</f>
        <v>4408.57</v>
      </c>
      <c r="H212" s="76"/>
      <c r="J212" s="76">
        <f>K204+K205+K207+K208+K209+SUM(K211:K211)</f>
        <v>61846.22</v>
      </c>
      <c r="K212" s="76"/>
      <c r="N212" s="28">
        <f>G212</f>
        <v>4408.57</v>
      </c>
      <c r="O212" s="28">
        <f>J212</f>
        <v>61846.22</v>
      </c>
      <c r="P212" s="28" t="e">
        <f>#REF!</f>
        <v>#REF!</v>
      </c>
      <c r="V212">
        <f>IF(Source!BI53&lt;=1,H204+H205+H207+H208+H209, 0)</f>
        <v>3955.4199999999996</v>
      </c>
      <c r="W212">
        <f>IF(Source!BI53=2,H204+H205+H207+H208+H209, 0)</f>
        <v>0</v>
      </c>
      <c r="X212">
        <f>IF(Source!BI53=3,H204+H205+H207+H208+H209, 0)</f>
        <v>0</v>
      </c>
      <c r="Y212">
        <f>IF(Source!BI53=4,H204+H205+H207+H208+H209, 0)</f>
        <v>0</v>
      </c>
    </row>
    <row r="213" spans="1:25" ht="103.5" x14ac:dyDescent="0.2">
      <c r="A213" s="20" t="str">
        <f>Source!E55</f>
        <v>22</v>
      </c>
      <c r="B213" s="43" t="s">
        <v>1401</v>
      </c>
      <c r="C213" s="43" t="str">
        <f>Source!G55</f>
        <v>Сплошное выравнивание внутренних поверхностей (однослойное оштукатуривание) из сухих растворных смесей толщиной до 10 мм: стен</v>
      </c>
      <c r="D213" s="32" t="str">
        <f>Source!H55</f>
        <v>100 м2</v>
      </c>
      <c r="E213" s="10">
        <f>Source!I55</f>
        <v>0.42</v>
      </c>
      <c r="F213" s="33">
        <f>Source!AL55+Source!AM55+Source!AO55</f>
        <v>295.40999999999997</v>
      </c>
      <c r="G213" s="34"/>
      <c r="H213" s="33"/>
      <c r="I213" s="34" t="str">
        <f>Source!BO55</f>
        <v>15-02-019-03</v>
      </c>
      <c r="J213" s="34"/>
      <c r="K213" s="33"/>
      <c r="R213">
        <f>ROUND((Source!FX55/100)*((ROUND(Source!AF55*Source!I55, 2)+ROUND(Source!AE55*Source!I55, 2))), 2)</f>
        <v>177.52</v>
      </c>
      <c r="S213">
        <f>Source!X55</f>
        <v>6005.2</v>
      </c>
      <c r="T213">
        <f>ROUND((Source!FY55/100)*((ROUND(Source!AF55*Source!I55, 2)+ROUND(Source!AE55*Source!I55, 2))), 2)</f>
        <v>87.82</v>
      </c>
      <c r="U213">
        <f>Source!Y55</f>
        <v>2970.99</v>
      </c>
    </row>
    <row r="214" spans="1:25" x14ac:dyDescent="0.2">
      <c r="C214" s="27" t="str">
        <f>"Объем: "&amp;Source!I55&amp;"=42/"&amp;"100"</f>
        <v>Объем: 0,42=42/100</v>
      </c>
    </row>
    <row r="215" spans="1:25" ht="14.25" x14ac:dyDescent="0.2">
      <c r="A215" s="20"/>
      <c r="B215" s="43"/>
      <c r="C215" s="43" t="s">
        <v>1372</v>
      </c>
      <c r="D215" s="32"/>
      <c r="E215" s="10"/>
      <c r="F215" s="33">
        <f>Source!AO55</f>
        <v>277.14</v>
      </c>
      <c r="G215" s="34" t="str">
        <f>Source!DG55</f>
        <v>)*1,15)*1,35</v>
      </c>
      <c r="H215" s="33">
        <f>ROUND(Source!AF55*Source!I55, 2)</f>
        <v>180.71</v>
      </c>
      <c r="I215" s="34"/>
      <c r="J215" s="34">
        <f>IF(Source!BA55&lt;&gt; 0, Source!BA55, 1)</f>
        <v>33.65</v>
      </c>
      <c r="K215" s="33">
        <f>Source!S55</f>
        <v>6080.86</v>
      </c>
      <c r="Q215">
        <f>H215</f>
        <v>180.71</v>
      </c>
    </row>
    <row r="216" spans="1:25" ht="14.25" x14ac:dyDescent="0.2">
      <c r="A216" s="20"/>
      <c r="B216" s="43"/>
      <c r="C216" s="43" t="s">
        <v>646</v>
      </c>
      <c r="D216" s="32"/>
      <c r="E216" s="10"/>
      <c r="F216" s="33">
        <f>Source!AM55</f>
        <v>17.03</v>
      </c>
      <c r="G216" s="34" t="str">
        <f>Source!DE55</f>
        <v>)*1,25)*1,35</v>
      </c>
      <c r="H216" s="33">
        <f>ROUND(Source!AD55*Source!I55, 2)</f>
        <v>12.07</v>
      </c>
      <c r="I216" s="34"/>
      <c r="J216" s="34">
        <f>IF(Source!BB55&lt;&gt; 0, Source!BB55, 1)</f>
        <v>21.37</v>
      </c>
      <c r="K216" s="33">
        <f>Source!Q55</f>
        <v>257.95</v>
      </c>
    </row>
    <row r="217" spans="1:25" ht="14.25" x14ac:dyDescent="0.2">
      <c r="A217" s="20"/>
      <c r="B217" s="43"/>
      <c r="C217" s="43" t="s">
        <v>1373</v>
      </c>
      <c r="D217" s="32"/>
      <c r="E217" s="10"/>
      <c r="F217" s="33">
        <f>Source!AN55</f>
        <v>10.08</v>
      </c>
      <c r="G217" s="34" t="str">
        <f>Source!DF55</f>
        <v>)*1,25)*1,35</v>
      </c>
      <c r="H217" s="35">
        <f>ROUND(Source!AE55*Source!I55, 2)</f>
        <v>7.14</v>
      </c>
      <c r="I217" s="34"/>
      <c r="J217" s="34">
        <f>IF(Source!BS55&lt;&gt; 0, Source!BS55, 1)</f>
        <v>33.65</v>
      </c>
      <c r="K217" s="35">
        <f>Source!R55</f>
        <v>240.4</v>
      </c>
      <c r="Q217">
        <f>H217</f>
        <v>7.14</v>
      </c>
    </row>
    <row r="218" spans="1:25" ht="14.25" x14ac:dyDescent="0.2">
      <c r="A218" s="20"/>
      <c r="B218" s="43"/>
      <c r="C218" s="43" t="s">
        <v>1400</v>
      </c>
      <c r="D218" s="32"/>
      <c r="E218" s="10"/>
      <c r="F218" s="33">
        <f>Source!AL55</f>
        <v>1.24</v>
      </c>
      <c r="G218" s="34" t="str">
        <f>Source!DD55</f>
        <v/>
      </c>
      <c r="H218" s="33">
        <f>ROUND(Source!AC55*Source!I55, 2)</f>
        <v>0.52</v>
      </c>
      <c r="I218" s="34"/>
      <c r="J218" s="34">
        <f>IF(Source!BC55&lt;&gt; 0, Source!BC55, 1)</f>
        <v>12.78</v>
      </c>
      <c r="K218" s="33">
        <f>Source!P55</f>
        <v>6.66</v>
      </c>
    </row>
    <row r="219" spans="1:25" ht="14.25" x14ac:dyDescent="0.2">
      <c r="A219" s="20"/>
      <c r="B219" s="43"/>
      <c r="C219" s="43" t="s">
        <v>1374</v>
      </c>
      <c r="D219" s="32" t="s">
        <v>1375</v>
      </c>
      <c r="E219" s="10">
        <f>Source!BZ55</f>
        <v>105</v>
      </c>
      <c r="F219" s="64" t="str">
        <f>CONCATENATE(" )", Source!DL55, Source!FT55, "=", Source!FX55)</f>
        <v xml:space="preserve"> )*0,9=94,5</v>
      </c>
      <c r="G219" s="75"/>
      <c r="H219" s="33">
        <f>SUM(R213:R223)</f>
        <v>177.52</v>
      </c>
      <c r="I219" s="36"/>
      <c r="J219" s="31">
        <f>Source!AT55</f>
        <v>95</v>
      </c>
      <c r="K219" s="33">
        <f>SUM(S213:S223)</f>
        <v>6005.2</v>
      </c>
    </row>
    <row r="220" spans="1:25" ht="14.25" x14ac:dyDescent="0.2">
      <c r="A220" s="20"/>
      <c r="B220" s="43"/>
      <c r="C220" s="43" t="s">
        <v>1376</v>
      </c>
      <c r="D220" s="32" t="s">
        <v>1375</v>
      </c>
      <c r="E220" s="10">
        <f>Source!CA55</f>
        <v>55</v>
      </c>
      <c r="F220" s="64" t="str">
        <f>CONCATENATE(" )", Source!DM55, Source!FU55, "=", Source!FY55)</f>
        <v xml:space="preserve"> )*0,85=46,75</v>
      </c>
      <c r="G220" s="75"/>
      <c r="H220" s="33">
        <f>SUM(T213:T223)</f>
        <v>87.82</v>
      </c>
      <c r="I220" s="36"/>
      <c r="J220" s="31">
        <f>Source!AU55</f>
        <v>47</v>
      </c>
      <c r="K220" s="33">
        <f>SUM(U213:U223)</f>
        <v>2970.99</v>
      </c>
    </row>
    <row r="221" spans="1:25" ht="14.25" x14ac:dyDescent="0.2">
      <c r="A221" s="20"/>
      <c r="B221" s="43"/>
      <c r="C221" s="43" t="s">
        <v>1377</v>
      </c>
      <c r="D221" s="32" t="s">
        <v>1378</v>
      </c>
      <c r="E221" s="10">
        <f>Source!AQ55</f>
        <v>32.49</v>
      </c>
      <c r="F221" s="33"/>
      <c r="G221" s="34" t="str">
        <f>Source!DI55</f>
        <v>)*1,15)*1,35</v>
      </c>
      <c r="H221" s="33"/>
      <c r="I221" s="34"/>
      <c r="J221" s="34"/>
      <c r="K221" s="33"/>
    </row>
    <row r="222" spans="1:25" ht="42.75" x14ac:dyDescent="0.2">
      <c r="A222" s="20"/>
      <c r="B222" s="43" t="str">
        <f>Source!F56</f>
        <v>04.3.02.09-1015</v>
      </c>
      <c r="C222" s="43" t="str">
        <f>Source!G56</f>
        <v>Смеси сухие штукатурно-клеевые на цементной основе для наружных и внутренних работ, фракции 1,5 м</v>
      </c>
      <c r="D222" s="32" t="str">
        <f>Source!H56</f>
        <v>кг</v>
      </c>
      <c r="E222" s="10">
        <f>Source!I56</f>
        <v>357</v>
      </c>
      <c r="F222" s="33">
        <f>Source!AL56+Source!AM56+Source!AO56</f>
        <v>2.64</v>
      </c>
      <c r="G222" s="42" t="s">
        <v>1385</v>
      </c>
      <c r="H222" s="33">
        <f>ROUND(Source!AC56*Source!I56, 2)+ROUND(Source!AD56*Source!I56, 2)+ROUND(Source!AF56*Source!I56, 2)</f>
        <v>942.48</v>
      </c>
      <c r="I222" s="34"/>
      <c r="J222" s="34">
        <f>IF(Source!BC56&lt;&gt; 0, Source!BC56, 1)</f>
        <v>7.32</v>
      </c>
      <c r="K222" s="33">
        <f>Source!O56</f>
        <v>6898.95</v>
      </c>
      <c r="R222">
        <f>ROUND((Source!FX56/100)*((ROUND(Source!AF56*Source!I56, 2)+ROUND(Source!AE56*Source!I56, 2))), 2)</f>
        <v>0</v>
      </c>
      <c r="S222">
        <f>Source!X56</f>
        <v>0</v>
      </c>
      <c r="T222">
        <f>ROUND((Source!FY56/100)*((ROUND(Source!AF56*Source!I56, 2)+ROUND(Source!AE56*Source!I56, 2))), 2)</f>
        <v>0</v>
      </c>
      <c r="U222">
        <f>Source!Y56</f>
        <v>0</v>
      </c>
      <c r="V222">
        <f>IF(Source!BI56&lt;=1,H222, 0)</f>
        <v>942.48</v>
      </c>
      <c r="W222">
        <f>IF(Source!BI56=2,H222, 0)</f>
        <v>0</v>
      </c>
      <c r="X222">
        <f>IF(Source!BI56=3,H222, 0)</f>
        <v>0</v>
      </c>
      <c r="Y222">
        <f>IF(Source!BI56=4,H222, 0)</f>
        <v>0</v>
      </c>
    </row>
    <row r="223" spans="1:25" ht="171" x14ac:dyDescent="0.2">
      <c r="A223" s="44"/>
      <c r="B223" s="45" t="str">
        <f>Source!F57</f>
        <v>14.4.01.02-0011</v>
      </c>
      <c r="C223" s="45" t="str">
        <f>Source!G57</f>
        <v>Грунтовка укрепляющая, глубокого проникновения для внутренних и наружних работ. Время высыхания при t 20 влажности 65% (ч) : 3-5; Плотность:1300-1450; Температура применения:+5°С +30°С; Норма расхода (мл/м2):100-150; Тип грунтовки: дисперсия акриловых сополимеров; Серия: Грунт укрепляющий; Морозостойкость (циклов): не менее 5; Связующее вещество: Акриловый сополимер</v>
      </c>
      <c r="D223" s="37" t="str">
        <f>Source!H57</f>
        <v>л</v>
      </c>
      <c r="E223" s="38">
        <f>Source!I57</f>
        <v>8.4</v>
      </c>
      <c r="F223" s="39">
        <f>Source!AL57+Source!AM57+Source!AO57</f>
        <v>43.58</v>
      </c>
      <c r="G223" s="41" t="s">
        <v>1385</v>
      </c>
      <c r="H223" s="39">
        <f>ROUND(Source!AC57*Source!I57, 2)+ROUND(Source!AD57*Source!I57, 2)+ROUND(Source!AF57*Source!I57, 2)</f>
        <v>366.07</v>
      </c>
      <c r="I223" s="40"/>
      <c r="J223" s="40">
        <f>IF(Source!BC57&lt;&gt; 0, Source!BC57, 1)</f>
        <v>3.74</v>
      </c>
      <c r="K223" s="39">
        <f>Source!O57</f>
        <v>1369.11</v>
      </c>
      <c r="R223">
        <f>ROUND((Source!FX57/100)*((ROUND(Source!AF57*Source!I57, 2)+ROUND(Source!AE57*Source!I57, 2))), 2)</f>
        <v>0</v>
      </c>
      <c r="S223">
        <f>Source!X57</f>
        <v>0</v>
      </c>
      <c r="T223">
        <f>ROUND((Source!FY57/100)*((ROUND(Source!AF57*Source!I57, 2)+ROUND(Source!AE57*Source!I57, 2))), 2)</f>
        <v>0</v>
      </c>
      <c r="U223">
        <f>Source!Y57</f>
        <v>0</v>
      </c>
      <c r="V223">
        <f>IF(Source!BI57&lt;=1,H223, 0)</f>
        <v>366.07</v>
      </c>
      <c r="W223">
        <f>IF(Source!BI57=2,H223, 0)</f>
        <v>0</v>
      </c>
      <c r="X223">
        <f>IF(Source!BI57=3,H223, 0)</f>
        <v>0</v>
      </c>
      <c r="Y223">
        <f>IF(Source!BI57=4,H223, 0)</f>
        <v>0</v>
      </c>
    </row>
    <row r="224" spans="1:25" ht="15" x14ac:dyDescent="0.25">
      <c r="G224" s="76">
        <f>H215+H216+H218+H219+H220+SUM(H222:H223)</f>
        <v>1767.19</v>
      </c>
      <c r="H224" s="76"/>
      <c r="J224" s="76">
        <f>K215+K216+K218+K219+K220+SUM(K222:K223)</f>
        <v>23589.719999999998</v>
      </c>
      <c r="K224" s="76"/>
      <c r="N224" s="28">
        <f>G224</f>
        <v>1767.19</v>
      </c>
      <c r="O224" s="28">
        <f>J224</f>
        <v>23589.719999999998</v>
      </c>
      <c r="P224" s="28" t="e">
        <f>#REF!</f>
        <v>#REF!</v>
      </c>
      <c r="V224">
        <f>IF(Source!BI55&lt;=1,H215+H216+H218+H219+H220, 0)</f>
        <v>458.64000000000004</v>
      </c>
      <c r="W224">
        <f>IF(Source!BI55=2,H215+H216+H218+H219+H220, 0)</f>
        <v>0</v>
      </c>
      <c r="X224">
        <f>IF(Source!BI55=3,H215+H216+H218+H219+H220, 0)</f>
        <v>0</v>
      </c>
      <c r="Y224">
        <f>IF(Source!BI55=4,H215+H216+H218+H219+H220, 0)</f>
        <v>0</v>
      </c>
    </row>
    <row r="225" spans="1:25" ht="103.5" x14ac:dyDescent="0.2">
      <c r="A225" s="20" t="str">
        <f>Source!E58</f>
        <v>23</v>
      </c>
      <c r="B225" s="43" t="s">
        <v>1402</v>
      </c>
      <c r="C225" s="43" t="str">
        <f>Source!G58</f>
        <v>Окраска водно-дисперсионными акриловыми составами улучшенная: по сборным конструкциям стен, подготовленным под окраску</v>
      </c>
      <c r="D225" s="32" t="str">
        <f>Source!H58</f>
        <v>100 м2</v>
      </c>
      <c r="E225" s="10">
        <f>Source!I58</f>
        <v>0.42</v>
      </c>
      <c r="F225" s="33">
        <f>Source!AL58+Source!AM58+Source!AO58</f>
        <v>415.14</v>
      </c>
      <c r="G225" s="34"/>
      <c r="H225" s="33"/>
      <c r="I225" s="34" t="str">
        <f>Source!BO58</f>
        <v>15-04-007-03</v>
      </c>
      <c r="J225" s="34"/>
      <c r="K225" s="33"/>
      <c r="R225">
        <f>ROUND((Source!FX58/100)*((ROUND(Source!AF58*Source!I58, 2)+ROUND(Source!AE58*Source!I58, 2))), 2)</f>
        <v>179.55</v>
      </c>
      <c r="S225">
        <f>Source!X58</f>
        <v>6073.68</v>
      </c>
      <c r="T225">
        <f>ROUND((Source!FY58/100)*((ROUND(Source!AF58*Source!I58, 2)+ROUND(Source!AE58*Source!I58, 2))), 2)</f>
        <v>88.83</v>
      </c>
      <c r="U225">
        <f>Source!Y58</f>
        <v>3004.87</v>
      </c>
    </row>
    <row r="226" spans="1:25" x14ac:dyDescent="0.2">
      <c r="C226" s="27" t="str">
        <f>"Объем: "&amp;Source!I58&amp;"=42/"&amp;"100"</f>
        <v>Объем: 0,42=42/100</v>
      </c>
    </row>
    <row r="227" spans="1:25" ht="14.25" x14ac:dyDescent="0.2">
      <c r="A227" s="20"/>
      <c r="B227" s="43"/>
      <c r="C227" s="43" t="s">
        <v>1372</v>
      </c>
      <c r="D227" s="32"/>
      <c r="E227" s="10"/>
      <c r="F227" s="33">
        <f>Source!AO58</f>
        <v>289.99</v>
      </c>
      <c r="G227" s="34" t="str">
        <f>Source!DG58</f>
        <v>)*1,15)*1,35</v>
      </c>
      <c r="H227" s="33">
        <f>ROUND(Source!AF58*Source!I58, 2)</f>
        <v>189.09</v>
      </c>
      <c r="I227" s="34"/>
      <c r="J227" s="34">
        <f>IF(Source!BA58&lt;&gt; 0, Source!BA58, 1)</f>
        <v>33.65</v>
      </c>
      <c r="K227" s="33">
        <f>Source!S58</f>
        <v>6362.82</v>
      </c>
      <c r="Q227">
        <f>H227</f>
        <v>189.09</v>
      </c>
    </row>
    <row r="228" spans="1:25" ht="14.25" x14ac:dyDescent="0.2">
      <c r="A228" s="20"/>
      <c r="B228" s="43"/>
      <c r="C228" s="43" t="s">
        <v>646</v>
      </c>
      <c r="D228" s="32"/>
      <c r="E228" s="10"/>
      <c r="F228" s="33">
        <f>Source!AM58</f>
        <v>6.85</v>
      </c>
      <c r="G228" s="34" t="str">
        <f>Source!DE58</f>
        <v>)*1,25)*1,35</v>
      </c>
      <c r="H228" s="33">
        <f>ROUND(Source!AD58*Source!I58, 2)</f>
        <v>4.8600000000000003</v>
      </c>
      <c r="I228" s="34"/>
      <c r="J228" s="34">
        <f>IF(Source!BB58&lt;&gt; 0, Source!BB58, 1)</f>
        <v>11.91</v>
      </c>
      <c r="K228" s="33">
        <f>Source!Q58</f>
        <v>57.83</v>
      </c>
    </row>
    <row r="229" spans="1:25" ht="14.25" x14ac:dyDescent="0.2">
      <c r="A229" s="20"/>
      <c r="B229" s="43"/>
      <c r="C229" s="43" t="s">
        <v>1373</v>
      </c>
      <c r="D229" s="32"/>
      <c r="E229" s="10"/>
      <c r="F229" s="33">
        <f>Source!AN58</f>
        <v>1.28</v>
      </c>
      <c r="G229" s="34" t="str">
        <f>Source!DF58</f>
        <v>)*1,25)*1,35</v>
      </c>
      <c r="H229" s="35">
        <f>ROUND(Source!AE58*Source!I58, 2)</f>
        <v>0.91</v>
      </c>
      <c r="I229" s="34"/>
      <c r="J229" s="34">
        <f>IF(Source!BS58&lt;&gt; 0, Source!BS58, 1)</f>
        <v>33.65</v>
      </c>
      <c r="K229" s="35">
        <f>Source!R58</f>
        <v>30.53</v>
      </c>
      <c r="Q229">
        <f>H229</f>
        <v>0.91</v>
      </c>
    </row>
    <row r="230" spans="1:25" ht="14.25" x14ac:dyDescent="0.2">
      <c r="A230" s="20"/>
      <c r="B230" s="43"/>
      <c r="C230" s="43" t="s">
        <v>1400</v>
      </c>
      <c r="D230" s="32"/>
      <c r="E230" s="10"/>
      <c r="F230" s="33">
        <f>Source!AL58</f>
        <v>118.3</v>
      </c>
      <c r="G230" s="34" t="str">
        <f>Source!DD58</f>
        <v/>
      </c>
      <c r="H230" s="33">
        <f>ROUND(Source!AC58*Source!I58, 2)</f>
        <v>49.69</v>
      </c>
      <c r="I230" s="34"/>
      <c r="J230" s="34">
        <f>IF(Source!BC58&lt;&gt; 0, Source!BC58, 1)</f>
        <v>4.28</v>
      </c>
      <c r="K230" s="33">
        <f>Source!P58</f>
        <v>212.66</v>
      </c>
    </row>
    <row r="231" spans="1:25" ht="14.25" x14ac:dyDescent="0.2">
      <c r="A231" s="20"/>
      <c r="B231" s="43"/>
      <c r="C231" s="43" t="s">
        <v>1374</v>
      </c>
      <c r="D231" s="32" t="s">
        <v>1375</v>
      </c>
      <c r="E231" s="10">
        <f>Source!BZ58</f>
        <v>105</v>
      </c>
      <c r="F231" s="64" t="str">
        <f>CONCATENATE(" )", Source!DL58, Source!FT58, "=", Source!FX58)</f>
        <v xml:space="preserve"> )*0,9=94,5</v>
      </c>
      <c r="G231" s="75"/>
      <c r="H231" s="33">
        <f>SUM(R225:R235)</f>
        <v>179.55</v>
      </c>
      <c r="I231" s="36"/>
      <c r="J231" s="31">
        <f>Source!AT58</f>
        <v>95</v>
      </c>
      <c r="K231" s="33">
        <f>SUM(S225:S235)</f>
        <v>6073.68</v>
      </c>
    </row>
    <row r="232" spans="1:25" ht="14.25" x14ac:dyDescent="0.2">
      <c r="A232" s="20"/>
      <c r="B232" s="43"/>
      <c r="C232" s="43" t="s">
        <v>1376</v>
      </c>
      <c r="D232" s="32" t="s">
        <v>1375</v>
      </c>
      <c r="E232" s="10">
        <f>Source!CA58</f>
        <v>55</v>
      </c>
      <c r="F232" s="64" t="str">
        <f>CONCATENATE(" )", Source!DM58, Source!FU58, "=", Source!FY58)</f>
        <v xml:space="preserve"> )*0,85=46,75</v>
      </c>
      <c r="G232" s="75"/>
      <c r="H232" s="33">
        <f>SUM(T225:T235)</f>
        <v>88.83</v>
      </c>
      <c r="I232" s="36"/>
      <c r="J232" s="31">
        <f>Source!AU58</f>
        <v>47</v>
      </c>
      <c r="K232" s="33">
        <f>SUM(U225:U235)</f>
        <v>3004.87</v>
      </c>
    </row>
    <row r="233" spans="1:25" ht="14.25" x14ac:dyDescent="0.2">
      <c r="A233" s="20"/>
      <c r="B233" s="43"/>
      <c r="C233" s="43" t="s">
        <v>1377</v>
      </c>
      <c r="D233" s="32" t="s">
        <v>1378</v>
      </c>
      <c r="E233" s="10">
        <f>Source!AQ58</f>
        <v>32.729999999999997</v>
      </c>
      <c r="F233" s="33"/>
      <c r="G233" s="34" t="str">
        <f>Source!DI58</f>
        <v>)*1,15)*1,35</v>
      </c>
      <c r="H233" s="33"/>
      <c r="I233" s="34"/>
      <c r="J233" s="34"/>
      <c r="K233" s="33"/>
    </row>
    <row r="234" spans="1:25" ht="271.5" customHeight="1" x14ac:dyDescent="0.2">
      <c r="A234" s="20"/>
      <c r="B234" s="43" t="str">
        <f>Source!F59</f>
        <v>14.3.02.01-0005</v>
      </c>
      <c r="C234" s="43" t="str">
        <f>Source!G59</f>
        <v>Краска на чистом акрилатном связующем, обладающая  стойкостью к мытью и содержащая противоплесневый компонент. Полуматовая. Расход 5-8 м2/л по впитывающей поверхности; 7-10 м2/л по ровной невпитывающей поверхности.  Разбавитель Вода. Время высыхания (при 20±2°C и относительной влажности 65±5 %) От пыли - 2 часа. Плотность (кг/л) Ок. 1,2 кг/л. Химическая стойкость -Устойчива к растворителям. Стойкость к мытью. Устойчивость к сильным моющим и дезинфекционным средствам. Стойкость к мокрому истиранию 1 класс по ISO 11998 и EN 13300. Термостойкость 85°C, ISO 4211-2 и ISO 4211-3. Сухой остаток по объему 40%</v>
      </c>
      <c r="D234" s="32" t="str">
        <f>Source!H59</f>
        <v>л</v>
      </c>
      <c r="E234" s="10">
        <f>Source!I59</f>
        <v>12.6</v>
      </c>
      <c r="F234" s="33">
        <f>Source!AL59+Source!AM59+Source!AO59</f>
        <v>85.77</v>
      </c>
      <c r="G234" s="42" t="s">
        <v>1385</v>
      </c>
      <c r="H234" s="33">
        <f>ROUND(Source!AC59*Source!I59, 2)+ROUND(Source!AD59*Source!I59, 2)+ROUND(Source!AF59*Source!I59, 2)</f>
        <v>1080.7</v>
      </c>
      <c r="I234" s="34"/>
      <c r="J234" s="34">
        <f>IF(Source!BC59&lt;&gt; 0, Source!BC59, 1)</f>
        <v>7.14</v>
      </c>
      <c r="K234" s="33">
        <f>Source!O59</f>
        <v>7716.21</v>
      </c>
      <c r="R234">
        <f>ROUND((Source!FX59/100)*((ROUND(Source!AF59*Source!I59, 2)+ROUND(Source!AE59*Source!I59, 2))), 2)</f>
        <v>0</v>
      </c>
      <c r="S234">
        <f>Source!X59</f>
        <v>0</v>
      </c>
      <c r="T234">
        <f>ROUND((Source!FY59/100)*((ROUND(Source!AF59*Source!I59, 2)+ROUND(Source!AE59*Source!I59, 2))), 2)</f>
        <v>0</v>
      </c>
      <c r="U234">
        <f>Source!Y59</f>
        <v>0</v>
      </c>
      <c r="V234">
        <f>IF(Source!BI59&lt;=1,H234, 0)</f>
        <v>1080.7</v>
      </c>
      <c r="W234">
        <f>IF(Source!BI59=2,H234, 0)</f>
        <v>0</v>
      </c>
      <c r="X234">
        <f>IF(Source!BI59=3,H234, 0)</f>
        <v>0</v>
      </c>
      <c r="Y234">
        <f>IF(Source!BI59=4,H234, 0)</f>
        <v>0</v>
      </c>
    </row>
    <row r="235" spans="1:25" ht="171" x14ac:dyDescent="0.2">
      <c r="A235" s="44"/>
      <c r="B235" s="45" t="str">
        <f>Source!F60</f>
        <v>14.4.01.02-0011</v>
      </c>
      <c r="C235" s="45" t="str">
        <f>Source!G60</f>
        <v>Грунтовка укрепляющая, глубокого проникновения для внутренних и наружних работ. Время высыхания при t 20 влажности 65% (ч) : 3-5; Плотность:1300-1450; Температура применения:+5°С +30°С; Норма расхода (мл/м2):100-150; Тип грунтовки: дисперсия акриловых сополимеров; Серия: Грунт укрепляющий; Морозостойкость (циклов): не менее 5; Связующее вещество: Акриловый сополимер</v>
      </c>
      <c r="D235" s="37" t="str">
        <f>Source!H60</f>
        <v>л</v>
      </c>
      <c r="E235" s="38">
        <f>Source!I60</f>
        <v>8.4</v>
      </c>
      <c r="F235" s="39">
        <f>Source!AL60+Source!AM60+Source!AO60</f>
        <v>43.58</v>
      </c>
      <c r="G235" s="41" t="s">
        <v>1385</v>
      </c>
      <c r="H235" s="39">
        <f>ROUND(Source!AC60*Source!I60, 2)+ROUND(Source!AD60*Source!I60, 2)+ROUND(Source!AF60*Source!I60, 2)</f>
        <v>366.07</v>
      </c>
      <c r="I235" s="40"/>
      <c r="J235" s="40">
        <f>IF(Source!BC60&lt;&gt; 0, Source!BC60, 1)</f>
        <v>3.74</v>
      </c>
      <c r="K235" s="39">
        <f>Source!O60</f>
        <v>1369.11</v>
      </c>
      <c r="R235">
        <f>ROUND((Source!FX60/100)*((ROUND(Source!AF60*Source!I60, 2)+ROUND(Source!AE60*Source!I60, 2))), 2)</f>
        <v>0</v>
      </c>
      <c r="S235">
        <f>Source!X60</f>
        <v>0</v>
      </c>
      <c r="T235">
        <f>ROUND((Source!FY60/100)*((ROUND(Source!AF60*Source!I60, 2)+ROUND(Source!AE60*Source!I60, 2))), 2)</f>
        <v>0</v>
      </c>
      <c r="U235">
        <f>Source!Y60</f>
        <v>0</v>
      </c>
      <c r="V235">
        <f>IF(Source!BI60&lt;=1,H235, 0)</f>
        <v>366.07</v>
      </c>
      <c r="W235">
        <f>IF(Source!BI60=2,H235, 0)</f>
        <v>0</v>
      </c>
      <c r="X235">
        <f>IF(Source!BI60=3,H235, 0)</f>
        <v>0</v>
      </c>
      <c r="Y235">
        <f>IF(Source!BI60=4,H235, 0)</f>
        <v>0</v>
      </c>
    </row>
    <row r="236" spans="1:25" ht="15" x14ac:dyDescent="0.25">
      <c r="G236" s="76">
        <f>H227+H228+H230+H231+H232+SUM(H234:H235)</f>
        <v>1958.79</v>
      </c>
      <c r="H236" s="76"/>
      <c r="J236" s="76">
        <f>K227+K228+K230+K231+K232+SUM(K234:K235)</f>
        <v>24797.18</v>
      </c>
      <c r="K236" s="76"/>
      <c r="N236" s="28">
        <f>G236</f>
        <v>1958.79</v>
      </c>
      <c r="O236" s="28">
        <f>J236</f>
        <v>24797.18</v>
      </c>
      <c r="P236" s="28" t="e">
        <f>#REF!</f>
        <v>#REF!</v>
      </c>
      <c r="V236">
        <f>IF(Source!BI58&lt;=1,H227+H228+H230+H231+H232, 0)</f>
        <v>512.0200000000001</v>
      </c>
      <c r="W236">
        <f>IF(Source!BI58=2,H227+H228+H230+H231+H232, 0)</f>
        <v>0</v>
      </c>
      <c r="X236">
        <f>IF(Source!BI58=3,H227+H228+H230+H231+H232, 0)</f>
        <v>0</v>
      </c>
      <c r="Y236">
        <f>IF(Source!BI58=4,H227+H228+H230+H231+H232, 0)</f>
        <v>0</v>
      </c>
    </row>
    <row r="237" spans="1:25" ht="103.5" x14ac:dyDescent="0.2">
      <c r="A237" s="20" t="str">
        <f>Source!E61</f>
        <v>24</v>
      </c>
      <c r="B237" s="43" t="s">
        <v>1403</v>
      </c>
      <c r="C237" s="43" t="str">
        <f>Source!G61</f>
        <v>Устройство потолка подвесного кассетного Армстронг алюминиевого с перфорацией, 600х600 мм, белый матовый</v>
      </c>
      <c r="D237" s="32" t="str">
        <f>Source!H61</f>
        <v>100 м2</v>
      </c>
      <c r="E237" s="10">
        <f>Source!I61</f>
        <v>4.4999999999999998E-2</v>
      </c>
      <c r="F237" s="33">
        <f>Source!AL61+Source!AM61+Source!AO61</f>
        <v>6623.23</v>
      </c>
      <c r="G237" s="34"/>
      <c r="H237" s="33"/>
      <c r="I237" s="34" t="str">
        <f>Source!BO61</f>
        <v>15-01-047-15</v>
      </c>
      <c r="J237" s="34"/>
      <c r="K237" s="33"/>
      <c r="R237">
        <f>ROUND((Source!FX61/100)*((ROUND(Source!AF61*Source!I61, 2)+ROUND(Source!AE61*Source!I61, 2))), 2)</f>
        <v>68.13</v>
      </c>
      <c r="S237">
        <f>Source!X61</f>
        <v>2304.84</v>
      </c>
      <c r="T237">
        <f>ROUND((Source!FY61/100)*((ROUND(Source!AF61*Source!I61, 2)+ROUND(Source!AE61*Source!I61, 2))), 2)</f>
        <v>33.71</v>
      </c>
      <c r="U237">
        <f>Source!Y61</f>
        <v>1140.29</v>
      </c>
    </row>
    <row r="238" spans="1:25" x14ac:dyDescent="0.2">
      <c r="C238" s="27" t="str">
        <f>"Объем: "&amp;Source!I61&amp;"=4,5/"&amp;"100"</f>
        <v>Объем: 0,045=4,5/100</v>
      </c>
    </row>
    <row r="239" spans="1:25" ht="14.25" x14ac:dyDescent="0.2">
      <c r="A239" s="20"/>
      <c r="B239" s="43"/>
      <c r="C239" s="43" t="s">
        <v>1372</v>
      </c>
      <c r="D239" s="32"/>
      <c r="E239" s="10"/>
      <c r="F239" s="33">
        <f>Source!AO61</f>
        <v>963.12</v>
      </c>
      <c r="G239" s="34" t="str">
        <f>Source!DG61</f>
        <v>)*1,15)*1,35</v>
      </c>
      <c r="H239" s="33">
        <f>ROUND(Source!AF61*Source!I61, 2)</f>
        <v>67.290000000000006</v>
      </c>
      <c r="I239" s="34"/>
      <c r="J239" s="34">
        <f>IF(Source!BA61&lt;&gt; 0, Source!BA61, 1)</f>
        <v>33.65</v>
      </c>
      <c r="K239" s="33">
        <f>Source!S61</f>
        <v>2264.17</v>
      </c>
      <c r="Q239">
        <f>H239</f>
        <v>67.290000000000006</v>
      </c>
    </row>
    <row r="240" spans="1:25" ht="14.25" x14ac:dyDescent="0.2">
      <c r="A240" s="20"/>
      <c r="B240" s="43"/>
      <c r="C240" s="43" t="s">
        <v>646</v>
      </c>
      <c r="D240" s="32"/>
      <c r="E240" s="10"/>
      <c r="F240" s="33">
        <f>Source!AM61</f>
        <v>324.70999999999998</v>
      </c>
      <c r="G240" s="34" t="str">
        <f>Source!DE61</f>
        <v>)*1,25)*1,35</v>
      </c>
      <c r="H240" s="33">
        <f>ROUND(Source!AD61*Source!I61, 2)</f>
        <v>24.66</v>
      </c>
      <c r="I240" s="34"/>
      <c r="J240" s="34">
        <f>IF(Source!BB61&lt;&gt; 0, Source!BB61, 1)</f>
        <v>12.04</v>
      </c>
      <c r="K240" s="33">
        <f>Source!Q61</f>
        <v>296.88</v>
      </c>
    </row>
    <row r="241" spans="1:25" ht="14.25" x14ac:dyDescent="0.2">
      <c r="A241" s="20"/>
      <c r="B241" s="43"/>
      <c r="C241" s="43" t="s">
        <v>1373</v>
      </c>
      <c r="D241" s="32"/>
      <c r="E241" s="10"/>
      <c r="F241" s="33">
        <f>Source!AN61</f>
        <v>63.39</v>
      </c>
      <c r="G241" s="34" t="str">
        <f>Source!DF61</f>
        <v>)*1,25)*1,35</v>
      </c>
      <c r="H241" s="35">
        <f>ROUND(Source!AE61*Source!I61, 2)</f>
        <v>4.8099999999999996</v>
      </c>
      <c r="I241" s="34"/>
      <c r="J241" s="34">
        <f>IF(Source!BS61&lt;&gt; 0, Source!BS61, 1)</f>
        <v>33.65</v>
      </c>
      <c r="K241" s="35">
        <f>Source!R61</f>
        <v>161.97999999999999</v>
      </c>
      <c r="Q241">
        <f>H241</f>
        <v>4.8099999999999996</v>
      </c>
    </row>
    <row r="242" spans="1:25" ht="14.25" x14ac:dyDescent="0.2">
      <c r="A242" s="20"/>
      <c r="B242" s="43"/>
      <c r="C242" s="43" t="s">
        <v>1400</v>
      </c>
      <c r="D242" s="32"/>
      <c r="E242" s="10"/>
      <c r="F242" s="33">
        <f>Source!AL61</f>
        <v>5335.4</v>
      </c>
      <c r="G242" s="34" t="str">
        <f>Source!DD61</f>
        <v/>
      </c>
      <c r="H242" s="33">
        <f>ROUND(Source!AC61*Source!I61, 2)</f>
        <v>240.09</v>
      </c>
      <c r="I242" s="34"/>
      <c r="J242" s="34">
        <f>IF(Source!BC61&lt;&gt; 0, Source!BC61, 1)</f>
        <v>10.199999999999999</v>
      </c>
      <c r="K242" s="33">
        <f>Source!P61</f>
        <v>2448.9499999999998</v>
      </c>
    </row>
    <row r="243" spans="1:25" ht="14.25" x14ac:dyDescent="0.2">
      <c r="A243" s="20"/>
      <c r="B243" s="43"/>
      <c r="C243" s="43" t="s">
        <v>1374</v>
      </c>
      <c r="D243" s="32" t="s">
        <v>1375</v>
      </c>
      <c r="E243" s="10">
        <f>Source!BZ61</f>
        <v>105</v>
      </c>
      <c r="F243" s="64" t="str">
        <f>CONCATENATE(" )", Source!DL61, Source!FT61, "=", Source!FX61)</f>
        <v xml:space="preserve"> )*0,9=94,5</v>
      </c>
      <c r="G243" s="75"/>
      <c r="H243" s="33">
        <f>SUM(R237:R247)</f>
        <v>68.13</v>
      </c>
      <c r="I243" s="36"/>
      <c r="J243" s="31">
        <f>Source!AT61</f>
        <v>95</v>
      </c>
      <c r="K243" s="33">
        <f>SUM(S237:S247)</f>
        <v>2304.84</v>
      </c>
    </row>
    <row r="244" spans="1:25" ht="14.25" x14ac:dyDescent="0.2">
      <c r="A244" s="20"/>
      <c r="B244" s="43"/>
      <c r="C244" s="43" t="s">
        <v>1376</v>
      </c>
      <c r="D244" s="32" t="s">
        <v>1375</v>
      </c>
      <c r="E244" s="10">
        <f>Source!CA61</f>
        <v>55</v>
      </c>
      <c r="F244" s="64" t="str">
        <f>CONCATENATE(" )", Source!DM61, Source!FU61, "=", Source!FY61)</f>
        <v xml:space="preserve"> )*0,85=46,75</v>
      </c>
      <c r="G244" s="75"/>
      <c r="H244" s="33">
        <f>SUM(T237:T247)</f>
        <v>33.71</v>
      </c>
      <c r="I244" s="36"/>
      <c r="J244" s="31">
        <f>Source!AU61</f>
        <v>47</v>
      </c>
      <c r="K244" s="33">
        <f>SUM(U237:U247)</f>
        <v>1140.29</v>
      </c>
    </row>
    <row r="245" spans="1:25" ht="14.25" x14ac:dyDescent="0.2">
      <c r="A245" s="20"/>
      <c r="B245" s="43"/>
      <c r="C245" s="43" t="s">
        <v>1377</v>
      </c>
      <c r="D245" s="32" t="s">
        <v>1378</v>
      </c>
      <c r="E245" s="10">
        <f>Source!AQ61</f>
        <v>102.46</v>
      </c>
      <c r="F245" s="33"/>
      <c r="G245" s="34" t="str">
        <f>Source!DI61</f>
        <v>)*1,15)*1,35</v>
      </c>
      <c r="H245" s="33"/>
      <c r="I245" s="34"/>
      <c r="J245" s="34"/>
      <c r="K245" s="33"/>
    </row>
    <row r="246" spans="1:25" ht="42.75" x14ac:dyDescent="0.2">
      <c r="A246" s="20"/>
      <c r="B246" s="43" t="str">
        <f>Source!F62</f>
        <v>09.2.01.04-3025</v>
      </c>
      <c r="C246" s="43" t="str">
        <f>Source!G62</f>
        <v>Панель потолочная металлическая: белая алюминиевая перфорированная с белой подвесной системой</v>
      </c>
      <c r="D246" s="32" t="str">
        <f>Source!H62</f>
        <v>м2</v>
      </c>
      <c r="E246" s="10">
        <f>Source!I62</f>
        <v>4.6349999999999998</v>
      </c>
      <c r="F246" s="33">
        <f>Source!AL62+Source!AM62+Source!AO62</f>
        <v>146.69999999999999</v>
      </c>
      <c r="G246" s="42" t="s">
        <v>1385</v>
      </c>
      <c r="H246" s="33">
        <f>ROUND(Source!AC62*Source!I62, 2)+ROUND(Source!AD62*Source!I62, 2)+ROUND(Source!AF62*Source!I62, 2)</f>
        <v>679.95</v>
      </c>
      <c r="I246" s="34"/>
      <c r="J246" s="34">
        <f>IF(Source!BC62&lt;&gt; 0, Source!BC62, 1)</f>
        <v>4.55</v>
      </c>
      <c r="K246" s="33">
        <f>Source!O62</f>
        <v>3093.79</v>
      </c>
      <c r="R246">
        <f>ROUND((Source!FX62/100)*((ROUND(Source!AF62*Source!I62, 2)+ROUND(Source!AE62*Source!I62, 2))), 2)</f>
        <v>0</v>
      </c>
      <c r="S246">
        <f>Source!X62</f>
        <v>0</v>
      </c>
      <c r="T246">
        <f>ROUND((Source!FY62/100)*((ROUND(Source!AF62*Source!I62, 2)+ROUND(Source!AE62*Source!I62, 2))), 2)</f>
        <v>0</v>
      </c>
      <c r="U246">
        <f>Source!Y62</f>
        <v>0</v>
      </c>
      <c r="V246">
        <f>IF(Source!BI62&lt;=1,H246, 0)</f>
        <v>679.95</v>
      </c>
      <c r="W246">
        <f>IF(Source!BI62=2,H246, 0)</f>
        <v>0</v>
      </c>
      <c r="X246">
        <f>IF(Source!BI62=3,H246, 0)</f>
        <v>0</v>
      </c>
      <c r="Y246">
        <f>IF(Source!BI62=4,H246, 0)</f>
        <v>0</v>
      </c>
    </row>
    <row r="247" spans="1:25" ht="14.25" x14ac:dyDescent="0.2">
      <c r="A247" s="44"/>
      <c r="B247" s="45" t="str">
        <f>Source!F63</f>
        <v>01.6.04.02-0011</v>
      </c>
      <c r="C247" s="45" t="str">
        <f>Source!G63</f>
        <v>Панели потолочные с комплектующими</v>
      </c>
      <c r="D247" s="37" t="str">
        <f>Source!H63</f>
        <v>м2</v>
      </c>
      <c r="E247" s="38">
        <f>Source!I63</f>
        <v>-4.6349999999999998</v>
      </c>
      <c r="F247" s="39">
        <f>Source!AL63+Source!AM63+Source!AO63</f>
        <v>51.8</v>
      </c>
      <c r="G247" s="41" t="s">
        <v>1385</v>
      </c>
      <c r="H247" s="39">
        <f>ROUND(Source!AC63*Source!I63, 2)+ROUND(Source!AD63*Source!I63, 2)+ROUND(Source!AF63*Source!I63, 2)</f>
        <v>-240.09</v>
      </c>
      <c r="I247" s="40"/>
      <c r="J247" s="40">
        <f>IF(Source!BC63&lt;&gt; 0, Source!BC63, 1)</f>
        <v>10.199999999999999</v>
      </c>
      <c r="K247" s="39">
        <f>Source!O63</f>
        <v>-2448.9499999999998</v>
      </c>
      <c r="R247">
        <f>ROUND((Source!FX63/100)*((ROUND(Source!AF63*Source!I63, 2)+ROUND(Source!AE63*Source!I63, 2))), 2)</f>
        <v>0</v>
      </c>
      <c r="S247">
        <f>Source!X63</f>
        <v>0</v>
      </c>
      <c r="T247">
        <f>ROUND((Source!FY63/100)*((ROUND(Source!AF63*Source!I63, 2)+ROUND(Source!AE63*Source!I63, 2))), 2)</f>
        <v>0</v>
      </c>
      <c r="U247">
        <f>Source!Y63</f>
        <v>0</v>
      </c>
      <c r="V247">
        <f>IF(Source!BI63&lt;=1,H247, 0)</f>
        <v>-240.09</v>
      </c>
      <c r="W247">
        <f>IF(Source!BI63=2,H247, 0)</f>
        <v>0</v>
      </c>
      <c r="X247">
        <f>IF(Source!BI63=3,H247, 0)</f>
        <v>0</v>
      </c>
      <c r="Y247">
        <f>IF(Source!BI63=4,H247, 0)</f>
        <v>0</v>
      </c>
    </row>
    <row r="248" spans="1:25" ht="15" x14ac:dyDescent="0.25">
      <c r="G248" s="76">
        <f>H239+H240+H242+H243+H244+SUM(H246:H247)</f>
        <v>873.74</v>
      </c>
      <c r="H248" s="76"/>
      <c r="J248" s="76">
        <f>K239+K240+K242+K243+K244+SUM(K246:K247)</f>
        <v>9099.9700000000012</v>
      </c>
      <c r="K248" s="76"/>
      <c r="N248" s="28">
        <f>G248</f>
        <v>873.74</v>
      </c>
      <c r="O248" s="28">
        <f>J248</f>
        <v>9099.9700000000012</v>
      </c>
      <c r="P248" s="28" t="e">
        <f>#REF!</f>
        <v>#REF!</v>
      </c>
      <c r="V248">
        <f>IF(Source!BI61&lt;=1,H239+H240+H242+H243+H244, 0)</f>
        <v>433.88</v>
      </c>
      <c r="W248">
        <f>IF(Source!BI61=2,H239+H240+H242+H243+H244, 0)</f>
        <v>0</v>
      </c>
      <c r="X248">
        <f>IF(Source!BI61=3,H239+H240+H242+H243+H244, 0)</f>
        <v>0</v>
      </c>
      <c r="Y248">
        <f>IF(Source!BI61=4,H239+H240+H242+H243+H244, 0)</f>
        <v>0</v>
      </c>
    </row>
    <row r="249" spans="1:25" ht="65.25" x14ac:dyDescent="0.2">
      <c r="A249" s="20" t="str">
        <f>Source!E64</f>
        <v>25</v>
      </c>
      <c r="B249" s="43" t="s">
        <v>1404</v>
      </c>
      <c r="C249" s="43" t="str">
        <f>Source!G64</f>
        <v>Светильник в подвесных потолках/Монтаж</v>
      </c>
      <c r="D249" s="32" t="str">
        <f>Source!H64</f>
        <v>100 ШТ</v>
      </c>
      <c r="E249" s="10">
        <f>Source!I64</f>
        <v>0.02</v>
      </c>
      <c r="F249" s="33">
        <f>Source!AL64+Source!AM64+Source!AO64</f>
        <v>1093.4000000000001</v>
      </c>
      <c r="G249" s="34"/>
      <c r="H249" s="33"/>
      <c r="I249" s="34" t="str">
        <f>Source!BO64</f>
        <v>м08-03-593-19</v>
      </c>
      <c r="J249" s="34"/>
      <c r="K249" s="33"/>
      <c r="R249">
        <f>ROUND((Source!FX64/100)*((ROUND(Source!AF64*Source!I64, 2)+ROUND(Source!AE64*Source!I64, 2))), 2)</f>
        <v>24.15</v>
      </c>
      <c r="S249">
        <f>Source!X64</f>
        <v>812.6</v>
      </c>
      <c r="T249">
        <f>ROUND((Source!FY64/100)*((ROUND(Source!AF64*Source!I64, 2)+ROUND(Source!AE64*Source!I64, 2))), 2)</f>
        <v>16.52</v>
      </c>
      <c r="U249">
        <f>Source!Y64</f>
        <v>555.99</v>
      </c>
    </row>
    <row r="250" spans="1:25" x14ac:dyDescent="0.2">
      <c r="C250" s="27" t="str">
        <f>"Объем: "&amp;Source!I64&amp;"=2/"&amp;"100"</f>
        <v>Объем: 0,02=2/100</v>
      </c>
    </row>
    <row r="251" spans="1:25" ht="14.25" x14ac:dyDescent="0.2">
      <c r="A251" s="20"/>
      <c r="B251" s="43"/>
      <c r="C251" s="43" t="s">
        <v>1372</v>
      </c>
      <c r="D251" s="32"/>
      <c r="E251" s="10"/>
      <c r="F251" s="33">
        <f>Source!AO64</f>
        <v>936.45</v>
      </c>
      <c r="G251" s="34" t="str">
        <f>Source!DG64</f>
        <v>)*1,35</v>
      </c>
      <c r="H251" s="33">
        <f>ROUND(Source!AF64*Source!I64, 2)</f>
        <v>25.28</v>
      </c>
      <c r="I251" s="34"/>
      <c r="J251" s="34">
        <f>IF(Source!BA64&lt;&gt; 0, Source!BA64, 1)</f>
        <v>33.65</v>
      </c>
      <c r="K251" s="33">
        <f>Source!S64</f>
        <v>850.81</v>
      </c>
      <c r="Q251">
        <f>H251</f>
        <v>25.28</v>
      </c>
    </row>
    <row r="252" spans="1:25" ht="14.25" x14ac:dyDescent="0.2">
      <c r="A252" s="20"/>
      <c r="B252" s="43"/>
      <c r="C252" s="43" t="s">
        <v>646</v>
      </c>
      <c r="D252" s="32"/>
      <c r="E252" s="10"/>
      <c r="F252" s="33">
        <f>Source!AM64</f>
        <v>36.22</v>
      </c>
      <c r="G252" s="34" t="str">
        <f>Source!DE64</f>
        <v>)*1,35</v>
      </c>
      <c r="H252" s="33">
        <f>ROUND(Source!AD64*Source!I64, 2)</f>
        <v>0.98</v>
      </c>
      <c r="I252" s="34"/>
      <c r="J252" s="34">
        <f>IF(Source!BB64&lt;&gt; 0, Source!BB64, 1)</f>
        <v>10.220000000000001</v>
      </c>
      <c r="K252" s="33">
        <f>Source!Q64</f>
        <v>10</v>
      </c>
    </row>
    <row r="253" spans="1:25" ht="14.25" x14ac:dyDescent="0.2">
      <c r="A253" s="20"/>
      <c r="B253" s="43"/>
      <c r="C253" s="43" t="s">
        <v>1373</v>
      </c>
      <c r="D253" s="32"/>
      <c r="E253" s="10"/>
      <c r="F253" s="33">
        <f>Source!AN64</f>
        <v>5.0199999999999996</v>
      </c>
      <c r="G253" s="34" t="str">
        <f>Source!DF64</f>
        <v>)*1,35</v>
      </c>
      <c r="H253" s="35">
        <f>ROUND(Source!AE64*Source!I64, 2)</f>
        <v>0.14000000000000001</v>
      </c>
      <c r="I253" s="34"/>
      <c r="J253" s="34">
        <f>IF(Source!BS64&lt;&gt; 0, Source!BS64, 1)</f>
        <v>33.65</v>
      </c>
      <c r="K253" s="35">
        <f>Source!R64</f>
        <v>4.5599999999999996</v>
      </c>
      <c r="Q253">
        <f>H253</f>
        <v>0.14000000000000001</v>
      </c>
    </row>
    <row r="254" spans="1:25" ht="14.25" x14ac:dyDescent="0.2">
      <c r="A254" s="20"/>
      <c r="B254" s="43"/>
      <c r="C254" s="43" t="s">
        <v>1400</v>
      </c>
      <c r="D254" s="32"/>
      <c r="E254" s="10"/>
      <c r="F254" s="33">
        <f>Source!AL64</f>
        <v>120.73</v>
      </c>
      <c r="G254" s="34" t="str">
        <f>Source!DD64</f>
        <v/>
      </c>
      <c r="H254" s="33">
        <f>ROUND(Source!AC64*Source!I64, 2)</f>
        <v>2.41</v>
      </c>
      <c r="I254" s="34"/>
      <c r="J254" s="34">
        <f>IF(Source!BC64&lt;&gt; 0, Source!BC64, 1)</f>
        <v>9.82</v>
      </c>
      <c r="K254" s="33">
        <f>Source!P64</f>
        <v>23.71</v>
      </c>
    </row>
    <row r="255" spans="1:25" ht="14.25" x14ac:dyDescent="0.2">
      <c r="A255" s="20"/>
      <c r="B255" s="43"/>
      <c r="C255" s="43" t="s">
        <v>1374</v>
      </c>
      <c r="D255" s="32" t="s">
        <v>1375</v>
      </c>
      <c r="E255" s="10">
        <f>Source!BZ64</f>
        <v>95</v>
      </c>
      <c r="F255" s="46"/>
      <c r="G255" s="34"/>
      <c r="H255" s="33">
        <f>SUM(R249:R258)</f>
        <v>24.15</v>
      </c>
      <c r="I255" s="36"/>
      <c r="J255" s="31">
        <f>Source!AT64</f>
        <v>95</v>
      </c>
      <c r="K255" s="33">
        <f>SUM(S249:S258)</f>
        <v>812.6</v>
      </c>
    </row>
    <row r="256" spans="1:25" ht="14.25" x14ac:dyDescent="0.2">
      <c r="A256" s="20"/>
      <c r="B256" s="43"/>
      <c r="C256" s="43" t="s">
        <v>1376</v>
      </c>
      <c r="D256" s="32" t="s">
        <v>1375</v>
      </c>
      <c r="E256" s="10">
        <f>Source!CA64</f>
        <v>65</v>
      </c>
      <c r="F256" s="46"/>
      <c r="G256" s="34"/>
      <c r="H256" s="33">
        <f>SUM(T249:T258)</f>
        <v>16.52</v>
      </c>
      <c r="I256" s="36"/>
      <c r="J256" s="31">
        <f>Source!AU64</f>
        <v>65</v>
      </c>
      <c r="K256" s="33">
        <f>SUM(U249:U258)</f>
        <v>555.99</v>
      </c>
    </row>
    <row r="257" spans="1:25" ht="14.25" x14ac:dyDescent="0.2">
      <c r="A257" s="20"/>
      <c r="B257" s="43"/>
      <c r="C257" s="43" t="s">
        <v>1377</v>
      </c>
      <c r="D257" s="32" t="s">
        <v>1378</v>
      </c>
      <c r="E257" s="10">
        <f>Source!AQ64</f>
        <v>94.4</v>
      </c>
      <c r="F257" s="33"/>
      <c r="G257" s="34" t="str">
        <f>Source!DI64</f>
        <v>)*1,35</v>
      </c>
      <c r="H257" s="33"/>
      <c r="I257" s="34"/>
      <c r="J257" s="34"/>
      <c r="K257" s="33"/>
    </row>
    <row r="258" spans="1:25" ht="102" customHeight="1" x14ac:dyDescent="0.2">
      <c r="A258" s="44"/>
      <c r="B258" s="45" t="str">
        <f>Source!F65</f>
        <v>20.3.03.04-3127</v>
      </c>
      <c r="C258" s="45" t="str">
        <f>Source!G65</f>
        <v>Светильник светодиодный 595х595мм, универсальный (встраиваемый/накладной), рассеиватель - призма, цвет свечения - холодный 4000К, защита от пыли и влаги не менее IP40, мощность 36W, световой поток не менее 110Лм на 1W мощности)</v>
      </c>
      <c r="D258" s="37" t="str">
        <f>Source!H65</f>
        <v>ШТ</v>
      </c>
      <c r="E258" s="38">
        <f>Source!I65</f>
        <v>2</v>
      </c>
      <c r="F258" s="39">
        <f>Source!AL65+Source!AM65+Source!AO65</f>
        <v>229.86</v>
      </c>
      <c r="G258" s="41" t="s">
        <v>1385</v>
      </c>
      <c r="H258" s="39">
        <f>ROUND(Source!AC65*Source!I65, 2)+ROUND(Source!AD65*Source!I65, 2)+ROUND(Source!AF65*Source!I65, 2)</f>
        <v>459.72</v>
      </c>
      <c r="I258" s="40"/>
      <c r="J258" s="40">
        <f>IF(Source!BC65&lt;&gt; 0, Source!BC65, 1)</f>
        <v>9.8800000000000008</v>
      </c>
      <c r="K258" s="39">
        <f>Source!O65</f>
        <v>4542.03</v>
      </c>
      <c r="R258">
        <f>ROUND((Source!FX65/100)*((ROUND(Source!AF65*Source!I65, 2)+ROUND(Source!AE65*Source!I65, 2))), 2)</f>
        <v>0</v>
      </c>
      <c r="S258">
        <f>Source!X65</f>
        <v>0</v>
      </c>
      <c r="T258">
        <f>ROUND((Source!FY65/100)*((ROUND(Source!AF65*Source!I65, 2)+ROUND(Source!AE65*Source!I65, 2))), 2)</f>
        <v>0</v>
      </c>
      <c r="U258">
        <f>Source!Y65</f>
        <v>0</v>
      </c>
      <c r="V258">
        <f>IF(Source!BI65&lt;=1,H258, 0)</f>
        <v>0</v>
      </c>
      <c r="W258">
        <f>IF(Source!BI65=2,H258, 0)</f>
        <v>459.72</v>
      </c>
      <c r="X258">
        <f>IF(Source!BI65=3,H258, 0)</f>
        <v>0</v>
      </c>
      <c r="Y258">
        <f>IF(Source!BI65=4,H258, 0)</f>
        <v>0</v>
      </c>
    </row>
    <row r="259" spans="1:25" ht="15" x14ac:dyDescent="0.25">
      <c r="G259" s="76">
        <f>H251+H252+H254+H255+H256+SUM(H258:H258)</f>
        <v>529.06000000000006</v>
      </c>
      <c r="H259" s="76"/>
      <c r="J259" s="76">
        <f>K251+K252+K254+K255+K256+SUM(K258:K258)</f>
        <v>6795.1399999999994</v>
      </c>
      <c r="K259" s="76"/>
      <c r="N259" s="28">
        <f>G259</f>
        <v>529.06000000000006</v>
      </c>
      <c r="O259" s="28">
        <f>J259</f>
        <v>6795.1399999999994</v>
      </c>
      <c r="P259" s="28" t="e">
        <f>#REF!</f>
        <v>#REF!</v>
      </c>
      <c r="V259">
        <f>IF(Source!BI64&lt;=1,H251+H252+H254+H255+H256, 0)</f>
        <v>0</v>
      </c>
      <c r="W259">
        <f>IF(Source!BI64=2,H251+H252+H254+H255+H256, 0)</f>
        <v>69.34</v>
      </c>
      <c r="X259">
        <f>IF(Source!BI64=3,H251+H252+H254+H255+H256, 0)</f>
        <v>0</v>
      </c>
      <c r="Y259">
        <f>IF(Source!BI64=4,H251+H252+H254+H255+H256, 0)</f>
        <v>0</v>
      </c>
    </row>
    <row r="260" spans="1:25" ht="65.25" x14ac:dyDescent="0.2">
      <c r="A260" s="20" t="str">
        <f>Source!E66</f>
        <v>26</v>
      </c>
      <c r="B260" s="43" t="s">
        <v>1405</v>
      </c>
      <c r="C260" s="43" t="str">
        <f>Source!G66</f>
        <v>Устройство приямка в тамбуре  для укладки ячеистого резинового ковра</v>
      </c>
      <c r="D260" s="32" t="str">
        <f>Source!H66</f>
        <v>100 м2</v>
      </c>
      <c r="E260" s="10">
        <f>Source!I66</f>
        <v>1.2500000000000001E-2</v>
      </c>
      <c r="F260" s="33">
        <f>Source!AL66+Source!AM66+Source!AO66</f>
        <v>2000.71</v>
      </c>
      <c r="G260" s="34"/>
      <c r="H260" s="33"/>
      <c r="I260" s="34" t="str">
        <f>Source!BO66</f>
        <v>57-2-4</v>
      </c>
      <c r="J260" s="34"/>
      <c r="K260" s="33"/>
      <c r="R260">
        <f>ROUND((Source!FX66/100)*((ROUND(Source!AF66*Source!I66, 2)+ROUND(Source!AE66*Source!I66, 2))), 2)</f>
        <v>11.19</v>
      </c>
      <c r="S260">
        <f>Source!X66</f>
        <v>376.47</v>
      </c>
      <c r="T260">
        <f>ROUND((Source!FY66/100)*((ROUND(Source!AF66*Source!I66, 2)+ROUND(Source!AE66*Source!I66, 2))), 2)</f>
        <v>9.51</v>
      </c>
      <c r="U260">
        <f>Source!Y66</f>
        <v>320</v>
      </c>
    </row>
    <row r="261" spans="1:25" x14ac:dyDescent="0.2">
      <c r="C261" s="27" t="str">
        <f>"Объем: "&amp;Source!I66&amp;"=1,25/"&amp;"100"</f>
        <v>Объем: 0,0125=1,25/100</v>
      </c>
    </row>
    <row r="262" spans="1:25" ht="14.25" x14ac:dyDescent="0.2">
      <c r="A262" s="20"/>
      <c r="B262" s="43"/>
      <c r="C262" s="43" t="s">
        <v>1372</v>
      </c>
      <c r="D262" s="32"/>
      <c r="E262" s="10"/>
      <c r="F262" s="33">
        <f>Source!AO66</f>
        <v>948.54</v>
      </c>
      <c r="G262" s="34" t="str">
        <f>Source!DG66</f>
        <v>)*1,15</v>
      </c>
      <c r="H262" s="33">
        <f>ROUND(Source!AF66*Source!I66, 2)</f>
        <v>13.64</v>
      </c>
      <c r="I262" s="34"/>
      <c r="J262" s="34">
        <f>IF(Source!BA66&lt;&gt; 0, Source!BA66, 1)</f>
        <v>33.65</v>
      </c>
      <c r="K262" s="33">
        <f>Source!S66</f>
        <v>458.83</v>
      </c>
      <c r="Q262">
        <f>H262</f>
        <v>13.64</v>
      </c>
    </row>
    <row r="263" spans="1:25" ht="14.25" x14ac:dyDescent="0.2">
      <c r="A263" s="20"/>
      <c r="B263" s="43"/>
      <c r="C263" s="43" t="s">
        <v>646</v>
      </c>
      <c r="D263" s="32"/>
      <c r="E263" s="10"/>
      <c r="F263" s="33">
        <f>Source!AM66</f>
        <v>1052.17</v>
      </c>
      <c r="G263" s="34" t="str">
        <f>Source!DE66</f>
        <v>)*1,15</v>
      </c>
      <c r="H263" s="33">
        <f>ROUND(Source!AD66*Source!I66, 2)</f>
        <v>15.13</v>
      </c>
      <c r="I263" s="34"/>
      <c r="J263" s="34">
        <f>IF(Source!BB66&lt;&gt; 0, Source!BB66, 1)</f>
        <v>3.48</v>
      </c>
      <c r="K263" s="33">
        <f>Source!Q66</f>
        <v>52.64</v>
      </c>
    </row>
    <row r="264" spans="1:25" ht="14.25" x14ac:dyDescent="0.2">
      <c r="A264" s="20"/>
      <c r="B264" s="43"/>
      <c r="C264" s="43" t="s">
        <v>1373</v>
      </c>
      <c r="D264" s="32"/>
      <c r="E264" s="10"/>
      <c r="F264" s="33">
        <f>Source!AN66</f>
        <v>24.3</v>
      </c>
      <c r="G264" s="34" t="str">
        <f>Source!DF66</f>
        <v>)*1,15</v>
      </c>
      <c r="H264" s="35">
        <f>ROUND(Source!AE66*Source!I66, 2)</f>
        <v>0.35</v>
      </c>
      <c r="I264" s="34"/>
      <c r="J264" s="34">
        <f>IF(Source!BS66&lt;&gt; 0, Source!BS66, 1)</f>
        <v>33.65</v>
      </c>
      <c r="K264" s="35">
        <f>Source!R66</f>
        <v>11.76</v>
      </c>
      <c r="Q264">
        <f>H264</f>
        <v>0.35</v>
      </c>
    </row>
    <row r="265" spans="1:25" ht="14.25" x14ac:dyDescent="0.2">
      <c r="A265" s="20"/>
      <c r="B265" s="43"/>
      <c r="C265" s="43" t="s">
        <v>1374</v>
      </c>
      <c r="D265" s="32" t="s">
        <v>1375</v>
      </c>
      <c r="E265" s="10">
        <f>Source!BZ66</f>
        <v>80</v>
      </c>
      <c r="F265" s="46"/>
      <c r="G265" s="34"/>
      <c r="H265" s="33">
        <f>SUM(R260:R268)</f>
        <v>11.19</v>
      </c>
      <c r="I265" s="36"/>
      <c r="J265" s="31">
        <f>Source!AT66</f>
        <v>80</v>
      </c>
      <c r="K265" s="33">
        <f>SUM(S260:S268)</f>
        <v>376.47</v>
      </c>
    </row>
    <row r="266" spans="1:25" ht="14.25" x14ac:dyDescent="0.2">
      <c r="A266" s="20"/>
      <c r="B266" s="43"/>
      <c r="C266" s="43" t="s">
        <v>1376</v>
      </c>
      <c r="D266" s="32" t="s">
        <v>1375</v>
      </c>
      <c r="E266" s="10">
        <f>Source!CA66</f>
        <v>68</v>
      </c>
      <c r="F266" s="46"/>
      <c r="G266" s="34"/>
      <c r="H266" s="33">
        <f>SUM(T260:T268)</f>
        <v>9.51</v>
      </c>
      <c r="I266" s="36"/>
      <c r="J266" s="31">
        <f>Source!AU66</f>
        <v>68</v>
      </c>
      <c r="K266" s="33">
        <f>SUM(U260:U268)</f>
        <v>320</v>
      </c>
    </row>
    <row r="267" spans="1:25" ht="14.25" x14ac:dyDescent="0.2">
      <c r="A267" s="20"/>
      <c r="B267" s="43"/>
      <c r="C267" s="43" t="s">
        <v>1377</v>
      </c>
      <c r="D267" s="32" t="s">
        <v>1378</v>
      </c>
      <c r="E267" s="10">
        <f>Source!AQ66</f>
        <v>111.2</v>
      </c>
      <c r="F267" s="33"/>
      <c r="G267" s="34" t="str">
        <f>Source!DI66</f>
        <v>)*1,15</v>
      </c>
      <c r="H267" s="33"/>
      <c r="I267" s="34"/>
      <c r="J267" s="34"/>
      <c r="K267" s="33"/>
    </row>
    <row r="268" spans="1:25" ht="14.25" x14ac:dyDescent="0.2">
      <c r="A268" s="44"/>
      <c r="B268" s="45" t="str">
        <f>Source!F67</f>
        <v>999-9900</v>
      </c>
      <c r="C268" s="45" t="str">
        <f>Source!G67</f>
        <v>Строительный мусор</v>
      </c>
      <c r="D268" s="37" t="str">
        <f>Source!H67</f>
        <v>т</v>
      </c>
      <c r="E268" s="38">
        <f>Source!I67</f>
        <v>0.41249999999999992</v>
      </c>
      <c r="F268" s="39">
        <f>Source!AL67+Source!AM67+Source!AO67</f>
        <v>0</v>
      </c>
      <c r="G268" s="41" t="s">
        <v>1385</v>
      </c>
      <c r="H268" s="39">
        <f>ROUND(Source!AC67*Source!I67, 2)+ROUND(Source!AD67*Source!I67, 2)+ROUND(Source!AF67*Source!I67, 2)</f>
        <v>0</v>
      </c>
      <c r="I268" s="40"/>
      <c r="J268" s="40">
        <f>IF(Source!BC67&lt;&gt; 0, Source!BC67, 1)</f>
        <v>1</v>
      </c>
      <c r="K268" s="39">
        <f>Source!O67</f>
        <v>0</v>
      </c>
      <c r="R268">
        <f>ROUND((Source!FX67/100)*((ROUND(Source!AF67*Source!I67, 2)+ROUND(Source!AE67*Source!I67, 2))), 2)</f>
        <v>0</v>
      </c>
      <c r="S268">
        <f>Source!X67</f>
        <v>0</v>
      </c>
      <c r="T268">
        <f>ROUND((Source!FY67/100)*((ROUND(Source!AF67*Source!I67, 2)+ROUND(Source!AE67*Source!I67, 2))), 2)</f>
        <v>0</v>
      </c>
      <c r="U268">
        <f>Source!Y67</f>
        <v>0</v>
      </c>
      <c r="V268">
        <f>IF(Source!BI67&lt;=1,H268, 0)</f>
        <v>0</v>
      </c>
      <c r="W268">
        <f>IF(Source!BI67=2,H268, 0)</f>
        <v>0</v>
      </c>
      <c r="X268">
        <f>IF(Source!BI67=3,H268, 0)</f>
        <v>0</v>
      </c>
      <c r="Y268">
        <f>IF(Source!BI67=4,H268, 0)</f>
        <v>0</v>
      </c>
    </row>
    <row r="269" spans="1:25" ht="15" x14ac:dyDescent="0.25">
      <c r="G269" s="76">
        <f>H262+H263+H265+H266+SUM(H268:H268)</f>
        <v>49.47</v>
      </c>
      <c r="H269" s="76"/>
      <c r="J269" s="76">
        <f>K262+K263+K265+K266+SUM(K268:K268)</f>
        <v>1207.94</v>
      </c>
      <c r="K269" s="76"/>
      <c r="N269" s="28">
        <f>G269</f>
        <v>49.47</v>
      </c>
      <c r="O269" s="28">
        <f>J269</f>
        <v>1207.94</v>
      </c>
      <c r="P269" s="28" t="e">
        <f>#REF!</f>
        <v>#REF!</v>
      </c>
      <c r="V269">
        <f>IF(Source!BI66&lt;=1,H262+H263+H265+H266, 0)</f>
        <v>49.47</v>
      </c>
      <c r="W269">
        <f>IF(Source!BI66=2,H262+H263+H265+H266, 0)</f>
        <v>0</v>
      </c>
      <c r="X269">
        <f>IF(Source!BI66=3,H262+H263+H265+H266, 0)</f>
        <v>0</v>
      </c>
      <c r="Y269">
        <f>IF(Source!BI66=4,H262+H263+H265+H266, 0)</f>
        <v>0</v>
      </c>
    </row>
    <row r="270" spans="1:25" ht="103.5" x14ac:dyDescent="0.2">
      <c r="A270" s="20" t="str">
        <f>Source!E68</f>
        <v>27</v>
      </c>
      <c r="B270" s="43" t="s">
        <v>1406</v>
      </c>
      <c r="C270" s="43" t="str">
        <f>Source!G68</f>
        <v>Укладка ячеистого резинового ковра (толщина 16 мм) (приямок)</v>
      </c>
      <c r="D270" s="32" t="str">
        <f>Source!H68</f>
        <v>100 м2</v>
      </c>
      <c r="E270" s="10">
        <f>Source!I68</f>
        <v>1.0800000000000001E-2</v>
      </c>
      <c r="F270" s="33">
        <f>Source!AL68+Source!AM68+Source!AO68</f>
        <v>448.96000000000004</v>
      </c>
      <c r="G270" s="34"/>
      <c r="H270" s="33"/>
      <c r="I270" s="34" t="str">
        <f>Source!BO68</f>
        <v>10-02-001-01</v>
      </c>
      <c r="J270" s="34"/>
      <c r="K270" s="33"/>
      <c r="R270">
        <f>ROUND((Source!FX68/100)*((ROUND(Source!AF68*Source!I68, 2)+ROUND(Source!AE68*Source!I68, 2))), 2)</f>
        <v>3.92</v>
      </c>
      <c r="S270">
        <f>Source!X68</f>
        <v>131.66</v>
      </c>
      <c r="T270">
        <f>ROUND((Source!FY68/100)*((ROUND(Source!AF68*Source!I68, 2)+ROUND(Source!AE68*Source!I68, 2))), 2)</f>
        <v>1.98</v>
      </c>
      <c r="U270">
        <f>Source!Y68</f>
        <v>67.069999999999993</v>
      </c>
    </row>
    <row r="271" spans="1:25" x14ac:dyDescent="0.2">
      <c r="C271" s="27" t="str">
        <f>"Объем: "&amp;Source!I68&amp;"=1,08/"&amp;"100"</f>
        <v>Объем: 0,0108=1,08/100</v>
      </c>
    </row>
    <row r="272" spans="1:25" ht="14.25" x14ac:dyDescent="0.2">
      <c r="A272" s="20"/>
      <c r="B272" s="43"/>
      <c r="C272" s="43" t="s">
        <v>1372</v>
      </c>
      <c r="D272" s="32"/>
      <c r="E272" s="10"/>
      <c r="F272" s="33">
        <f>Source!AO68</f>
        <v>177.55</v>
      </c>
      <c r="G272" s="34" t="str">
        <f>Source!DG68</f>
        <v>)*1,15)*1,35</v>
      </c>
      <c r="H272" s="33">
        <f>ROUND(Source!AF68*Source!I68, 2)</f>
        <v>2.98</v>
      </c>
      <c r="I272" s="34"/>
      <c r="J272" s="34">
        <f>IF(Source!BA68&lt;&gt; 0, Source!BA68, 1)</f>
        <v>33.65</v>
      </c>
      <c r="K272" s="33">
        <f>Source!S68</f>
        <v>100.18</v>
      </c>
      <c r="Q272">
        <f>H272</f>
        <v>2.98</v>
      </c>
    </row>
    <row r="273" spans="1:25" ht="14.25" x14ac:dyDescent="0.2">
      <c r="A273" s="20"/>
      <c r="B273" s="43"/>
      <c r="C273" s="43" t="s">
        <v>646</v>
      </c>
      <c r="D273" s="32"/>
      <c r="E273" s="10"/>
      <c r="F273" s="33">
        <f>Source!AM68</f>
        <v>271.41000000000003</v>
      </c>
      <c r="G273" s="34" t="str">
        <f>Source!DE68</f>
        <v>)*1,25)*1,35</v>
      </c>
      <c r="H273" s="33">
        <f>ROUND(Source!AD68*Source!I68, 2)</f>
        <v>4.95</v>
      </c>
      <c r="I273" s="34"/>
      <c r="J273" s="34">
        <f>IF(Source!BB68&lt;&gt; 0, Source!BB68, 1)</f>
        <v>10.46</v>
      </c>
      <c r="K273" s="33">
        <f>Source!Q68</f>
        <v>51.74</v>
      </c>
    </row>
    <row r="274" spans="1:25" ht="14.25" x14ac:dyDescent="0.2">
      <c r="A274" s="20"/>
      <c r="B274" s="43"/>
      <c r="C274" s="43" t="s">
        <v>1373</v>
      </c>
      <c r="D274" s="32"/>
      <c r="E274" s="10"/>
      <c r="F274" s="33">
        <f>Source!AN68</f>
        <v>39.19</v>
      </c>
      <c r="G274" s="34" t="str">
        <f>Source!DF68</f>
        <v>)*1,25)*1,35</v>
      </c>
      <c r="H274" s="35">
        <f>ROUND(Source!AE68*Source!I68, 2)</f>
        <v>0.71</v>
      </c>
      <c r="I274" s="34"/>
      <c r="J274" s="34">
        <f>IF(Source!BS68&lt;&gt; 0, Source!BS68, 1)</f>
        <v>33.65</v>
      </c>
      <c r="K274" s="35">
        <f>Source!R68</f>
        <v>24.03</v>
      </c>
      <c r="Q274">
        <f>H274</f>
        <v>0.71</v>
      </c>
    </row>
    <row r="275" spans="1:25" ht="14.25" x14ac:dyDescent="0.2">
      <c r="A275" s="20"/>
      <c r="B275" s="43"/>
      <c r="C275" s="43" t="s">
        <v>1374</v>
      </c>
      <c r="D275" s="32" t="s">
        <v>1375</v>
      </c>
      <c r="E275" s="10">
        <f>Source!BZ68</f>
        <v>118</v>
      </c>
      <c r="F275" s="64" t="str">
        <f>CONCATENATE(" )", Source!DL68, Source!FT68, "=", Source!FX68)</f>
        <v xml:space="preserve"> )*0,9=106,2</v>
      </c>
      <c r="G275" s="75"/>
      <c r="H275" s="33">
        <f>SUM(R270:R278)</f>
        <v>3.92</v>
      </c>
      <c r="I275" s="36"/>
      <c r="J275" s="31">
        <f>Source!AT68</f>
        <v>106</v>
      </c>
      <c r="K275" s="33">
        <f>SUM(S270:S278)</f>
        <v>131.66</v>
      </c>
    </row>
    <row r="276" spans="1:25" ht="14.25" x14ac:dyDescent="0.2">
      <c r="A276" s="20"/>
      <c r="B276" s="43"/>
      <c r="C276" s="43" t="s">
        <v>1376</v>
      </c>
      <c r="D276" s="32" t="s">
        <v>1375</v>
      </c>
      <c r="E276" s="10">
        <f>Source!CA68</f>
        <v>63</v>
      </c>
      <c r="F276" s="64" t="str">
        <f>CONCATENATE(" )", Source!DM68, Source!FU68, "=", Source!FY68)</f>
        <v xml:space="preserve"> )*0,85=53,55</v>
      </c>
      <c r="G276" s="75"/>
      <c r="H276" s="33">
        <f>SUM(T270:T278)</f>
        <v>1.98</v>
      </c>
      <c r="I276" s="36"/>
      <c r="J276" s="31">
        <f>Source!AU68</f>
        <v>54</v>
      </c>
      <c r="K276" s="33">
        <f>SUM(U270:U278)</f>
        <v>67.069999999999993</v>
      </c>
    </row>
    <row r="277" spans="1:25" ht="14.25" x14ac:dyDescent="0.2">
      <c r="A277" s="20"/>
      <c r="B277" s="43"/>
      <c r="C277" s="43" t="s">
        <v>1377</v>
      </c>
      <c r="D277" s="32" t="s">
        <v>1378</v>
      </c>
      <c r="E277" s="10">
        <f>Source!AQ68</f>
        <v>23.3</v>
      </c>
      <c r="F277" s="33"/>
      <c r="G277" s="34" t="str">
        <f>Source!DI68</f>
        <v>)*1,15)*1,35</v>
      </c>
      <c r="H277" s="33"/>
      <c r="I277" s="34"/>
      <c r="J277" s="34"/>
      <c r="K277" s="33"/>
    </row>
    <row r="278" spans="1:25" ht="42.75" x14ac:dyDescent="0.2">
      <c r="A278" s="44"/>
      <c r="B278" s="45" t="str">
        <f>Source!F69</f>
        <v>01.6.03.04-0122</v>
      </c>
      <c r="C278" s="45" t="str">
        <f>Source!G69</f>
        <v>Грязезащитный входной коврик в приямок. Материал: резина; высота 16 мм; цвет: черный; структура: ячеистая</v>
      </c>
      <c r="D278" s="37" t="str">
        <f>Source!H69</f>
        <v>м2</v>
      </c>
      <c r="E278" s="38">
        <f>Source!I69</f>
        <v>1.08</v>
      </c>
      <c r="F278" s="39">
        <f>Source!AL69+Source!AM69+Source!AO69</f>
        <v>169.81</v>
      </c>
      <c r="G278" s="41" t="s">
        <v>1385</v>
      </c>
      <c r="H278" s="39">
        <f>ROUND(Source!AC69*Source!I69, 2)+ROUND(Source!AD69*Source!I69, 2)+ROUND(Source!AF69*Source!I69, 2)</f>
        <v>183.39</v>
      </c>
      <c r="I278" s="40"/>
      <c r="J278" s="40">
        <f>IF(Source!BC69&lt;&gt; 0, Source!BC69, 1)</f>
        <v>6.5</v>
      </c>
      <c r="K278" s="39">
        <f>Source!O69</f>
        <v>1192.07</v>
      </c>
      <c r="R278">
        <f>ROUND((Source!FX69/100)*((ROUND(Source!AF69*Source!I69, 2)+ROUND(Source!AE69*Source!I69, 2))), 2)</f>
        <v>0</v>
      </c>
      <c r="S278">
        <f>Source!X69</f>
        <v>0</v>
      </c>
      <c r="T278">
        <f>ROUND((Source!FY69/100)*((ROUND(Source!AF69*Source!I69, 2)+ROUND(Source!AE69*Source!I69, 2))), 2)</f>
        <v>0</v>
      </c>
      <c r="U278">
        <f>Source!Y69</f>
        <v>0</v>
      </c>
      <c r="V278">
        <f>IF(Source!BI69&lt;=1,H278, 0)</f>
        <v>183.39</v>
      </c>
      <c r="W278">
        <f>IF(Source!BI69=2,H278, 0)</f>
        <v>0</v>
      </c>
      <c r="X278">
        <f>IF(Source!BI69=3,H278, 0)</f>
        <v>0</v>
      </c>
      <c r="Y278">
        <f>IF(Source!BI69=4,H278, 0)</f>
        <v>0</v>
      </c>
    </row>
    <row r="279" spans="1:25" ht="15" x14ac:dyDescent="0.25">
      <c r="G279" s="76">
        <f>H272+H273+H275+H276+SUM(H278:H278)</f>
        <v>197.22</v>
      </c>
      <c r="H279" s="76"/>
      <c r="J279" s="76">
        <f>K272+K273+K275+K276+SUM(K278:K278)</f>
        <v>1542.72</v>
      </c>
      <c r="K279" s="76"/>
      <c r="N279" s="28">
        <f>G279</f>
        <v>197.22</v>
      </c>
      <c r="O279" s="28">
        <f>J279</f>
        <v>1542.72</v>
      </c>
      <c r="P279" s="28" t="e">
        <f>#REF!</f>
        <v>#REF!</v>
      </c>
      <c r="V279">
        <f>IF(Source!BI68&lt;=1,H272+H273+H275+H276, 0)</f>
        <v>13.83</v>
      </c>
      <c r="W279">
        <f>IF(Source!BI68=2,H272+H273+H275+H276, 0)</f>
        <v>0</v>
      </c>
      <c r="X279">
        <f>IF(Source!BI68=3,H272+H273+H275+H276, 0)</f>
        <v>0</v>
      </c>
      <c r="Y279">
        <f>IF(Source!BI68=4,H272+H273+H275+H276, 0)</f>
        <v>0</v>
      </c>
    </row>
    <row r="280" spans="1:25" ht="103.5" x14ac:dyDescent="0.2">
      <c r="A280" s="20" t="str">
        <f>Source!E70</f>
        <v>28</v>
      </c>
      <c r="B280" s="43" t="s">
        <v>1407</v>
      </c>
      <c r="C280" s="43" t="str">
        <f>Source!G70</f>
        <v>Устройство покрытий из плит керамогранитных размером 30х30 см</v>
      </c>
      <c r="D280" s="32" t="str">
        <f>Source!H70</f>
        <v>100 м2</v>
      </c>
      <c r="E280" s="10">
        <f>Source!I70</f>
        <v>0.05</v>
      </c>
      <c r="F280" s="33">
        <f>Source!AL70+Source!AM70+Source!AO70</f>
        <v>17149.13</v>
      </c>
      <c r="G280" s="34"/>
      <c r="H280" s="33"/>
      <c r="I280" s="34" t="str">
        <f>Source!BO70</f>
        <v>11-01-047-01</v>
      </c>
      <c r="J280" s="34"/>
      <c r="K280" s="33"/>
      <c r="R280">
        <f>ROUND((Source!FX70/100)*((ROUND(Source!AF70*Source!I70, 2)+ROUND(Source!AE70*Source!I70, 2))), 2)</f>
        <v>234.77</v>
      </c>
      <c r="S280">
        <f>Source!X70</f>
        <v>7921.55</v>
      </c>
      <c r="T280">
        <f>ROUND((Source!FY70/100)*((ROUND(Source!AF70*Source!I70, 2)+ROUND(Source!AE70*Source!I70, 2))), 2)</f>
        <v>135.19999999999999</v>
      </c>
      <c r="U280">
        <f>Source!Y70</f>
        <v>4567.38</v>
      </c>
    </row>
    <row r="281" spans="1:25" x14ac:dyDescent="0.2">
      <c r="C281" s="27" t="str">
        <f>"Объем: "&amp;Source!I70&amp;"=5/"&amp;"100"</f>
        <v>Объем: 0,05=5/100</v>
      </c>
    </row>
    <row r="282" spans="1:25" ht="14.25" x14ac:dyDescent="0.2">
      <c r="A282" s="20"/>
      <c r="B282" s="43"/>
      <c r="C282" s="43" t="s">
        <v>1372</v>
      </c>
      <c r="D282" s="32"/>
      <c r="E282" s="10"/>
      <c r="F282" s="33">
        <f>Source!AO70</f>
        <v>2713.07</v>
      </c>
      <c r="G282" s="34" t="str">
        <f>Source!DG70</f>
        <v>)*1,15)*1,35</v>
      </c>
      <c r="H282" s="33">
        <f>ROUND(Source!AF70*Source!I70, 2)</f>
        <v>210.6</v>
      </c>
      <c r="I282" s="34"/>
      <c r="J282" s="34">
        <f>IF(Source!BA70&lt;&gt; 0, Source!BA70, 1)</f>
        <v>33.65</v>
      </c>
      <c r="K282" s="33">
        <f>Source!S70</f>
        <v>7086.76</v>
      </c>
      <c r="Q282">
        <f>H282</f>
        <v>210.6</v>
      </c>
    </row>
    <row r="283" spans="1:25" ht="14.25" x14ac:dyDescent="0.2">
      <c r="A283" s="20"/>
      <c r="B283" s="43"/>
      <c r="C283" s="43" t="s">
        <v>646</v>
      </c>
      <c r="D283" s="32"/>
      <c r="E283" s="10"/>
      <c r="F283" s="33">
        <f>Source!AM70</f>
        <v>24.42</v>
      </c>
      <c r="G283" s="34" t="str">
        <f>Source!DE70</f>
        <v>)*1,25)*1,35</v>
      </c>
      <c r="H283" s="33">
        <f>ROUND(Source!AD70*Source!I70, 2)</f>
        <v>2.06</v>
      </c>
      <c r="I283" s="34"/>
      <c r="J283" s="34">
        <f>IF(Source!BB70&lt;&gt; 0, Source!BB70, 1)</f>
        <v>26.35</v>
      </c>
      <c r="K283" s="33">
        <f>Source!Q70</f>
        <v>54.29</v>
      </c>
    </row>
    <row r="284" spans="1:25" ht="14.25" x14ac:dyDescent="0.2">
      <c r="A284" s="20"/>
      <c r="B284" s="43"/>
      <c r="C284" s="43" t="s">
        <v>1373</v>
      </c>
      <c r="D284" s="32"/>
      <c r="E284" s="10"/>
      <c r="F284" s="33">
        <f>Source!AN70</f>
        <v>17.53</v>
      </c>
      <c r="G284" s="34" t="str">
        <f>Source!DF70</f>
        <v>)*1,25)*1,35</v>
      </c>
      <c r="H284" s="35">
        <f>ROUND(Source!AE70*Source!I70, 2)</f>
        <v>1.48</v>
      </c>
      <c r="I284" s="34"/>
      <c r="J284" s="34">
        <f>IF(Source!BS70&lt;&gt; 0, Source!BS70, 1)</f>
        <v>33.65</v>
      </c>
      <c r="K284" s="35">
        <f>Source!R70</f>
        <v>49.77</v>
      </c>
      <c r="Q284">
        <f>H284</f>
        <v>1.48</v>
      </c>
    </row>
    <row r="285" spans="1:25" ht="14.25" x14ac:dyDescent="0.2">
      <c r="A285" s="20"/>
      <c r="B285" s="43"/>
      <c r="C285" s="43" t="s">
        <v>1400</v>
      </c>
      <c r="D285" s="32"/>
      <c r="E285" s="10"/>
      <c r="F285" s="33">
        <f>Source!AL70</f>
        <v>14411.64</v>
      </c>
      <c r="G285" s="34" t="str">
        <f>Source!DD70</f>
        <v/>
      </c>
      <c r="H285" s="33">
        <f>ROUND(Source!AC70*Source!I70, 2)</f>
        <v>720.58</v>
      </c>
      <c r="I285" s="34"/>
      <c r="J285" s="34">
        <f>IF(Source!BC70&lt;&gt; 0, Source!BC70, 1)</f>
        <v>4.07</v>
      </c>
      <c r="K285" s="33">
        <f>Source!P70</f>
        <v>2932.77</v>
      </c>
    </row>
    <row r="286" spans="1:25" ht="14.25" x14ac:dyDescent="0.2">
      <c r="A286" s="20"/>
      <c r="B286" s="43"/>
      <c r="C286" s="43" t="s">
        <v>1374</v>
      </c>
      <c r="D286" s="32" t="s">
        <v>1375</v>
      </c>
      <c r="E286" s="10">
        <f>Source!BZ70</f>
        <v>123</v>
      </c>
      <c r="F286" s="64" t="str">
        <f>CONCATENATE(" )", Source!DL70, Source!FT70, "=", Source!FX70)</f>
        <v xml:space="preserve"> )*0,9=110,7</v>
      </c>
      <c r="G286" s="75"/>
      <c r="H286" s="33">
        <f>SUM(R280:R293)</f>
        <v>234.77</v>
      </c>
      <c r="I286" s="36"/>
      <c r="J286" s="31">
        <f>Source!AT70</f>
        <v>111</v>
      </c>
      <c r="K286" s="33">
        <f>SUM(S280:S293)</f>
        <v>7921.55</v>
      </c>
    </row>
    <row r="287" spans="1:25" ht="14.25" x14ac:dyDescent="0.2">
      <c r="A287" s="20"/>
      <c r="B287" s="43"/>
      <c r="C287" s="43" t="s">
        <v>1376</v>
      </c>
      <c r="D287" s="32" t="s">
        <v>1375</v>
      </c>
      <c r="E287" s="10">
        <f>Source!CA70</f>
        <v>75</v>
      </c>
      <c r="F287" s="64" t="str">
        <f>CONCATENATE(" )", Source!DM70, Source!FU70, "=", Source!FY70)</f>
        <v xml:space="preserve"> )*0,85=63,75</v>
      </c>
      <c r="G287" s="75"/>
      <c r="H287" s="33">
        <f>SUM(T280:T293)</f>
        <v>135.19999999999999</v>
      </c>
      <c r="I287" s="36"/>
      <c r="J287" s="31">
        <f>Source!AU70</f>
        <v>64</v>
      </c>
      <c r="K287" s="33">
        <f>SUM(U280:U293)</f>
        <v>4567.38</v>
      </c>
    </row>
    <row r="288" spans="1:25" ht="14.25" x14ac:dyDescent="0.2">
      <c r="A288" s="20"/>
      <c r="B288" s="43"/>
      <c r="C288" s="43" t="s">
        <v>1377</v>
      </c>
      <c r="D288" s="32" t="s">
        <v>1378</v>
      </c>
      <c r="E288" s="10">
        <f>Source!AQ70</f>
        <v>310.42</v>
      </c>
      <c r="F288" s="33"/>
      <c r="G288" s="34" t="str">
        <f>Source!DI70</f>
        <v>)*1,15)*1,35</v>
      </c>
      <c r="H288" s="33"/>
      <c r="I288" s="34"/>
      <c r="J288" s="34"/>
      <c r="K288" s="33"/>
    </row>
    <row r="289" spans="1:25" ht="14.25" x14ac:dyDescent="0.2">
      <c r="A289" s="20"/>
      <c r="B289" s="43" t="str">
        <f>Source!F71</f>
        <v>11.2.04.05-0001</v>
      </c>
      <c r="C289" s="43" t="str">
        <f>Source!G71</f>
        <v>Рейки деревянные, сечение 8x18 мм</v>
      </c>
      <c r="D289" s="32" t="str">
        <f>Source!H71</f>
        <v>м3</v>
      </c>
      <c r="E289" s="10">
        <f>Source!I71</f>
        <v>5.0000000000000001E-4</v>
      </c>
      <c r="F289" s="33">
        <f>Source!AL71+Source!AM71+Source!AO71</f>
        <v>2500</v>
      </c>
      <c r="G289" s="42" t="s">
        <v>1385</v>
      </c>
      <c r="H289" s="33">
        <f>ROUND(Source!AC71*Source!I71, 2)+ROUND(Source!AD71*Source!I71, 2)+ROUND(Source!AF71*Source!I71, 2)</f>
        <v>1.25</v>
      </c>
      <c r="I289" s="34"/>
      <c r="J289" s="34">
        <f>IF(Source!BC71&lt;&gt; 0, Source!BC71, 1)</f>
        <v>5.64</v>
      </c>
      <c r="K289" s="33">
        <f>Source!O71</f>
        <v>7.05</v>
      </c>
      <c r="R289">
        <f>ROUND((Source!FX71/100)*((ROUND(Source!AF71*Source!I71, 2)+ROUND(Source!AE71*Source!I71, 2))), 2)</f>
        <v>0</v>
      </c>
      <c r="S289">
        <f>Source!X71</f>
        <v>0</v>
      </c>
      <c r="T289">
        <f>ROUND((Source!FY71/100)*((ROUND(Source!AF71*Source!I71, 2)+ROUND(Source!AE71*Source!I71, 2))), 2)</f>
        <v>0</v>
      </c>
      <c r="U289">
        <f>Source!Y71</f>
        <v>0</v>
      </c>
      <c r="V289">
        <f>IF(Source!BI71&lt;=1,H289, 0)</f>
        <v>1.25</v>
      </c>
      <c r="W289">
        <f>IF(Source!BI71=2,H289, 0)</f>
        <v>0</v>
      </c>
      <c r="X289">
        <f>IF(Source!BI71=3,H289, 0)</f>
        <v>0</v>
      </c>
      <c r="Y289">
        <f>IF(Source!BI71=4,H289, 0)</f>
        <v>0</v>
      </c>
    </row>
    <row r="290" spans="1:25" ht="28.5" x14ac:dyDescent="0.2">
      <c r="A290" s="20"/>
      <c r="B290" s="43" t="str">
        <f>Source!F72</f>
        <v>14.1.06.02-0001</v>
      </c>
      <c r="C290" s="43" t="str">
        <f>Source!G72</f>
        <v>Клей для облицовочных работ водостойкий (сухая смесь)</v>
      </c>
      <c r="D290" s="32" t="str">
        <f>Source!H72</f>
        <v>т</v>
      </c>
      <c r="E290" s="10">
        <f>Source!I72</f>
        <v>0.06</v>
      </c>
      <c r="F290" s="33">
        <f>Source!AL72+Source!AM72+Source!AO72</f>
        <v>4316</v>
      </c>
      <c r="G290" s="42" t="s">
        <v>1385</v>
      </c>
      <c r="H290" s="33">
        <f>ROUND(Source!AC72*Source!I72, 2)+ROUND(Source!AD72*Source!I72, 2)+ROUND(Source!AF72*Source!I72, 2)</f>
        <v>258.95999999999998</v>
      </c>
      <c r="I290" s="34"/>
      <c r="J290" s="34">
        <f>IF(Source!BC72&lt;&gt; 0, Source!BC72, 1)</f>
        <v>3.23</v>
      </c>
      <c r="K290" s="33">
        <f>Source!O72</f>
        <v>836.44</v>
      </c>
      <c r="R290">
        <f>ROUND((Source!FX72/100)*((ROUND(Source!AF72*Source!I72, 2)+ROUND(Source!AE72*Source!I72, 2))), 2)</f>
        <v>0</v>
      </c>
      <c r="S290">
        <f>Source!X72</f>
        <v>0</v>
      </c>
      <c r="T290">
        <f>ROUND((Source!FY72/100)*((ROUND(Source!AF72*Source!I72, 2)+ROUND(Source!AE72*Source!I72, 2))), 2)</f>
        <v>0</v>
      </c>
      <c r="U290">
        <f>Source!Y72</f>
        <v>0</v>
      </c>
      <c r="V290">
        <f>IF(Source!BI72&lt;=1,H290, 0)</f>
        <v>258.95999999999998</v>
      </c>
      <c r="W290">
        <f>IF(Source!BI72=2,H290, 0)</f>
        <v>0</v>
      </c>
      <c r="X290">
        <f>IF(Source!BI72=3,H290, 0)</f>
        <v>0</v>
      </c>
      <c r="Y290">
        <f>IF(Source!BI72=4,H290, 0)</f>
        <v>0</v>
      </c>
    </row>
    <row r="291" spans="1:25" ht="57" x14ac:dyDescent="0.2">
      <c r="A291" s="20"/>
      <c r="B291" s="43" t="str">
        <f>Source!F73</f>
        <v>14.4.01.02-0012</v>
      </c>
      <c r="C291" s="43" t="str">
        <f>Source!G73</f>
        <v>Грунтовки для бетона и штукатурки укрепляющие, глубокого проникновения, быстросохнущие, паропроницаемые</v>
      </c>
      <c r="D291" s="32" t="str">
        <f>Source!H73</f>
        <v>кг</v>
      </c>
      <c r="E291" s="10">
        <f>Source!I73</f>
        <v>0.5</v>
      </c>
      <c r="F291" s="33">
        <f>Source!AL73+Source!AM73+Source!AO73</f>
        <v>13.08</v>
      </c>
      <c r="G291" s="42" t="s">
        <v>1385</v>
      </c>
      <c r="H291" s="33">
        <f>ROUND(Source!AC73*Source!I73, 2)+ROUND(Source!AD73*Source!I73, 2)+ROUND(Source!AF73*Source!I73, 2)</f>
        <v>6.54</v>
      </c>
      <c r="I291" s="34"/>
      <c r="J291" s="34">
        <f>IF(Source!BC73&lt;&gt; 0, Source!BC73, 1)</f>
        <v>5.04</v>
      </c>
      <c r="K291" s="33">
        <f>Source!O73</f>
        <v>32.96</v>
      </c>
      <c r="R291">
        <f>ROUND((Source!FX73/100)*((ROUND(Source!AF73*Source!I73, 2)+ROUND(Source!AE73*Source!I73, 2))), 2)</f>
        <v>0</v>
      </c>
      <c r="S291">
        <f>Source!X73</f>
        <v>0</v>
      </c>
      <c r="T291">
        <f>ROUND((Source!FY73/100)*((ROUND(Source!AF73*Source!I73, 2)+ROUND(Source!AE73*Source!I73, 2))), 2)</f>
        <v>0</v>
      </c>
      <c r="U291">
        <f>Source!Y73</f>
        <v>0</v>
      </c>
      <c r="V291">
        <f>IF(Source!BI73&lt;=1,H291, 0)</f>
        <v>6.54</v>
      </c>
      <c r="W291">
        <f>IF(Source!BI73=2,H291, 0)</f>
        <v>0</v>
      </c>
      <c r="X291">
        <f>IF(Source!BI73=3,H291, 0)</f>
        <v>0</v>
      </c>
      <c r="Y291">
        <f>IF(Source!BI73=4,H291, 0)</f>
        <v>0</v>
      </c>
    </row>
    <row r="292" spans="1:25" ht="28.5" x14ac:dyDescent="0.2">
      <c r="A292" s="20"/>
      <c r="B292" s="43" t="str">
        <f>Source!F74</f>
        <v>06.2.05.03-0003</v>
      </c>
      <c r="C292" s="43" t="str">
        <f>Source!G74</f>
        <v>Плитка керамогранитная многоцветная неполированная, размер 400x400x9 мм</v>
      </c>
      <c r="D292" s="32" t="str">
        <f>Source!H74</f>
        <v>м2</v>
      </c>
      <c r="E292" s="10">
        <f>Source!I74</f>
        <v>-5.0999999999999996</v>
      </c>
      <c r="F292" s="33">
        <f>Source!AL74+Source!AM74+Source!AO74</f>
        <v>140.44999999999999</v>
      </c>
      <c r="G292" s="42" t="s">
        <v>1385</v>
      </c>
      <c r="H292" s="33">
        <f>ROUND(Source!AC74*Source!I74, 2)+ROUND(Source!AD74*Source!I74, 2)+ROUND(Source!AF74*Source!I74, 2)</f>
        <v>-716.3</v>
      </c>
      <c r="I292" s="34"/>
      <c r="J292" s="34">
        <f>IF(Source!BC74&lt;&gt; 0, Source!BC74, 1)</f>
        <v>4.05</v>
      </c>
      <c r="K292" s="33">
        <f>Source!O74</f>
        <v>-2900.99</v>
      </c>
      <c r="R292">
        <f>ROUND((Source!FX74/100)*((ROUND(Source!AF74*Source!I74, 2)+ROUND(Source!AE74*Source!I74, 2))), 2)</f>
        <v>0</v>
      </c>
      <c r="S292">
        <f>Source!X74</f>
        <v>0</v>
      </c>
      <c r="T292">
        <f>ROUND((Source!FY74/100)*((ROUND(Source!AF74*Source!I74, 2)+ROUND(Source!AE74*Source!I74, 2))), 2)</f>
        <v>0</v>
      </c>
      <c r="U292">
        <f>Source!Y74</f>
        <v>0</v>
      </c>
      <c r="V292">
        <f>IF(Source!BI74&lt;=1,H292, 0)</f>
        <v>-716.3</v>
      </c>
      <c r="W292">
        <f>IF(Source!BI74=2,H292, 0)</f>
        <v>0</v>
      </c>
      <c r="X292">
        <f>IF(Source!BI74=3,H292, 0)</f>
        <v>0</v>
      </c>
      <c r="Y292">
        <f>IF(Source!BI74=4,H292, 0)</f>
        <v>0</v>
      </c>
    </row>
    <row r="293" spans="1:25" ht="28.5" x14ac:dyDescent="0.2">
      <c r="A293" s="44"/>
      <c r="B293" s="45" t="str">
        <f>Source!F75</f>
        <v>06.2.05.03-0021</v>
      </c>
      <c r="C293" s="45" t="str">
        <f>Source!G75</f>
        <v>Керамический гранит неполированный, размером 300х300 мм</v>
      </c>
      <c r="D293" s="37" t="str">
        <f>Source!H75</f>
        <v>м2</v>
      </c>
      <c r="E293" s="38">
        <f>Source!I75</f>
        <v>5.0999999999999996</v>
      </c>
      <c r="F293" s="39">
        <f>Source!AL75+Source!AM75+Source!AO75</f>
        <v>56.77</v>
      </c>
      <c r="G293" s="41" t="s">
        <v>1385</v>
      </c>
      <c r="H293" s="39">
        <f>ROUND(Source!AC75*Source!I75, 2)+ROUND(Source!AD75*Source!I75, 2)+ROUND(Source!AF75*Source!I75, 2)</f>
        <v>289.52999999999997</v>
      </c>
      <c r="I293" s="40"/>
      <c r="J293" s="40">
        <f>IF(Source!BC75&lt;&gt; 0, Source!BC75, 1)</f>
        <v>6.28</v>
      </c>
      <c r="K293" s="39">
        <f>Source!O75</f>
        <v>1818.23</v>
      </c>
      <c r="R293">
        <f>ROUND((Source!FX75/100)*((ROUND(Source!AF75*Source!I75, 2)+ROUND(Source!AE75*Source!I75, 2))), 2)</f>
        <v>0</v>
      </c>
      <c r="S293">
        <f>Source!X75</f>
        <v>0</v>
      </c>
      <c r="T293">
        <f>ROUND((Source!FY75/100)*((ROUND(Source!AF75*Source!I75, 2)+ROUND(Source!AE75*Source!I75, 2))), 2)</f>
        <v>0</v>
      </c>
      <c r="U293">
        <f>Source!Y75</f>
        <v>0</v>
      </c>
      <c r="V293">
        <f>IF(Source!BI75&lt;=1,H293, 0)</f>
        <v>289.52999999999997</v>
      </c>
      <c r="W293">
        <f>IF(Source!BI75=2,H293, 0)</f>
        <v>0</v>
      </c>
      <c r="X293">
        <f>IF(Source!BI75=3,H293, 0)</f>
        <v>0</v>
      </c>
      <c r="Y293">
        <f>IF(Source!BI75=4,H293, 0)</f>
        <v>0</v>
      </c>
    </row>
    <row r="294" spans="1:25" ht="15" x14ac:dyDescent="0.25">
      <c r="G294" s="76">
        <f>H282+H283+H285+H286+H287+SUM(H289:H293)</f>
        <v>1143.19</v>
      </c>
      <c r="H294" s="76"/>
      <c r="J294" s="76">
        <f>K282+K283+K285+K286+K287+SUM(K289:K293)</f>
        <v>22356.44</v>
      </c>
      <c r="K294" s="76"/>
      <c r="N294" s="28">
        <f>G294</f>
        <v>1143.19</v>
      </c>
      <c r="O294" s="28">
        <f>J294</f>
        <v>22356.44</v>
      </c>
      <c r="P294" s="28" t="e">
        <f>#REF!</f>
        <v>#REF!</v>
      </c>
      <c r="V294">
        <f>IF(Source!BI70&lt;=1,H282+H283+H285+H286+H287, 0)</f>
        <v>1303.21</v>
      </c>
      <c r="W294">
        <f>IF(Source!BI70=2,H282+H283+H285+H286+H287, 0)</f>
        <v>0</v>
      </c>
      <c r="X294">
        <f>IF(Source!BI70=3,H282+H283+H285+H286+H287, 0)</f>
        <v>0</v>
      </c>
      <c r="Y294">
        <f>IF(Source!BI70=4,H282+H283+H285+H286+H287, 0)</f>
        <v>0</v>
      </c>
    </row>
    <row r="295" spans="1:25" ht="103.5" x14ac:dyDescent="0.2">
      <c r="A295" s="20" t="str">
        <f>Source!E76</f>
        <v>29</v>
      </c>
      <c r="B295" s="43" t="s">
        <v>1408</v>
      </c>
      <c r="C295" s="43" t="str">
        <f>Source!G76</f>
        <v>Устройство бетонной входной площадки с армированием</v>
      </c>
      <c r="D295" s="32" t="str">
        <f>Source!H76</f>
        <v>м3</v>
      </c>
      <c r="E295" s="10">
        <f>Source!I76</f>
        <v>1.8</v>
      </c>
      <c r="F295" s="33">
        <f>Source!AL76+Source!AM76+Source!AO76</f>
        <v>229.32</v>
      </c>
      <c r="G295" s="34"/>
      <c r="H295" s="33"/>
      <c r="I295" s="34" t="str">
        <f>Source!BO76</f>
        <v>06-01-004-06</v>
      </c>
      <c r="J295" s="34"/>
      <c r="K295" s="33"/>
      <c r="R295">
        <f>ROUND((Source!FX76/100)*((ROUND(Source!AF76*Source!I76, 2)+ROUND(Source!AE76*Source!I76, 2))), 2)</f>
        <v>113.33</v>
      </c>
      <c r="S295">
        <f>Source!X76</f>
        <v>3833.99</v>
      </c>
      <c r="T295">
        <f>ROUND((Source!FY76/100)*((ROUND(Source!AF76*Source!I76, 2)+ROUND(Source!AE76*Source!I76, 2))), 2)</f>
        <v>66.260000000000005</v>
      </c>
      <c r="U295">
        <f>Source!Y76</f>
        <v>2219.6799999999998</v>
      </c>
    </row>
    <row r="296" spans="1:25" ht="14.25" x14ac:dyDescent="0.2">
      <c r="A296" s="20"/>
      <c r="B296" s="43"/>
      <c r="C296" s="43" t="s">
        <v>1372</v>
      </c>
      <c r="D296" s="32"/>
      <c r="E296" s="10"/>
      <c r="F296" s="33">
        <f>Source!AO76</f>
        <v>41.37</v>
      </c>
      <c r="G296" s="34" t="str">
        <f>Source!DG76</f>
        <v>)*1,15)*1,35</v>
      </c>
      <c r="H296" s="33">
        <f>ROUND(Source!AF76*Source!I76, 2)</f>
        <v>115.61</v>
      </c>
      <c r="I296" s="34"/>
      <c r="J296" s="34">
        <f>IF(Source!BA76&lt;&gt; 0, Source!BA76, 1)</f>
        <v>33.65</v>
      </c>
      <c r="K296" s="33">
        <f>Source!S76</f>
        <v>3890.41</v>
      </c>
      <c r="Q296">
        <f>H296</f>
        <v>115.61</v>
      </c>
    </row>
    <row r="297" spans="1:25" ht="14.25" x14ac:dyDescent="0.2">
      <c r="A297" s="20"/>
      <c r="B297" s="43"/>
      <c r="C297" s="43" t="s">
        <v>646</v>
      </c>
      <c r="D297" s="32"/>
      <c r="E297" s="10"/>
      <c r="F297" s="33">
        <f>Source!AM76</f>
        <v>8.75</v>
      </c>
      <c r="G297" s="34" t="str">
        <f>Source!DE76</f>
        <v>)*1,25)*1,35</v>
      </c>
      <c r="H297" s="33">
        <f>ROUND(Source!AD76*Source!I76, 2)</f>
        <v>26.59</v>
      </c>
      <c r="I297" s="34"/>
      <c r="J297" s="34">
        <f>IF(Source!BB76&lt;&gt; 0, Source!BB76, 1)</f>
        <v>11.21</v>
      </c>
      <c r="K297" s="33">
        <f>Source!Q76</f>
        <v>298.02999999999997</v>
      </c>
    </row>
    <row r="298" spans="1:25" ht="14.25" x14ac:dyDescent="0.2">
      <c r="A298" s="20"/>
      <c r="B298" s="43"/>
      <c r="C298" s="43" t="s">
        <v>1373</v>
      </c>
      <c r="D298" s="32"/>
      <c r="E298" s="10"/>
      <c r="F298" s="33">
        <f>Source!AN76</f>
        <v>1.42</v>
      </c>
      <c r="G298" s="34" t="str">
        <f>Source!DF76</f>
        <v>)*1,25)*1,35</v>
      </c>
      <c r="H298" s="35">
        <f>ROUND(Source!AE76*Source!I76, 2)</f>
        <v>4.32</v>
      </c>
      <c r="I298" s="34"/>
      <c r="J298" s="34">
        <f>IF(Source!BS76&lt;&gt; 0, Source!BS76, 1)</f>
        <v>33.65</v>
      </c>
      <c r="K298" s="35">
        <f>Source!R76</f>
        <v>145.37</v>
      </c>
      <c r="Q298">
        <f>H298</f>
        <v>4.32</v>
      </c>
    </row>
    <row r="299" spans="1:25" ht="14.25" x14ac:dyDescent="0.2">
      <c r="A299" s="20"/>
      <c r="B299" s="43"/>
      <c r="C299" s="43" t="s">
        <v>1400</v>
      </c>
      <c r="D299" s="32"/>
      <c r="E299" s="10"/>
      <c r="F299" s="33">
        <f>Source!AL76</f>
        <v>179.2</v>
      </c>
      <c r="G299" s="34" t="str">
        <f>Source!DD76</f>
        <v/>
      </c>
      <c r="H299" s="33">
        <f>ROUND(Source!AC76*Source!I76, 2)</f>
        <v>322.56</v>
      </c>
      <c r="I299" s="34"/>
      <c r="J299" s="34">
        <f>IF(Source!BC76&lt;&gt; 0, Source!BC76, 1)</f>
        <v>5.01</v>
      </c>
      <c r="K299" s="33">
        <f>Source!P76</f>
        <v>1616.03</v>
      </c>
    </row>
    <row r="300" spans="1:25" ht="14.25" x14ac:dyDescent="0.2">
      <c r="A300" s="20"/>
      <c r="B300" s="43"/>
      <c r="C300" s="43" t="s">
        <v>1374</v>
      </c>
      <c r="D300" s="32" t="s">
        <v>1375</v>
      </c>
      <c r="E300" s="10">
        <f>Source!BZ76</f>
        <v>105</v>
      </c>
      <c r="F300" s="64" t="str">
        <f>CONCATENATE(" )", Source!DL76, Source!FT76, "=", Source!FX76)</f>
        <v xml:space="preserve"> )*0,9=94,5</v>
      </c>
      <c r="G300" s="75"/>
      <c r="H300" s="33">
        <f>SUM(R295:R305)</f>
        <v>113.33</v>
      </c>
      <c r="I300" s="36"/>
      <c r="J300" s="31">
        <f>Source!AT76</f>
        <v>95</v>
      </c>
      <c r="K300" s="33">
        <f>SUM(S295:S305)</f>
        <v>3833.99</v>
      </c>
    </row>
    <row r="301" spans="1:25" ht="14.25" x14ac:dyDescent="0.2">
      <c r="A301" s="20"/>
      <c r="B301" s="43"/>
      <c r="C301" s="43" t="s">
        <v>1376</v>
      </c>
      <c r="D301" s="32" t="s">
        <v>1375</v>
      </c>
      <c r="E301" s="10">
        <f>Source!CA76</f>
        <v>65</v>
      </c>
      <c r="F301" s="64" t="str">
        <f>CONCATENATE(" )", Source!DM76, Source!FU76, "=", Source!FY76)</f>
        <v xml:space="preserve"> )*0,85=55,25</v>
      </c>
      <c r="G301" s="75"/>
      <c r="H301" s="33">
        <f>SUM(T295:T305)</f>
        <v>66.260000000000005</v>
      </c>
      <c r="I301" s="36"/>
      <c r="J301" s="31">
        <f>Source!AU76</f>
        <v>55</v>
      </c>
      <c r="K301" s="33">
        <f>SUM(U295:U305)</f>
        <v>2219.6799999999998</v>
      </c>
    </row>
    <row r="302" spans="1:25" ht="14.25" x14ac:dyDescent="0.2">
      <c r="A302" s="20"/>
      <c r="B302" s="43"/>
      <c r="C302" s="43" t="s">
        <v>1377</v>
      </c>
      <c r="D302" s="32" t="s">
        <v>1378</v>
      </c>
      <c r="E302" s="10">
        <f>Source!AQ76</f>
        <v>4.8499999999999996</v>
      </c>
      <c r="F302" s="33"/>
      <c r="G302" s="34" t="str">
        <f>Source!DI76</f>
        <v>)*1,15)*1,35</v>
      </c>
      <c r="H302" s="33"/>
      <c r="I302" s="34"/>
      <c r="J302" s="34"/>
      <c r="K302" s="33"/>
    </row>
    <row r="303" spans="1:25" ht="42.75" x14ac:dyDescent="0.2">
      <c r="A303" s="20"/>
      <c r="B303" s="43" t="str">
        <f>Source!F77</f>
        <v>04.1.02.05-0029</v>
      </c>
      <c r="C303" s="43" t="str">
        <f>Source!G77</f>
        <v>Бетоны тяжелые на щебеночном или гравийном заполнителе, марка 350 (В25), крупность заполнителя 10 мм</v>
      </c>
      <c r="D303" s="32" t="str">
        <f>Source!H77</f>
        <v>м3</v>
      </c>
      <c r="E303" s="10">
        <f>Source!I77</f>
        <v>1.827</v>
      </c>
      <c r="F303" s="33">
        <f>Source!AL77+Source!AM77+Source!AO77</f>
        <v>748.04</v>
      </c>
      <c r="G303" s="42" t="s">
        <v>1385</v>
      </c>
      <c r="H303" s="33">
        <f>ROUND(Source!AC77*Source!I77, 2)+ROUND(Source!AD77*Source!I77, 2)+ROUND(Source!AF77*Source!I77, 2)</f>
        <v>1366.67</v>
      </c>
      <c r="I303" s="34"/>
      <c r="J303" s="34">
        <f>IF(Source!BC77&lt;&gt; 0, Source!BC77, 1)</f>
        <v>5.8</v>
      </c>
      <c r="K303" s="33">
        <f>Source!O77</f>
        <v>7926.68</v>
      </c>
      <c r="R303">
        <f>ROUND((Source!FX77/100)*((ROUND(Source!AF77*Source!I77, 2)+ROUND(Source!AE77*Source!I77, 2))), 2)</f>
        <v>0</v>
      </c>
      <c r="S303">
        <f>Source!X77</f>
        <v>0</v>
      </c>
      <c r="T303">
        <f>ROUND((Source!FY77/100)*((ROUND(Source!AF77*Source!I77, 2)+ROUND(Source!AE77*Source!I77, 2))), 2)</f>
        <v>0</v>
      </c>
      <c r="U303">
        <f>Source!Y77</f>
        <v>0</v>
      </c>
      <c r="V303">
        <f>IF(Source!BI77&lt;=1,H303, 0)</f>
        <v>1366.67</v>
      </c>
      <c r="W303">
        <f>IF(Source!BI77=2,H303, 0)</f>
        <v>0</v>
      </c>
      <c r="X303">
        <f>IF(Source!BI77=3,H303, 0)</f>
        <v>0</v>
      </c>
      <c r="Y303">
        <f>IF(Source!BI77=4,H303, 0)</f>
        <v>0</v>
      </c>
    </row>
    <row r="304" spans="1:25" ht="28.5" x14ac:dyDescent="0.2">
      <c r="A304" s="20"/>
      <c r="B304" s="43" t="str">
        <f>Source!F78</f>
        <v>01.7.16.03-0022</v>
      </c>
      <c r="C304" s="43" t="str">
        <f>Source!G78</f>
        <v>Опалубка деревянная: Щиты опалубки ЩД 1.20.6, размером 1200х600х172 мм</v>
      </c>
      <c r="D304" s="32" t="str">
        <f>Source!H78</f>
        <v>м2</v>
      </c>
      <c r="E304" s="10">
        <f>Source!I78</f>
        <v>5.1428570000000002</v>
      </c>
      <c r="F304" s="33">
        <f>Source!AL78+Source!AM78+Source!AO78</f>
        <v>181.93</v>
      </c>
      <c r="G304" s="42" t="s">
        <v>1385</v>
      </c>
      <c r="H304" s="33">
        <f>ROUND(Source!AC78*Source!I78, 2)+ROUND(Source!AD78*Source!I78, 2)+ROUND(Source!AF78*Source!I78, 2)</f>
        <v>935.64</v>
      </c>
      <c r="I304" s="34"/>
      <c r="J304" s="34">
        <f>IF(Source!BC78&lt;&gt; 0, Source!BC78, 1)</f>
        <v>3.92</v>
      </c>
      <c r="K304" s="33">
        <f>Source!O78</f>
        <v>3667.71</v>
      </c>
      <c r="R304">
        <f>ROUND((Source!FX78/100)*((ROUND(Source!AF78*Source!I78, 2)+ROUND(Source!AE78*Source!I78, 2))), 2)</f>
        <v>0</v>
      </c>
      <c r="S304">
        <f>Source!X78</f>
        <v>0</v>
      </c>
      <c r="T304">
        <f>ROUND((Source!FY78/100)*((ROUND(Source!AF78*Source!I78, 2)+ROUND(Source!AE78*Source!I78, 2))), 2)</f>
        <v>0</v>
      </c>
      <c r="U304">
        <f>Source!Y78</f>
        <v>0</v>
      </c>
      <c r="V304">
        <f>IF(Source!BI78&lt;=1,H304, 0)</f>
        <v>935.64</v>
      </c>
      <c r="W304">
        <f>IF(Source!BI78=2,H304, 0)</f>
        <v>0</v>
      </c>
      <c r="X304">
        <f>IF(Source!BI78=3,H304, 0)</f>
        <v>0</v>
      </c>
      <c r="Y304">
        <f>IF(Source!BI78=4,H304, 0)</f>
        <v>0</v>
      </c>
    </row>
    <row r="305" spans="1:25" ht="85.5" x14ac:dyDescent="0.2">
      <c r="A305" s="44"/>
      <c r="B305" s="45" t="str">
        <f>Source!F79</f>
        <v>08.4.03.03-0031</v>
      </c>
      <c r="C305" s="45" t="str">
        <f>Source!G79</f>
        <v>Сталь арматурная, горячекатаная, периодического профиля для изготовления арматурных изделий на строительной площадке, класс А-III (А-400), марки стали 35ГС, 25Г2С, диаметр 10 мм</v>
      </c>
      <c r="D305" s="37" t="str">
        <f>Source!H79</f>
        <v>т</v>
      </c>
      <c r="E305" s="38">
        <f>Source!I79</f>
        <v>0.22140000000000001</v>
      </c>
      <c r="F305" s="39">
        <f>Source!AL79+Source!AM79+Source!AO79</f>
        <v>8014.15</v>
      </c>
      <c r="G305" s="41" t="s">
        <v>1385</v>
      </c>
      <c r="H305" s="39">
        <f>ROUND(Source!AC79*Source!I79, 2)+ROUND(Source!AD79*Source!I79, 2)+ROUND(Source!AF79*Source!I79, 2)</f>
        <v>1774.33</v>
      </c>
      <c r="I305" s="40"/>
      <c r="J305" s="40">
        <f>IF(Source!BC79&lt;&gt; 0, Source!BC79, 1)</f>
        <v>5.68</v>
      </c>
      <c r="K305" s="39">
        <f>Source!O79</f>
        <v>10078.209999999999</v>
      </c>
      <c r="R305">
        <f>ROUND((Source!FX79/100)*((ROUND(Source!AF79*Source!I79, 2)+ROUND(Source!AE79*Source!I79, 2))), 2)</f>
        <v>0</v>
      </c>
      <c r="S305">
        <f>Source!X79</f>
        <v>0</v>
      </c>
      <c r="T305">
        <f>ROUND((Source!FY79/100)*((ROUND(Source!AF79*Source!I79, 2)+ROUND(Source!AE79*Source!I79, 2))), 2)</f>
        <v>0</v>
      </c>
      <c r="U305">
        <f>Source!Y79</f>
        <v>0</v>
      </c>
      <c r="V305">
        <f>IF(Source!BI79&lt;=1,H305, 0)</f>
        <v>1774.33</v>
      </c>
      <c r="W305">
        <f>IF(Source!BI79=2,H305, 0)</f>
        <v>0</v>
      </c>
      <c r="X305">
        <f>IF(Source!BI79=3,H305, 0)</f>
        <v>0</v>
      </c>
      <c r="Y305">
        <f>IF(Source!BI79=4,H305, 0)</f>
        <v>0</v>
      </c>
    </row>
    <row r="306" spans="1:25" ht="15" x14ac:dyDescent="0.25">
      <c r="G306" s="76">
        <f>H296+H297+H299+H300+H301+SUM(H303:H305)</f>
        <v>4720.99</v>
      </c>
      <c r="H306" s="76"/>
      <c r="J306" s="76">
        <f>K296+K297+K299+K300+K301+SUM(K303:K305)</f>
        <v>33530.74</v>
      </c>
      <c r="K306" s="76"/>
      <c r="N306" s="28">
        <f>G306</f>
        <v>4720.99</v>
      </c>
      <c r="O306" s="28">
        <f>J306</f>
        <v>33530.74</v>
      </c>
      <c r="P306" s="28" t="e">
        <f>#REF!</f>
        <v>#REF!</v>
      </c>
      <c r="V306">
        <f>IF(Source!BI76&lt;=1,H296+H297+H299+H300+H301, 0)</f>
        <v>644.35</v>
      </c>
      <c r="W306">
        <f>IF(Source!BI76=2,H296+H297+H299+H300+H301, 0)</f>
        <v>0</v>
      </c>
      <c r="X306">
        <f>IF(Source!BI76=3,H296+H297+H299+H300+H301, 0)</f>
        <v>0</v>
      </c>
      <c r="Y306">
        <f>IF(Source!BI76=4,H296+H297+H299+H300+H301, 0)</f>
        <v>0</v>
      </c>
    </row>
    <row r="307" spans="1:25" ht="103.5" x14ac:dyDescent="0.2">
      <c r="A307" s="20" t="str">
        <f>Source!E80</f>
        <v>30</v>
      </c>
      <c r="B307" s="43" t="s">
        <v>1409</v>
      </c>
      <c r="C307" s="43" t="str">
        <f>Source!G80</f>
        <v>Устройство бетонной подготовки 50 мм</v>
      </c>
      <c r="D307" s="32" t="str">
        <f>Source!H80</f>
        <v>100 м3</v>
      </c>
      <c r="E307" s="10">
        <f>Source!I80</f>
        <v>3.3800000000000002E-3</v>
      </c>
      <c r="F307" s="33">
        <f>Source!AL80+Source!AM80+Source!AO80</f>
        <v>3528.33</v>
      </c>
      <c r="G307" s="34"/>
      <c r="H307" s="33"/>
      <c r="I307" s="34" t="str">
        <f>Source!BO80</f>
        <v>06-01-001-01</v>
      </c>
      <c r="J307" s="34"/>
      <c r="K307" s="33"/>
      <c r="R307">
        <f>ROUND((Source!FX80/100)*((ROUND(Source!AF80*Source!I80, 2)+ROUND(Source!AE80*Source!I80, 2))), 2)</f>
        <v>6.54</v>
      </c>
      <c r="S307">
        <f>Source!X80</f>
        <v>221.2</v>
      </c>
      <c r="T307">
        <f>ROUND((Source!FY80/100)*((ROUND(Source!AF80*Source!I80, 2)+ROUND(Source!AE80*Source!I80, 2))), 2)</f>
        <v>3.82</v>
      </c>
      <c r="U307">
        <f>Source!Y80</f>
        <v>128.06</v>
      </c>
    </row>
    <row r="308" spans="1:25" x14ac:dyDescent="0.2">
      <c r="C308" s="27" t="str">
        <f>"Объем: "&amp;Source!I80&amp;"=0,338/"&amp;"100"</f>
        <v>Объем: 0,00338=0,338/100</v>
      </c>
    </row>
    <row r="309" spans="1:25" ht="14.25" x14ac:dyDescent="0.2">
      <c r="A309" s="20"/>
      <c r="B309" s="43"/>
      <c r="C309" s="43" t="s">
        <v>1372</v>
      </c>
      <c r="D309" s="32"/>
      <c r="E309" s="10"/>
      <c r="F309" s="33">
        <f>Source!AO80</f>
        <v>1053</v>
      </c>
      <c r="G309" s="34" t="str">
        <f>Source!DG80</f>
        <v>)*1,15)*1,35</v>
      </c>
      <c r="H309" s="33">
        <f>ROUND(Source!AF80*Source!I80, 2)</f>
        <v>5.53</v>
      </c>
      <c r="I309" s="34"/>
      <c r="J309" s="34">
        <f>IF(Source!BA80&lt;&gt; 0, Source!BA80, 1)</f>
        <v>33.65</v>
      </c>
      <c r="K309" s="33">
        <f>Source!S80</f>
        <v>185.93</v>
      </c>
      <c r="Q309">
        <f>H309</f>
        <v>5.53</v>
      </c>
    </row>
    <row r="310" spans="1:25" ht="14.25" x14ac:dyDescent="0.2">
      <c r="A310" s="20"/>
      <c r="B310" s="43"/>
      <c r="C310" s="43" t="s">
        <v>646</v>
      </c>
      <c r="D310" s="32"/>
      <c r="E310" s="10"/>
      <c r="F310" s="33">
        <f>Source!AM80</f>
        <v>1566.06</v>
      </c>
      <c r="G310" s="34" t="str">
        <f>Source!DE80</f>
        <v>)*1,25)*1,35</v>
      </c>
      <c r="H310" s="33">
        <f>ROUND(Source!AD80*Source!I80, 2)</f>
        <v>8.93</v>
      </c>
      <c r="I310" s="34"/>
      <c r="J310" s="34">
        <f>IF(Source!BB80&lt;&gt; 0, Source!BB80, 1)</f>
        <v>8.9</v>
      </c>
      <c r="K310" s="33">
        <f>Source!Q80</f>
        <v>79.5</v>
      </c>
    </row>
    <row r="311" spans="1:25" ht="14.25" x14ac:dyDescent="0.2">
      <c r="A311" s="20"/>
      <c r="B311" s="43"/>
      <c r="C311" s="43" t="s">
        <v>1373</v>
      </c>
      <c r="D311" s="32"/>
      <c r="E311" s="10"/>
      <c r="F311" s="33">
        <f>Source!AN80</f>
        <v>244.39</v>
      </c>
      <c r="G311" s="34" t="str">
        <f>Source!DF80</f>
        <v>)*1,25)*1,35</v>
      </c>
      <c r="H311" s="35">
        <f>ROUND(Source!AE80*Source!I80, 2)</f>
        <v>1.39</v>
      </c>
      <c r="I311" s="34"/>
      <c r="J311" s="34">
        <f>IF(Source!BS80&lt;&gt; 0, Source!BS80, 1)</f>
        <v>33.65</v>
      </c>
      <c r="K311" s="35">
        <f>Source!R80</f>
        <v>46.91</v>
      </c>
      <c r="Q311">
        <f>H311</f>
        <v>1.39</v>
      </c>
    </row>
    <row r="312" spans="1:25" ht="14.25" x14ac:dyDescent="0.2">
      <c r="A312" s="20"/>
      <c r="B312" s="43"/>
      <c r="C312" s="43" t="s">
        <v>1400</v>
      </c>
      <c r="D312" s="32"/>
      <c r="E312" s="10"/>
      <c r="F312" s="33">
        <f>Source!AL80</f>
        <v>909.27</v>
      </c>
      <c r="G312" s="34" t="str">
        <f>Source!DD80</f>
        <v/>
      </c>
      <c r="H312" s="33">
        <f>ROUND(Source!AC80*Source!I80, 2)</f>
        <v>3.07</v>
      </c>
      <c r="I312" s="34"/>
      <c r="J312" s="34">
        <f>IF(Source!BC80&lt;&gt; 0, Source!BC80, 1)</f>
        <v>3.53</v>
      </c>
      <c r="K312" s="33">
        <f>Source!P80</f>
        <v>10.85</v>
      </c>
    </row>
    <row r="313" spans="1:25" ht="14.25" x14ac:dyDescent="0.2">
      <c r="A313" s="20"/>
      <c r="B313" s="43"/>
      <c r="C313" s="43" t="s">
        <v>1374</v>
      </c>
      <c r="D313" s="32" t="s">
        <v>1375</v>
      </c>
      <c r="E313" s="10">
        <f>Source!BZ80</f>
        <v>105</v>
      </c>
      <c r="F313" s="64" t="str">
        <f>CONCATENATE(" )", Source!DL80, Source!FT80, "=", Source!FX80)</f>
        <v xml:space="preserve"> )*0,9=94,5</v>
      </c>
      <c r="G313" s="75"/>
      <c r="H313" s="33">
        <f>SUM(R307:R316)</f>
        <v>6.54</v>
      </c>
      <c r="I313" s="36"/>
      <c r="J313" s="31">
        <f>Source!AT80</f>
        <v>95</v>
      </c>
      <c r="K313" s="33">
        <f>SUM(S307:S316)</f>
        <v>221.2</v>
      </c>
    </row>
    <row r="314" spans="1:25" ht="14.25" x14ac:dyDescent="0.2">
      <c r="A314" s="20"/>
      <c r="B314" s="43"/>
      <c r="C314" s="43" t="s">
        <v>1376</v>
      </c>
      <c r="D314" s="32" t="s">
        <v>1375</v>
      </c>
      <c r="E314" s="10">
        <f>Source!CA80</f>
        <v>65</v>
      </c>
      <c r="F314" s="64" t="str">
        <f>CONCATENATE(" )", Source!DM80, Source!FU80, "=", Source!FY80)</f>
        <v xml:space="preserve"> )*0,85=55,25</v>
      </c>
      <c r="G314" s="75"/>
      <c r="H314" s="33">
        <f>SUM(T307:T316)</f>
        <v>3.82</v>
      </c>
      <c r="I314" s="36"/>
      <c r="J314" s="31">
        <f>Source!AU80</f>
        <v>55</v>
      </c>
      <c r="K314" s="33">
        <f>SUM(U307:U316)</f>
        <v>128.06</v>
      </c>
    </row>
    <row r="315" spans="1:25" ht="14.25" x14ac:dyDescent="0.2">
      <c r="A315" s="20"/>
      <c r="B315" s="43"/>
      <c r="C315" s="43" t="s">
        <v>1377</v>
      </c>
      <c r="D315" s="32" t="s">
        <v>1378</v>
      </c>
      <c r="E315" s="10">
        <f>Source!AQ80</f>
        <v>135</v>
      </c>
      <c r="F315" s="33"/>
      <c r="G315" s="34" t="str">
        <f>Source!DI80</f>
        <v>)*1,15)*1,35</v>
      </c>
      <c r="H315" s="33"/>
      <c r="I315" s="34"/>
      <c r="J315" s="34"/>
      <c r="K315" s="33"/>
    </row>
    <row r="316" spans="1:25" ht="42.75" x14ac:dyDescent="0.2">
      <c r="A316" s="44"/>
      <c r="B316" s="45" t="str">
        <f>Source!F81</f>
        <v>04.1.02.05-0029</v>
      </c>
      <c r="C316" s="45" t="str">
        <f>Source!G81</f>
        <v>Бетоны тяжелые на щебеночном или гравийном заполнителе, марка 350 (В25), крупность заполнителя 10 мм</v>
      </c>
      <c r="D316" s="37" t="str">
        <f>Source!H81</f>
        <v>м3</v>
      </c>
      <c r="E316" s="38">
        <f>Source!I81</f>
        <v>0.33800000000000002</v>
      </c>
      <c r="F316" s="39">
        <f>Source!AL81+Source!AM81+Source!AO81</f>
        <v>748.04</v>
      </c>
      <c r="G316" s="41" t="s">
        <v>1385</v>
      </c>
      <c r="H316" s="39">
        <f>ROUND(Source!AC81*Source!I81, 2)+ROUND(Source!AD81*Source!I81, 2)+ROUND(Source!AF81*Source!I81, 2)</f>
        <v>252.84</v>
      </c>
      <c r="I316" s="40"/>
      <c r="J316" s="40">
        <f>IF(Source!BC81&lt;&gt; 0, Source!BC81, 1)</f>
        <v>5.8</v>
      </c>
      <c r="K316" s="39">
        <f>Source!O81</f>
        <v>1466.46</v>
      </c>
      <c r="R316">
        <f>ROUND((Source!FX81/100)*((ROUND(Source!AF81*Source!I81, 2)+ROUND(Source!AE81*Source!I81, 2))), 2)</f>
        <v>0</v>
      </c>
      <c r="S316">
        <f>Source!X81</f>
        <v>0</v>
      </c>
      <c r="T316">
        <f>ROUND((Source!FY81/100)*((ROUND(Source!AF81*Source!I81, 2)+ROUND(Source!AE81*Source!I81, 2))), 2)</f>
        <v>0</v>
      </c>
      <c r="U316">
        <f>Source!Y81</f>
        <v>0</v>
      </c>
      <c r="V316">
        <f>IF(Source!BI81&lt;=1,H316, 0)</f>
        <v>252.84</v>
      </c>
      <c r="W316">
        <f>IF(Source!BI81=2,H316, 0)</f>
        <v>0</v>
      </c>
      <c r="X316">
        <f>IF(Source!BI81=3,H316, 0)</f>
        <v>0</v>
      </c>
      <c r="Y316">
        <f>IF(Source!BI81=4,H316, 0)</f>
        <v>0</v>
      </c>
    </row>
    <row r="317" spans="1:25" ht="15" x14ac:dyDescent="0.25">
      <c r="G317" s="76">
        <f>H309+H310+H312+H313+H314+SUM(H316:H316)</f>
        <v>280.73</v>
      </c>
      <c r="H317" s="76"/>
      <c r="J317" s="76">
        <f>K309+K310+K312+K313+K314+SUM(K316:K316)</f>
        <v>2092</v>
      </c>
      <c r="K317" s="76"/>
      <c r="N317" s="28">
        <f>G317</f>
        <v>280.73</v>
      </c>
      <c r="O317" s="28">
        <f>J317</f>
        <v>2092</v>
      </c>
      <c r="P317" s="28" t="e">
        <f>#REF!</f>
        <v>#REF!</v>
      </c>
      <c r="V317">
        <f>IF(Source!BI80&lt;=1,H309+H310+H312+H313+H314, 0)</f>
        <v>27.89</v>
      </c>
      <c r="W317">
        <f>IF(Source!BI80=2,H309+H310+H312+H313+H314, 0)</f>
        <v>0</v>
      </c>
      <c r="X317">
        <f>IF(Source!BI80=3,H309+H310+H312+H313+H314, 0)</f>
        <v>0</v>
      </c>
      <c r="Y317">
        <f>IF(Source!BI80=4,H309+H310+H312+H313+H314, 0)</f>
        <v>0</v>
      </c>
    </row>
    <row r="318" spans="1:25" ht="103.5" x14ac:dyDescent="0.2">
      <c r="A318" s="20" t="str">
        <f>Source!E82</f>
        <v>31</v>
      </c>
      <c r="B318" s="43" t="s">
        <v>1410</v>
      </c>
      <c r="C318" s="43" t="str">
        <f>Source!G82</f>
        <v>Устройство асфальтобетонных покрытий дорожек и тротуаров однослойных из литой мелкозернистой асфальтобетонной смеси толщиной 3 см</v>
      </c>
      <c r="D318" s="32" t="str">
        <f>Source!H82</f>
        <v>100 м2</v>
      </c>
      <c r="E318" s="10">
        <f>Source!I82</f>
        <v>6.7500000000000004E-2</v>
      </c>
      <c r="F318" s="33">
        <f>Source!AL82+Source!AM82+Source!AO82</f>
        <v>322.5</v>
      </c>
      <c r="G318" s="34"/>
      <c r="H318" s="33"/>
      <c r="I318" s="34" t="str">
        <f>Source!BO82</f>
        <v>27-07-001-01</v>
      </c>
      <c r="J318" s="34"/>
      <c r="K318" s="33"/>
      <c r="R318">
        <f>ROUND((Source!FX82/100)*((ROUND(Source!AF82*Source!I82, 2)+ROUND(Source!AE82*Source!I82, 2))), 2)</f>
        <v>18.03</v>
      </c>
      <c r="S318">
        <f>Source!X82</f>
        <v>607.76</v>
      </c>
      <c r="T318">
        <f>ROUND((Source!FY82/100)*((ROUND(Source!AF82*Source!I82, 2)+ROUND(Source!AE82*Source!I82, 2))), 2)</f>
        <v>11.39</v>
      </c>
      <c r="U318">
        <f>Source!Y82</f>
        <v>384.6</v>
      </c>
    </row>
    <row r="319" spans="1:25" x14ac:dyDescent="0.2">
      <c r="C319" s="27" t="str">
        <f>"Объем: "&amp;Source!I82&amp;"=6,75/"&amp;"100"</f>
        <v>Объем: 0,0675=6,75/100</v>
      </c>
    </row>
    <row r="320" spans="1:25" ht="14.25" x14ac:dyDescent="0.2">
      <c r="A320" s="20"/>
      <c r="B320" s="43"/>
      <c r="C320" s="43" t="s">
        <v>1372</v>
      </c>
      <c r="D320" s="32"/>
      <c r="E320" s="10"/>
      <c r="F320" s="33">
        <f>Source!AO82</f>
        <v>133.78</v>
      </c>
      <c r="G320" s="34" t="str">
        <f>Source!DG82</f>
        <v>)*1,15)*1,35</v>
      </c>
      <c r="H320" s="33">
        <f>ROUND(Source!AF82*Source!I82, 2)</f>
        <v>14.02</v>
      </c>
      <c r="I320" s="34"/>
      <c r="J320" s="34">
        <f>IF(Source!BA82&lt;&gt; 0, Source!BA82, 1)</f>
        <v>33.65</v>
      </c>
      <c r="K320" s="33">
        <f>Source!S82</f>
        <v>471.74</v>
      </c>
      <c r="Q320">
        <f>H320</f>
        <v>14.02</v>
      </c>
    </row>
    <row r="321" spans="1:25" ht="14.25" x14ac:dyDescent="0.2">
      <c r="A321" s="20"/>
      <c r="B321" s="43"/>
      <c r="C321" s="43" t="s">
        <v>646</v>
      </c>
      <c r="D321" s="32"/>
      <c r="E321" s="10"/>
      <c r="F321" s="33">
        <f>Source!AM82</f>
        <v>57.32</v>
      </c>
      <c r="G321" s="34" t="str">
        <f>Source!DE82</f>
        <v>)*1,25)*1,35</v>
      </c>
      <c r="H321" s="33">
        <f>ROUND(Source!AD82*Source!I82, 2)</f>
        <v>6.53</v>
      </c>
      <c r="I321" s="34"/>
      <c r="J321" s="34">
        <f>IF(Source!BB82&lt;&gt; 0, Source!BB82, 1)</f>
        <v>5.71</v>
      </c>
      <c r="K321" s="33">
        <f>Source!Q82</f>
        <v>37.28</v>
      </c>
    </row>
    <row r="322" spans="1:25" ht="14.25" x14ac:dyDescent="0.2">
      <c r="A322" s="20"/>
      <c r="B322" s="43"/>
      <c r="C322" s="43" t="s">
        <v>1373</v>
      </c>
      <c r="D322" s="32"/>
      <c r="E322" s="10"/>
      <c r="F322" s="33">
        <f>Source!AN82</f>
        <v>0.8</v>
      </c>
      <c r="G322" s="34" t="str">
        <f>Source!DF82</f>
        <v>)*1,25)*1,35</v>
      </c>
      <c r="H322" s="35">
        <f>ROUND(Source!AE82*Source!I82, 2)</f>
        <v>0.09</v>
      </c>
      <c r="I322" s="34"/>
      <c r="J322" s="34">
        <f>IF(Source!BS82&lt;&gt; 0, Source!BS82, 1)</f>
        <v>33.65</v>
      </c>
      <c r="K322" s="35">
        <f>Source!R82</f>
        <v>3.07</v>
      </c>
      <c r="Q322">
        <f>H322</f>
        <v>0.09</v>
      </c>
    </row>
    <row r="323" spans="1:25" ht="14.25" x14ac:dyDescent="0.2">
      <c r="A323" s="20"/>
      <c r="B323" s="43"/>
      <c r="C323" s="43" t="s">
        <v>1400</v>
      </c>
      <c r="D323" s="32"/>
      <c r="E323" s="10"/>
      <c r="F323" s="33">
        <f>Source!AL82</f>
        <v>131.4</v>
      </c>
      <c r="G323" s="34" t="str">
        <f>Source!DD82</f>
        <v/>
      </c>
      <c r="H323" s="33">
        <f>ROUND(Source!AC82*Source!I82, 2)</f>
        <v>8.8699999999999992</v>
      </c>
      <c r="I323" s="34"/>
      <c r="J323" s="34">
        <f>IF(Source!BC82&lt;&gt; 0, Source!BC82, 1)</f>
        <v>10.26</v>
      </c>
      <c r="K323" s="33">
        <f>Source!P82</f>
        <v>91</v>
      </c>
    </row>
    <row r="324" spans="1:25" ht="14.25" x14ac:dyDescent="0.2">
      <c r="A324" s="20"/>
      <c r="B324" s="43"/>
      <c r="C324" s="43" t="s">
        <v>1374</v>
      </c>
      <c r="D324" s="32" t="s">
        <v>1375</v>
      </c>
      <c r="E324" s="10">
        <f>Source!BZ82</f>
        <v>142</v>
      </c>
      <c r="F324" s="64" t="str">
        <f>CONCATENATE(" )", Source!DL82, Source!FT82, "=", Source!FX82)</f>
        <v xml:space="preserve"> )*0,9=127,8</v>
      </c>
      <c r="G324" s="75"/>
      <c r="H324" s="33">
        <f>SUM(R318:R327)</f>
        <v>18.03</v>
      </c>
      <c r="I324" s="36"/>
      <c r="J324" s="31">
        <f>Source!AT82</f>
        <v>128</v>
      </c>
      <c r="K324" s="33">
        <f>SUM(S318:S327)</f>
        <v>607.76</v>
      </c>
    </row>
    <row r="325" spans="1:25" ht="14.25" x14ac:dyDescent="0.2">
      <c r="A325" s="20"/>
      <c r="B325" s="43"/>
      <c r="C325" s="43" t="s">
        <v>1376</v>
      </c>
      <c r="D325" s="32" t="s">
        <v>1375</v>
      </c>
      <c r="E325" s="10">
        <f>Source!CA82</f>
        <v>95</v>
      </c>
      <c r="F325" s="64" t="str">
        <f>CONCATENATE(" )", Source!DM82, Source!FU82, "=", Source!FY82)</f>
        <v xml:space="preserve"> )*0,85=80,75</v>
      </c>
      <c r="G325" s="75"/>
      <c r="H325" s="33">
        <f>SUM(T318:T327)</f>
        <v>11.39</v>
      </c>
      <c r="I325" s="36"/>
      <c r="J325" s="31">
        <f>Source!AU82</f>
        <v>81</v>
      </c>
      <c r="K325" s="33">
        <f>SUM(U318:U327)</f>
        <v>384.6</v>
      </c>
    </row>
    <row r="326" spans="1:25" ht="14.25" x14ac:dyDescent="0.2">
      <c r="A326" s="20"/>
      <c r="B326" s="43"/>
      <c r="C326" s="43" t="s">
        <v>1377</v>
      </c>
      <c r="D326" s="32" t="s">
        <v>1378</v>
      </c>
      <c r="E326" s="10">
        <f>Source!AQ82</f>
        <v>14.4</v>
      </c>
      <c r="F326" s="33"/>
      <c r="G326" s="34" t="str">
        <f>Source!DI82</f>
        <v>)*1,15)*1,35</v>
      </c>
      <c r="H326" s="33"/>
      <c r="I326" s="34"/>
      <c r="J326" s="34"/>
      <c r="K326" s="33"/>
    </row>
    <row r="327" spans="1:25" ht="28.5" x14ac:dyDescent="0.2">
      <c r="A327" s="44"/>
      <c r="B327" s="45" t="str">
        <f>Source!F83</f>
        <v>04.2.01.01-0052</v>
      </c>
      <c r="C327" s="45" t="str">
        <f>Source!G83</f>
        <v>Смеси асфальтобетонные плотные мелкозернистые тип В марка III</v>
      </c>
      <c r="D327" s="37" t="str">
        <f>Source!H83</f>
        <v>т</v>
      </c>
      <c r="E327" s="38">
        <f>Source!I83</f>
        <v>0.50624999999999998</v>
      </c>
      <c r="F327" s="39">
        <f>Source!AL83+Source!AM83+Source!AO83</f>
        <v>480.09</v>
      </c>
      <c r="G327" s="41" t="s">
        <v>1385</v>
      </c>
      <c r="H327" s="39">
        <f>ROUND(Source!AC83*Source!I83, 2)+ROUND(Source!AD83*Source!I83, 2)+ROUND(Source!AF83*Source!I83, 2)</f>
        <v>243.05</v>
      </c>
      <c r="I327" s="40"/>
      <c r="J327" s="40">
        <f>IF(Source!BC83&lt;&gt; 0, Source!BC83, 1)</f>
        <v>5.93</v>
      </c>
      <c r="K327" s="39">
        <f>Source!O83</f>
        <v>1441.26</v>
      </c>
      <c r="R327">
        <f>ROUND((Source!FX83/100)*((ROUND(Source!AF83*Source!I83, 2)+ROUND(Source!AE83*Source!I83, 2))), 2)</f>
        <v>0</v>
      </c>
      <c r="S327">
        <f>Source!X83</f>
        <v>0</v>
      </c>
      <c r="T327">
        <f>ROUND((Source!FY83/100)*((ROUND(Source!AF83*Source!I83, 2)+ROUND(Source!AE83*Source!I83, 2))), 2)</f>
        <v>0</v>
      </c>
      <c r="U327">
        <f>Source!Y83</f>
        <v>0</v>
      </c>
      <c r="V327">
        <f>IF(Source!BI83&lt;=1,H327, 0)</f>
        <v>243.05</v>
      </c>
      <c r="W327">
        <f>IF(Source!BI83=2,H327, 0)</f>
        <v>0</v>
      </c>
      <c r="X327">
        <f>IF(Source!BI83=3,H327, 0)</f>
        <v>0</v>
      </c>
      <c r="Y327">
        <f>IF(Source!BI83=4,H327, 0)</f>
        <v>0</v>
      </c>
    </row>
    <row r="328" spans="1:25" ht="15" x14ac:dyDescent="0.25">
      <c r="G328" s="76">
        <f>H320+H321+H323+H324+H325+SUM(H327:H327)</f>
        <v>301.89</v>
      </c>
      <c r="H328" s="76"/>
      <c r="J328" s="76">
        <f>K320+K321+K323+K324+K325+SUM(K327:K327)</f>
        <v>3033.6400000000003</v>
      </c>
      <c r="K328" s="76"/>
      <c r="N328" s="28">
        <f>G328</f>
        <v>301.89</v>
      </c>
      <c r="O328" s="28">
        <f>J328</f>
        <v>3033.6400000000003</v>
      </c>
      <c r="P328" s="28" t="e">
        <f>#REF!</f>
        <v>#REF!</v>
      </c>
      <c r="V328">
        <f>IF(Source!BI82&lt;=1,H320+H321+H323+H324+H325, 0)</f>
        <v>58.84</v>
      </c>
      <c r="W328">
        <f>IF(Source!BI82=2,H320+H321+H323+H324+H325, 0)</f>
        <v>0</v>
      </c>
      <c r="X328">
        <f>IF(Source!BI82=3,H320+H321+H323+H324+H325, 0)</f>
        <v>0</v>
      </c>
      <c r="Y328">
        <f>IF(Source!BI82=4,H320+H321+H323+H324+H325, 0)</f>
        <v>0</v>
      </c>
    </row>
    <row r="329" spans="1:25" ht="103.5" x14ac:dyDescent="0.2">
      <c r="A329" s="20" t="str">
        <f>Source!E84</f>
        <v>32</v>
      </c>
      <c r="B329" s="43" t="s">
        <v>1411</v>
      </c>
      <c r="C329" s="43" t="str">
        <f>Source!G84</f>
        <v>На каждые 0,5 см изменения толщины покрытия добавлять к расценке 27-07-001-01 (до 5 см)</v>
      </c>
      <c r="D329" s="32" t="str">
        <f>Source!H84</f>
        <v>100 м2</v>
      </c>
      <c r="E329" s="10">
        <f>Source!I84</f>
        <v>6.7500000000000004E-2</v>
      </c>
      <c r="F329" s="33">
        <f>Source!AL84+Source!AM84+Source!AO84</f>
        <v>29.950000000000003</v>
      </c>
      <c r="G329" s="34"/>
      <c r="H329" s="33"/>
      <c r="I329" s="34" t="str">
        <f>Source!BO84</f>
        <v>27-07-001-02</v>
      </c>
      <c r="J329" s="34"/>
      <c r="K329" s="33"/>
      <c r="R329">
        <f>ROUND((Source!FX84/100)*((ROUND(Source!AF84*Source!I84, 2)+ROUND(Source!AE84*Source!I84, 2))), 2)</f>
        <v>11.54</v>
      </c>
      <c r="S329">
        <f>Source!X84</f>
        <v>389.09</v>
      </c>
      <c r="T329">
        <f>ROUND((Source!FY84/100)*((ROUND(Source!AF84*Source!I84, 2)+ROUND(Source!AE84*Source!I84, 2))), 2)</f>
        <v>7.29</v>
      </c>
      <c r="U329">
        <f>Source!Y84</f>
        <v>246.22</v>
      </c>
    </row>
    <row r="330" spans="1:25" x14ac:dyDescent="0.2">
      <c r="C330" s="27" t="str">
        <f>"Объем: "&amp;Source!I84&amp;"=6,75/"&amp;"100"</f>
        <v>Объем: 0,0675=6,75/100</v>
      </c>
    </row>
    <row r="331" spans="1:25" ht="28.5" x14ac:dyDescent="0.2">
      <c r="A331" s="20"/>
      <c r="B331" s="43"/>
      <c r="C331" s="43" t="s">
        <v>1372</v>
      </c>
      <c r="D331" s="32"/>
      <c r="E331" s="10"/>
      <c r="F331" s="33">
        <f>Source!AO84</f>
        <v>21.55</v>
      </c>
      <c r="G331" s="34" t="str">
        <f>Source!DG84</f>
        <v>)*1,15)*1,35*4</v>
      </c>
      <c r="H331" s="33">
        <f>ROUND(Source!AF84*Source!I84, 2)</f>
        <v>9.0299999999999994</v>
      </c>
      <c r="I331" s="34"/>
      <c r="J331" s="34">
        <f>IF(Source!BA84&lt;&gt; 0, Source!BA84, 1)</f>
        <v>33.65</v>
      </c>
      <c r="K331" s="33">
        <f>Source!S84</f>
        <v>303.98</v>
      </c>
      <c r="Q331">
        <f>H331</f>
        <v>9.0299999999999994</v>
      </c>
    </row>
    <row r="332" spans="1:25" ht="28.5" x14ac:dyDescent="0.2">
      <c r="A332" s="20"/>
      <c r="B332" s="43"/>
      <c r="C332" s="43" t="s">
        <v>646</v>
      </c>
      <c r="D332" s="32"/>
      <c r="E332" s="10"/>
      <c r="F332" s="33">
        <f>Source!AM84</f>
        <v>8.4</v>
      </c>
      <c r="G332" s="34" t="str">
        <f>Source!DE84</f>
        <v>)*1,25)*1,35*4</v>
      </c>
      <c r="H332" s="33">
        <f>ROUND(Source!AD84*Source!I84, 2)</f>
        <v>3.83</v>
      </c>
      <c r="I332" s="34"/>
      <c r="J332" s="34">
        <f>IF(Source!BB84&lt;&gt; 0, Source!BB84, 1)</f>
        <v>5.29</v>
      </c>
      <c r="K332" s="33">
        <f>Source!Q84</f>
        <v>20.25</v>
      </c>
    </row>
    <row r="333" spans="1:25" ht="14.25" x14ac:dyDescent="0.2">
      <c r="A333" s="20"/>
      <c r="B333" s="43"/>
      <c r="C333" s="43" t="s">
        <v>1374</v>
      </c>
      <c r="D333" s="32" t="s">
        <v>1375</v>
      </c>
      <c r="E333" s="10">
        <f>Source!BZ84</f>
        <v>142</v>
      </c>
      <c r="F333" s="64" t="str">
        <f>CONCATENATE(" )", Source!DL84, Source!FT84, "=", Source!FX84)</f>
        <v xml:space="preserve"> )*0,9=127,8</v>
      </c>
      <c r="G333" s="75"/>
      <c r="H333" s="33">
        <f>SUM(R329:R336)</f>
        <v>11.54</v>
      </c>
      <c r="I333" s="36"/>
      <c r="J333" s="31">
        <f>Source!AT84</f>
        <v>128</v>
      </c>
      <c r="K333" s="33">
        <f>SUM(S329:S336)</f>
        <v>389.09</v>
      </c>
    </row>
    <row r="334" spans="1:25" ht="14.25" x14ac:dyDescent="0.2">
      <c r="A334" s="20"/>
      <c r="B334" s="43"/>
      <c r="C334" s="43" t="s">
        <v>1376</v>
      </c>
      <c r="D334" s="32" t="s">
        <v>1375</v>
      </c>
      <c r="E334" s="10">
        <f>Source!CA84</f>
        <v>95</v>
      </c>
      <c r="F334" s="64" t="str">
        <f>CONCATENATE(" )", Source!DM84, Source!FU84, "=", Source!FY84)</f>
        <v xml:space="preserve"> )*0,85=80,75</v>
      </c>
      <c r="G334" s="75"/>
      <c r="H334" s="33">
        <f>SUM(T329:T336)</f>
        <v>7.29</v>
      </c>
      <c r="I334" s="36"/>
      <c r="J334" s="31">
        <f>Source!AU84</f>
        <v>81</v>
      </c>
      <c r="K334" s="33">
        <f>SUM(U329:U336)</f>
        <v>246.22</v>
      </c>
    </row>
    <row r="335" spans="1:25" ht="28.5" x14ac:dyDescent="0.2">
      <c r="A335" s="20"/>
      <c r="B335" s="43"/>
      <c r="C335" s="43" t="s">
        <v>1377</v>
      </c>
      <c r="D335" s="32" t="s">
        <v>1378</v>
      </c>
      <c r="E335" s="10">
        <f>Source!AQ84</f>
        <v>2.3199999999999998</v>
      </c>
      <c r="F335" s="33"/>
      <c r="G335" s="34" t="str">
        <f>Source!DI84</f>
        <v>)*1,15)*1,35*4</v>
      </c>
      <c r="H335" s="33"/>
      <c r="I335" s="34"/>
      <c r="J335" s="34"/>
      <c r="K335" s="33"/>
    </row>
    <row r="336" spans="1:25" ht="28.5" x14ac:dyDescent="0.2">
      <c r="A336" s="44"/>
      <c r="B336" s="45" t="str">
        <f>Source!F85</f>
        <v>04.2.01.01-0052</v>
      </c>
      <c r="C336" s="45" t="str">
        <f>Source!G85</f>
        <v>Смеси асфальтобетонные плотные мелкозернистые тип В марка III</v>
      </c>
      <c r="D336" s="37" t="str">
        <f>Source!H85</f>
        <v>т</v>
      </c>
      <c r="E336" s="38">
        <f>Source!I85</f>
        <v>0.33750000000000002</v>
      </c>
      <c r="F336" s="39">
        <f>Source!AL85+Source!AM85+Source!AO85</f>
        <v>480.09</v>
      </c>
      <c r="G336" s="41" t="s">
        <v>1385</v>
      </c>
      <c r="H336" s="39">
        <f>ROUND(Source!AC85*Source!I85, 2)+ROUND(Source!AD85*Source!I85, 2)+ROUND(Source!AF85*Source!I85, 2)</f>
        <v>162.03</v>
      </c>
      <c r="I336" s="40"/>
      <c r="J336" s="40">
        <f>IF(Source!BC85&lt;&gt; 0, Source!BC85, 1)</f>
        <v>5.93</v>
      </c>
      <c r="K336" s="39">
        <f>Source!O85</f>
        <v>960.84</v>
      </c>
      <c r="R336">
        <f>ROUND((Source!FX85/100)*((ROUND(Source!AF85*Source!I85, 2)+ROUND(Source!AE85*Source!I85, 2))), 2)</f>
        <v>0</v>
      </c>
      <c r="S336">
        <f>Source!X85</f>
        <v>0</v>
      </c>
      <c r="T336">
        <f>ROUND((Source!FY85/100)*((ROUND(Source!AF85*Source!I85, 2)+ROUND(Source!AE85*Source!I85, 2))), 2)</f>
        <v>0</v>
      </c>
      <c r="U336">
        <f>Source!Y85</f>
        <v>0</v>
      </c>
      <c r="V336">
        <f>IF(Source!BI85&lt;=1,H336, 0)</f>
        <v>162.03</v>
      </c>
      <c r="W336">
        <f>IF(Source!BI85=2,H336, 0)</f>
        <v>0</v>
      </c>
      <c r="X336">
        <f>IF(Source!BI85=3,H336, 0)</f>
        <v>0</v>
      </c>
      <c r="Y336">
        <f>IF(Source!BI85=4,H336, 0)</f>
        <v>0</v>
      </c>
    </row>
    <row r="337" spans="1:25" ht="15" x14ac:dyDescent="0.25">
      <c r="G337" s="76">
        <f>H331+H332+H333+H334+SUM(H336:H336)</f>
        <v>193.72</v>
      </c>
      <c r="H337" s="76"/>
      <c r="J337" s="76">
        <f>K331+K332+K333+K334+SUM(K336:K336)</f>
        <v>1920.38</v>
      </c>
      <c r="K337" s="76"/>
      <c r="N337" s="28">
        <f>G337</f>
        <v>193.72</v>
      </c>
      <c r="O337" s="28">
        <f>J337</f>
        <v>1920.38</v>
      </c>
      <c r="P337" s="28" t="e">
        <f>#REF!</f>
        <v>#REF!</v>
      </c>
      <c r="V337">
        <f>IF(Source!BI84&lt;=1,H331+H332+H333+H334, 0)</f>
        <v>31.689999999999998</v>
      </c>
      <c r="W337">
        <f>IF(Source!BI84=2,H331+H332+H333+H334, 0)</f>
        <v>0</v>
      </c>
      <c r="X337">
        <f>IF(Source!BI84=3,H331+H332+H333+H334, 0)</f>
        <v>0</v>
      </c>
      <c r="Y337">
        <f>IF(Source!BI84=4,H331+H332+H333+H334, 0)</f>
        <v>0</v>
      </c>
    </row>
    <row r="338" spans="1:25" ht="103.5" x14ac:dyDescent="0.2">
      <c r="A338" s="20" t="str">
        <f>Source!E86</f>
        <v>33</v>
      </c>
      <c r="B338" s="43" t="s">
        <v>1412</v>
      </c>
      <c r="C338" s="43" t="str">
        <f>Source!G86</f>
        <v>Укладка тактильной бетонной плитки 300х300х30 мм (желтая, конусообразный риф)</v>
      </c>
      <c r="D338" s="32" t="str">
        <f>Source!H86</f>
        <v>100 м2</v>
      </c>
      <c r="E338" s="10">
        <f>Source!I86</f>
        <v>2.1000000000000001E-2</v>
      </c>
      <c r="F338" s="33">
        <f>Source!AL86+Source!AM86+Source!AO86</f>
        <v>813.05</v>
      </c>
      <c r="G338" s="34"/>
      <c r="H338" s="33"/>
      <c r="I338" s="34" t="str">
        <f>Source!BO86</f>
        <v>27-07-003-01</v>
      </c>
      <c r="J338" s="34"/>
      <c r="K338" s="33"/>
      <c r="R338">
        <f>ROUND((Source!FX86/100)*((ROUND(Source!AF86*Source!I86, 2)+ROUND(Source!AE86*Source!I86, 2))), 2)</f>
        <v>16.09</v>
      </c>
      <c r="S338">
        <f>Source!X86</f>
        <v>542.32000000000005</v>
      </c>
      <c r="T338">
        <f>ROUND((Source!FY86/100)*((ROUND(Source!AF86*Source!I86, 2)+ROUND(Source!AE86*Source!I86, 2))), 2)</f>
        <v>10.17</v>
      </c>
      <c r="U338">
        <f>Source!Y86</f>
        <v>343.19</v>
      </c>
    </row>
    <row r="339" spans="1:25" x14ac:dyDescent="0.2">
      <c r="C339" s="27" t="str">
        <f>"Объем: "&amp;Source!I86&amp;"=2,1/"&amp;"100"</f>
        <v>Объем: 0,021=2,1/100</v>
      </c>
    </row>
    <row r="340" spans="1:25" ht="14.25" x14ac:dyDescent="0.2">
      <c r="A340" s="20"/>
      <c r="B340" s="43"/>
      <c r="C340" s="43" t="s">
        <v>1372</v>
      </c>
      <c r="D340" s="32"/>
      <c r="E340" s="10"/>
      <c r="F340" s="33">
        <f>Source!AO86</f>
        <v>374.19</v>
      </c>
      <c r="G340" s="34" t="str">
        <f>Source!DG86</f>
        <v>)*1,15)*1,35</v>
      </c>
      <c r="H340" s="33">
        <f>ROUND(Source!AF86*Source!I86, 2)</f>
        <v>12.2</v>
      </c>
      <c r="I340" s="34"/>
      <c r="J340" s="34">
        <f>IF(Source!BA86&lt;&gt; 0, Source!BA86, 1)</f>
        <v>33.65</v>
      </c>
      <c r="K340" s="33">
        <f>Source!S86</f>
        <v>410.51</v>
      </c>
      <c r="Q340">
        <f>H340</f>
        <v>12.2</v>
      </c>
    </row>
    <row r="341" spans="1:25" ht="14.25" x14ac:dyDescent="0.2">
      <c r="A341" s="20"/>
      <c r="B341" s="43"/>
      <c r="C341" s="43" t="s">
        <v>646</v>
      </c>
      <c r="D341" s="32"/>
      <c r="E341" s="10"/>
      <c r="F341" s="33">
        <f>Source!AM86</f>
        <v>414.56</v>
      </c>
      <c r="G341" s="34" t="str">
        <f>Source!DE86</f>
        <v>)*1,25)*1,35</v>
      </c>
      <c r="H341" s="33">
        <f>ROUND(Source!AD86*Source!I86, 2)</f>
        <v>14.69</v>
      </c>
      <c r="I341" s="34"/>
      <c r="J341" s="34">
        <f>IF(Source!BB86&lt;&gt; 0, Source!BB86, 1)</f>
        <v>6.24</v>
      </c>
      <c r="K341" s="33">
        <f>Source!Q86</f>
        <v>91.67</v>
      </c>
    </row>
    <row r="342" spans="1:25" ht="14.25" x14ac:dyDescent="0.2">
      <c r="A342" s="20"/>
      <c r="B342" s="43"/>
      <c r="C342" s="43" t="s">
        <v>1373</v>
      </c>
      <c r="D342" s="32"/>
      <c r="E342" s="10"/>
      <c r="F342" s="33">
        <f>Source!AN86</f>
        <v>11.05</v>
      </c>
      <c r="G342" s="34" t="str">
        <f>Source!DF86</f>
        <v>)*1,25)*1,35</v>
      </c>
      <c r="H342" s="35">
        <f>ROUND(Source!AE86*Source!I86, 2)</f>
        <v>0.39</v>
      </c>
      <c r="I342" s="34"/>
      <c r="J342" s="34">
        <f>IF(Source!BS86&lt;&gt; 0, Source!BS86, 1)</f>
        <v>33.65</v>
      </c>
      <c r="K342" s="35">
        <f>Source!R86</f>
        <v>13.18</v>
      </c>
      <c r="Q342">
        <f>H342</f>
        <v>0.39</v>
      </c>
    </row>
    <row r="343" spans="1:25" ht="14.25" x14ac:dyDescent="0.2">
      <c r="A343" s="20"/>
      <c r="B343" s="43"/>
      <c r="C343" s="43" t="s">
        <v>1400</v>
      </c>
      <c r="D343" s="32"/>
      <c r="E343" s="10"/>
      <c r="F343" s="33">
        <f>Source!AL86</f>
        <v>24.3</v>
      </c>
      <c r="G343" s="34" t="str">
        <f>Source!DD86</f>
        <v/>
      </c>
      <c r="H343" s="33">
        <f>ROUND(Source!AC86*Source!I86, 2)</f>
        <v>0.51</v>
      </c>
      <c r="I343" s="34"/>
      <c r="J343" s="34">
        <f>IF(Source!BC86&lt;&gt; 0, Source!BC86, 1)</f>
        <v>5.83</v>
      </c>
      <c r="K343" s="33">
        <f>Source!P86</f>
        <v>2.98</v>
      </c>
    </row>
    <row r="344" spans="1:25" ht="14.25" x14ac:dyDescent="0.2">
      <c r="A344" s="20"/>
      <c r="B344" s="43"/>
      <c r="C344" s="43" t="s">
        <v>1374</v>
      </c>
      <c r="D344" s="32" t="s">
        <v>1375</v>
      </c>
      <c r="E344" s="10">
        <f>Source!BZ86</f>
        <v>142</v>
      </c>
      <c r="F344" s="64" t="str">
        <f>CONCATENATE(" )", Source!DL86, Source!FT86, "=", Source!FX86)</f>
        <v xml:space="preserve"> )*0,9=127,8</v>
      </c>
      <c r="G344" s="75"/>
      <c r="H344" s="33">
        <f>SUM(R338:R347)</f>
        <v>16.09</v>
      </c>
      <c r="I344" s="36"/>
      <c r="J344" s="31">
        <f>Source!AT86</f>
        <v>128</v>
      </c>
      <c r="K344" s="33">
        <f>SUM(S338:S347)</f>
        <v>542.32000000000005</v>
      </c>
    </row>
    <row r="345" spans="1:25" ht="14.25" x14ac:dyDescent="0.2">
      <c r="A345" s="20"/>
      <c r="B345" s="43"/>
      <c r="C345" s="43" t="s">
        <v>1376</v>
      </c>
      <c r="D345" s="32" t="s">
        <v>1375</v>
      </c>
      <c r="E345" s="10">
        <f>Source!CA86</f>
        <v>95</v>
      </c>
      <c r="F345" s="64" t="str">
        <f>CONCATENATE(" )", Source!DM86, Source!FU86, "=", Source!FY86)</f>
        <v xml:space="preserve"> )*0,85=80,75</v>
      </c>
      <c r="G345" s="75"/>
      <c r="H345" s="33">
        <f>SUM(T338:T347)</f>
        <v>10.17</v>
      </c>
      <c r="I345" s="36"/>
      <c r="J345" s="31">
        <f>Source!AU86</f>
        <v>81</v>
      </c>
      <c r="K345" s="33">
        <f>SUM(U338:U347)</f>
        <v>343.19</v>
      </c>
    </row>
    <row r="346" spans="1:25" ht="14.25" x14ac:dyDescent="0.2">
      <c r="A346" s="20"/>
      <c r="B346" s="43"/>
      <c r="C346" s="43" t="s">
        <v>1377</v>
      </c>
      <c r="D346" s="32" t="s">
        <v>1378</v>
      </c>
      <c r="E346" s="10">
        <f>Source!AQ86</f>
        <v>45.8</v>
      </c>
      <c r="F346" s="33"/>
      <c r="G346" s="34" t="str">
        <f>Source!DI86</f>
        <v>)*1,15)*1,35</v>
      </c>
      <c r="H346" s="33"/>
      <c r="I346" s="34"/>
      <c r="J346" s="34"/>
      <c r="K346" s="33"/>
    </row>
    <row r="347" spans="1:25" ht="71.25" x14ac:dyDescent="0.2">
      <c r="A347" s="44"/>
      <c r="B347" s="45" t="str">
        <f>Source!F87</f>
        <v>05.2.04.07-6006</v>
      </c>
      <c r="C347" s="45" t="str">
        <f>Source!G87</f>
        <v>Плитка бетонная тротуарная тактильная из высокопрочного бетона с конусообразными, продольными, диагональными, квадратными рифами 300х300х30 мм, цвет желтый</v>
      </c>
      <c r="D347" s="37" t="str">
        <f>Source!H87</f>
        <v>м2</v>
      </c>
      <c r="E347" s="38">
        <f>Source!I87</f>
        <v>2.1</v>
      </c>
      <c r="F347" s="39">
        <f>Source!AL87+Source!AM87+Source!AO87</f>
        <v>178.46</v>
      </c>
      <c r="G347" s="41" t="s">
        <v>1385</v>
      </c>
      <c r="H347" s="39">
        <f>ROUND(Source!AC87*Source!I87, 2)+ROUND(Source!AD87*Source!I87, 2)+ROUND(Source!AF87*Source!I87, 2)</f>
        <v>374.77</v>
      </c>
      <c r="I347" s="40"/>
      <c r="J347" s="40">
        <f>IF(Source!BC87&lt;&gt; 0, Source!BC87, 1)</f>
        <v>6.16</v>
      </c>
      <c r="K347" s="39">
        <f>Source!O87</f>
        <v>2308.56</v>
      </c>
      <c r="R347">
        <f>ROUND((Source!FX87/100)*((ROUND(Source!AF87*Source!I87, 2)+ROUND(Source!AE87*Source!I87, 2))), 2)</f>
        <v>0</v>
      </c>
      <c r="S347">
        <f>Source!X87</f>
        <v>0</v>
      </c>
      <c r="T347">
        <f>ROUND((Source!FY87/100)*((ROUND(Source!AF87*Source!I87, 2)+ROUND(Source!AE87*Source!I87, 2))), 2)</f>
        <v>0</v>
      </c>
      <c r="U347">
        <f>Source!Y87</f>
        <v>0</v>
      </c>
      <c r="V347">
        <f>IF(Source!BI87&lt;=1,H347, 0)</f>
        <v>374.77</v>
      </c>
      <c r="W347">
        <f>IF(Source!BI87=2,H347, 0)</f>
        <v>0</v>
      </c>
      <c r="X347">
        <f>IF(Source!BI87=3,H347, 0)</f>
        <v>0</v>
      </c>
      <c r="Y347">
        <f>IF(Source!BI87=4,H347, 0)</f>
        <v>0</v>
      </c>
    </row>
    <row r="348" spans="1:25" ht="15" x14ac:dyDescent="0.25">
      <c r="G348" s="76">
        <f>H340+H341+H343+H344+H345+SUM(H347:H347)</f>
        <v>428.43</v>
      </c>
      <c r="H348" s="76"/>
      <c r="J348" s="76">
        <f>K340+K341+K343+K344+K345+SUM(K347:K347)</f>
        <v>3699.23</v>
      </c>
      <c r="K348" s="76"/>
      <c r="N348" s="28">
        <f>G348</f>
        <v>428.43</v>
      </c>
      <c r="O348" s="28">
        <f>J348</f>
        <v>3699.23</v>
      </c>
      <c r="P348" s="28" t="e">
        <f>#REF!</f>
        <v>#REF!</v>
      </c>
      <c r="V348">
        <f>IF(Source!BI86&lt;=1,H340+H341+H343+H344+H345, 0)</f>
        <v>53.660000000000004</v>
      </c>
      <c r="W348">
        <f>IF(Source!BI86=2,H340+H341+H343+H344+H345, 0)</f>
        <v>0</v>
      </c>
      <c r="X348">
        <f>IF(Source!BI86=3,H340+H341+H343+H344+H345, 0)</f>
        <v>0</v>
      </c>
      <c r="Y348">
        <f>IF(Source!BI86=4,H340+H341+H343+H344+H345, 0)</f>
        <v>0</v>
      </c>
    </row>
    <row r="349" spans="1:25" ht="103.5" x14ac:dyDescent="0.2">
      <c r="A349" s="20" t="str">
        <f>Source!E88</f>
        <v>34</v>
      </c>
      <c r="B349" s="43" t="s">
        <v>1412</v>
      </c>
      <c r="C349" s="43" t="str">
        <f>Source!G88</f>
        <v>Укладка тротуарной плитки 300х300х30мм</v>
      </c>
      <c r="D349" s="32" t="str">
        <f>Source!H88</f>
        <v>100 м2</v>
      </c>
      <c r="E349" s="10">
        <f>Source!I88</f>
        <v>6.8000000000000005E-2</v>
      </c>
      <c r="F349" s="33">
        <f>Source!AL88+Source!AM88+Source!AO88</f>
        <v>813.05</v>
      </c>
      <c r="G349" s="34"/>
      <c r="H349" s="33"/>
      <c r="I349" s="34" t="str">
        <f>Source!BO88</f>
        <v>27-07-003-01</v>
      </c>
      <c r="J349" s="34"/>
      <c r="K349" s="33"/>
      <c r="R349">
        <f>ROUND((Source!FX88/100)*((ROUND(Source!AF88*Source!I88, 2)+ROUND(Source!AE88*Source!I88, 2))), 2)</f>
        <v>52.1</v>
      </c>
      <c r="S349">
        <f>Source!X88</f>
        <v>1756.1</v>
      </c>
      <c r="T349">
        <f>ROUND((Source!FY88/100)*((ROUND(Source!AF88*Source!I88, 2)+ROUND(Source!AE88*Source!I88, 2))), 2)</f>
        <v>32.92</v>
      </c>
      <c r="U349">
        <f>Source!Y88</f>
        <v>1111.28</v>
      </c>
    </row>
    <row r="350" spans="1:25" x14ac:dyDescent="0.2">
      <c r="C350" s="27" t="str">
        <f>"Объем: "&amp;Source!I88&amp;"=6,8/"&amp;"100"</f>
        <v>Объем: 0,068=6,8/100</v>
      </c>
    </row>
    <row r="351" spans="1:25" ht="14.25" x14ac:dyDescent="0.2">
      <c r="A351" s="20"/>
      <c r="B351" s="43"/>
      <c r="C351" s="43" t="s">
        <v>1372</v>
      </c>
      <c r="D351" s="32"/>
      <c r="E351" s="10"/>
      <c r="F351" s="33">
        <f>Source!AO88</f>
        <v>374.19</v>
      </c>
      <c r="G351" s="34" t="str">
        <f>Source!DG88</f>
        <v>)*1,15)*1,35</v>
      </c>
      <c r="H351" s="33">
        <f>ROUND(Source!AF88*Source!I88, 2)</f>
        <v>39.5</v>
      </c>
      <c r="I351" s="34"/>
      <c r="J351" s="34">
        <f>IF(Source!BA88&lt;&gt; 0, Source!BA88, 1)</f>
        <v>33.65</v>
      </c>
      <c r="K351" s="33">
        <f>Source!S88</f>
        <v>1329.28</v>
      </c>
      <c r="Q351">
        <f>H351</f>
        <v>39.5</v>
      </c>
    </row>
    <row r="352" spans="1:25" ht="14.25" x14ac:dyDescent="0.2">
      <c r="A352" s="20"/>
      <c r="B352" s="43"/>
      <c r="C352" s="43" t="s">
        <v>646</v>
      </c>
      <c r="D352" s="32"/>
      <c r="E352" s="10"/>
      <c r="F352" s="33">
        <f>Source!AM88</f>
        <v>414.56</v>
      </c>
      <c r="G352" s="34" t="str">
        <f>Source!DE88</f>
        <v>)*1,25)*1,35</v>
      </c>
      <c r="H352" s="33">
        <f>ROUND(Source!AD88*Source!I88, 2)</f>
        <v>47.57</v>
      </c>
      <c r="I352" s="34"/>
      <c r="J352" s="34">
        <f>IF(Source!BB88&lt;&gt; 0, Source!BB88, 1)</f>
        <v>6.24</v>
      </c>
      <c r="K352" s="33">
        <f>Source!Q88</f>
        <v>296.83999999999997</v>
      </c>
    </row>
    <row r="353" spans="1:25" ht="14.25" x14ac:dyDescent="0.2">
      <c r="A353" s="20"/>
      <c r="B353" s="43"/>
      <c r="C353" s="43" t="s">
        <v>1373</v>
      </c>
      <c r="D353" s="32"/>
      <c r="E353" s="10"/>
      <c r="F353" s="33">
        <f>Source!AN88</f>
        <v>11.05</v>
      </c>
      <c r="G353" s="34" t="str">
        <f>Source!DF88</f>
        <v>)*1,25)*1,35</v>
      </c>
      <c r="H353" s="35">
        <f>ROUND(Source!AE88*Source!I88, 2)</f>
        <v>1.27</v>
      </c>
      <c r="I353" s="34"/>
      <c r="J353" s="34">
        <f>IF(Source!BS88&lt;&gt; 0, Source!BS88, 1)</f>
        <v>33.65</v>
      </c>
      <c r="K353" s="35">
        <f>Source!R88</f>
        <v>42.67</v>
      </c>
      <c r="Q353">
        <f>H353</f>
        <v>1.27</v>
      </c>
    </row>
    <row r="354" spans="1:25" ht="14.25" x14ac:dyDescent="0.2">
      <c r="A354" s="20"/>
      <c r="B354" s="43"/>
      <c r="C354" s="43" t="s">
        <v>1400</v>
      </c>
      <c r="D354" s="32"/>
      <c r="E354" s="10"/>
      <c r="F354" s="33">
        <f>Source!AL88</f>
        <v>24.3</v>
      </c>
      <c r="G354" s="34" t="str">
        <f>Source!DD88</f>
        <v/>
      </c>
      <c r="H354" s="33">
        <f>ROUND(Source!AC88*Source!I88, 2)</f>
        <v>1.65</v>
      </c>
      <c r="I354" s="34"/>
      <c r="J354" s="34">
        <f>IF(Source!BC88&lt;&gt; 0, Source!BC88, 1)</f>
        <v>5.83</v>
      </c>
      <c r="K354" s="33">
        <f>Source!P88</f>
        <v>9.6300000000000008</v>
      </c>
    </row>
    <row r="355" spans="1:25" ht="14.25" x14ac:dyDescent="0.2">
      <c r="A355" s="20"/>
      <c r="B355" s="43"/>
      <c r="C355" s="43" t="s">
        <v>1374</v>
      </c>
      <c r="D355" s="32" t="s">
        <v>1375</v>
      </c>
      <c r="E355" s="10">
        <f>Source!BZ88</f>
        <v>142</v>
      </c>
      <c r="F355" s="64" t="str">
        <f>CONCATENATE(" )", Source!DL88, Source!FT88, "=", Source!FX88)</f>
        <v xml:space="preserve"> )*0,9=127,8</v>
      </c>
      <c r="G355" s="75"/>
      <c r="H355" s="33">
        <f>SUM(R349:R358)</f>
        <v>52.1</v>
      </c>
      <c r="I355" s="36"/>
      <c r="J355" s="31">
        <f>Source!AT88</f>
        <v>128</v>
      </c>
      <c r="K355" s="33">
        <f>SUM(S349:S358)</f>
        <v>1756.1</v>
      </c>
    </row>
    <row r="356" spans="1:25" ht="14.25" x14ac:dyDescent="0.2">
      <c r="A356" s="20"/>
      <c r="B356" s="43"/>
      <c r="C356" s="43" t="s">
        <v>1376</v>
      </c>
      <c r="D356" s="32" t="s">
        <v>1375</v>
      </c>
      <c r="E356" s="10">
        <f>Source!CA88</f>
        <v>95</v>
      </c>
      <c r="F356" s="64" t="str">
        <f>CONCATENATE(" )", Source!DM88, Source!FU88, "=", Source!FY88)</f>
        <v xml:space="preserve"> )*0,85=80,75</v>
      </c>
      <c r="G356" s="75"/>
      <c r="H356" s="33">
        <f>SUM(T349:T358)</f>
        <v>32.92</v>
      </c>
      <c r="I356" s="36"/>
      <c r="J356" s="31">
        <f>Source!AU88</f>
        <v>81</v>
      </c>
      <c r="K356" s="33">
        <f>SUM(U349:U358)</f>
        <v>1111.28</v>
      </c>
    </row>
    <row r="357" spans="1:25" ht="14.25" x14ac:dyDescent="0.2">
      <c r="A357" s="20"/>
      <c r="B357" s="43"/>
      <c r="C357" s="43" t="s">
        <v>1377</v>
      </c>
      <c r="D357" s="32" t="s">
        <v>1378</v>
      </c>
      <c r="E357" s="10">
        <f>Source!AQ88</f>
        <v>45.8</v>
      </c>
      <c r="F357" s="33"/>
      <c r="G357" s="34" t="str">
        <f>Source!DI88</f>
        <v>)*1,15)*1,35</v>
      </c>
      <c r="H357" s="33"/>
      <c r="I357" s="34"/>
      <c r="J357" s="34"/>
      <c r="K357" s="33"/>
    </row>
    <row r="358" spans="1:25" ht="42.75" x14ac:dyDescent="0.2">
      <c r="A358" s="44"/>
      <c r="B358" s="45" t="str">
        <f>Source!F89</f>
        <v>05.2.04.04-0004</v>
      </c>
      <c r="C358" s="45" t="str">
        <f>Source!G89</f>
        <v>Плиты бетонные и цементно-песчаные для тротуаров, полов и облицовки, марки 300, толщиной 35 мм</v>
      </c>
      <c r="D358" s="37" t="str">
        <f>Source!H89</f>
        <v>м2</v>
      </c>
      <c r="E358" s="38">
        <f>Source!I89</f>
        <v>6.8</v>
      </c>
      <c r="F358" s="39">
        <f>Source!AL89+Source!AM89+Source!AO89</f>
        <v>70.099999999999994</v>
      </c>
      <c r="G358" s="41" t="s">
        <v>1385</v>
      </c>
      <c r="H358" s="39">
        <f>ROUND(Source!AC89*Source!I89, 2)+ROUND(Source!AD89*Source!I89, 2)+ROUND(Source!AF89*Source!I89, 2)</f>
        <v>476.68</v>
      </c>
      <c r="I358" s="40"/>
      <c r="J358" s="40">
        <f>IF(Source!BC89&lt;&gt; 0, Source!BC89, 1)</f>
        <v>4.62</v>
      </c>
      <c r="K358" s="39">
        <f>Source!O89</f>
        <v>2202.2600000000002</v>
      </c>
      <c r="R358">
        <f>ROUND((Source!FX89/100)*((ROUND(Source!AF89*Source!I89, 2)+ROUND(Source!AE89*Source!I89, 2))), 2)</f>
        <v>0</v>
      </c>
      <c r="S358">
        <f>Source!X89</f>
        <v>0</v>
      </c>
      <c r="T358">
        <f>ROUND((Source!FY89/100)*((ROUND(Source!AF89*Source!I89, 2)+ROUND(Source!AE89*Source!I89, 2))), 2)</f>
        <v>0</v>
      </c>
      <c r="U358">
        <f>Source!Y89</f>
        <v>0</v>
      </c>
      <c r="V358">
        <f>IF(Source!BI89&lt;=1,H358, 0)</f>
        <v>476.68</v>
      </c>
      <c r="W358">
        <f>IF(Source!BI89=2,H358, 0)</f>
        <v>0</v>
      </c>
      <c r="X358">
        <f>IF(Source!BI89=3,H358, 0)</f>
        <v>0</v>
      </c>
      <c r="Y358">
        <f>IF(Source!BI89=4,H358, 0)</f>
        <v>0</v>
      </c>
    </row>
    <row r="359" spans="1:25" ht="15" x14ac:dyDescent="0.25">
      <c r="G359" s="76">
        <f>H351+H352+H354+H355+H356+SUM(H358:H358)</f>
        <v>650.42000000000007</v>
      </c>
      <c r="H359" s="76"/>
      <c r="J359" s="76">
        <f>K351+K352+K354+K355+K356+SUM(K358:K358)</f>
        <v>6705.39</v>
      </c>
      <c r="K359" s="76"/>
      <c r="N359" s="28">
        <f>G359</f>
        <v>650.42000000000007</v>
      </c>
      <c r="O359" s="28">
        <f>J359</f>
        <v>6705.39</v>
      </c>
      <c r="P359" s="28" t="e">
        <f>#REF!</f>
        <v>#REF!</v>
      </c>
      <c r="V359">
        <f>IF(Source!BI88&lt;=1,H351+H352+H354+H355+H356, 0)</f>
        <v>173.74</v>
      </c>
      <c r="W359">
        <f>IF(Source!BI88=2,H351+H352+H354+H355+H356, 0)</f>
        <v>0</v>
      </c>
      <c r="X359">
        <f>IF(Source!BI88=3,H351+H352+H354+H355+H356, 0)</f>
        <v>0</v>
      </c>
      <c r="Y359">
        <f>IF(Source!BI88=4,H351+H352+H354+H355+H356, 0)</f>
        <v>0</v>
      </c>
    </row>
    <row r="360" spans="1:25" ht="103.5" x14ac:dyDescent="0.2">
      <c r="A360" s="20" t="str">
        <f>Source!E90</f>
        <v>35</v>
      </c>
      <c r="B360" s="43" t="s">
        <v>1413</v>
      </c>
      <c r="C360" s="43" t="str">
        <f>Source!G90</f>
        <v>Устройство покрытий из плиток тактильных (ПВХ) 300х300х7 на клее</v>
      </c>
      <c r="D360" s="32" t="str">
        <f>Source!H90</f>
        <v>100 м2</v>
      </c>
      <c r="E360" s="10">
        <f>Source!I90</f>
        <v>3.5999999999999999E-3</v>
      </c>
      <c r="F360" s="33">
        <f>Source!AL90+Source!AM90+Source!AO90</f>
        <v>14447.55</v>
      </c>
      <c r="G360" s="34"/>
      <c r="H360" s="33"/>
      <c r="I360" s="34" t="str">
        <f>Source!BO90</f>
        <v>11-01-038-02</v>
      </c>
      <c r="J360" s="34"/>
      <c r="K360" s="33"/>
      <c r="R360">
        <f>ROUND((Source!FX90/100)*((ROUND(Source!AF90*Source!I90, 2)+ROUND(Source!AE90*Source!I90, 2))), 2)</f>
        <v>3.25</v>
      </c>
      <c r="S360">
        <f>Source!X90</f>
        <v>109.52</v>
      </c>
      <c r="T360">
        <f>ROUND((Source!FY90/100)*((ROUND(Source!AF90*Source!I90, 2)+ROUND(Source!AE90*Source!I90, 2))), 2)</f>
        <v>1.87</v>
      </c>
      <c r="U360">
        <f>Source!Y90</f>
        <v>63.15</v>
      </c>
    </row>
    <row r="361" spans="1:25" x14ac:dyDescent="0.2">
      <c r="C361" s="27" t="str">
        <f>"Объем: "&amp;Source!I90&amp;"=0,36/"&amp;"100"</f>
        <v>Объем: 0,0036=0,36/100</v>
      </c>
    </row>
    <row r="362" spans="1:25" ht="14.25" x14ac:dyDescent="0.2">
      <c r="A362" s="20"/>
      <c r="B362" s="43"/>
      <c r="C362" s="43" t="s">
        <v>1372</v>
      </c>
      <c r="D362" s="32"/>
      <c r="E362" s="10"/>
      <c r="F362" s="33">
        <f>Source!AO90</f>
        <v>523.57000000000005</v>
      </c>
      <c r="G362" s="34" t="str">
        <f>Source!DG90</f>
        <v>)*1,15)*1,35</v>
      </c>
      <c r="H362" s="33">
        <f>ROUND(Source!AF90*Source!I90, 2)</f>
        <v>2.93</v>
      </c>
      <c r="I362" s="34"/>
      <c r="J362" s="34">
        <f>IF(Source!BA90&lt;&gt; 0, Source!BA90, 1)</f>
        <v>33.65</v>
      </c>
      <c r="K362" s="33">
        <f>Source!S90</f>
        <v>98.47</v>
      </c>
      <c r="Q362">
        <f>H362</f>
        <v>2.93</v>
      </c>
    </row>
    <row r="363" spans="1:25" ht="14.25" x14ac:dyDescent="0.2">
      <c r="A363" s="20"/>
      <c r="B363" s="43"/>
      <c r="C363" s="43" t="s">
        <v>646</v>
      </c>
      <c r="D363" s="32"/>
      <c r="E363" s="10"/>
      <c r="F363" s="33">
        <f>Source!AM90</f>
        <v>17.73</v>
      </c>
      <c r="G363" s="34" t="str">
        <f>Source!DE90</f>
        <v>)*1,25)*1,35</v>
      </c>
      <c r="H363" s="33">
        <f>ROUND(Source!AD90*Source!I90, 2)</f>
        <v>0.11</v>
      </c>
      <c r="I363" s="34"/>
      <c r="J363" s="34">
        <f>IF(Source!BB90&lt;&gt; 0, Source!BB90, 1)</f>
        <v>9.1</v>
      </c>
      <c r="K363" s="33">
        <f>Source!Q90</f>
        <v>0.98</v>
      </c>
    </row>
    <row r="364" spans="1:25" ht="14.25" x14ac:dyDescent="0.2">
      <c r="A364" s="20"/>
      <c r="B364" s="43"/>
      <c r="C364" s="43" t="s">
        <v>1373</v>
      </c>
      <c r="D364" s="32"/>
      <c r="E364" s="10"/>
      <c r="F364" s="33">
        <f>Source!AN90</f>
        <v>0.99</v>
      </c>
      <c r="G364" s="34" t="str">
        <f>Source!DF90</f>
        <v>)*1,25)*1,35</v>
      </c>
      <c r="H364" s="35">
        <f>ROUND(Source!AE90*Source!I90, 2)</f>
        <v>0.01</v>
      </c>
      <c r="I364" s="34"/>
      <c r="J364" s="34">
        <f>IF(Source!BS90&lt;&gt; 0, Source!BS90, 1)</f>
        <v>33.65</v>
      </c>
      <c r="K364" s="35">
        <f>Source!R90</f>
        <v>0.2</v>
      </c>
      <c r="Q364">
        <f>H364</f>
        <v>0.01</v>
      </c>
    </row>
    <row r="365" spans="1:25" ht="14.25" x14ac:dyDescent="0.2">
      <c r="A365" s="20"/>
      <c r="B365" s="43"/>
      <c r="C365" s="43" t="s">
        <v>1374</v>
      </c>
      <c r="D365" s="32" t="s">
        <v>1375</v>
      </c>
      <c r="E365" s="10">
        <f>Source!BZ90</f>
        <v>123</v>
      </c>
      <c r="F365" s="64" t="str">
        <f>CONCATENATE(" )", Source!DL90, Source!FT90, "=", Source!FX90)</f>
        <v xml:space="preserve"> )*0,9=110,7</v>
      </c>
      <c r="G365" s="75"/>
      <c r="H365" s="33">
        <f>SUM(R360:R368)</f>
        <v>3.25</v>
      </c>
      <c r="I365" s="36"/>
      <c r="J365" s="31">
        <f>Source!AT90</f>
        <v>111</v>
      </c>
      <c r="K365" s="33">
        <f>SUM(S360:S368)</f>
        <v>109.52</v>
      </c>
    </row>
    <row r="366" spans="1:25" ht="14.25" x14ac:dyDescent="0.2">
      <c r="A366" s="20"/>
      <c r="B366" s="43"/>
      <c r="C366" s="43" t="s">
        <v>1376</v>
      </c>
      <c r="D366" s="32" t="s">
        <v>1375</v>
      </c>
      <c r="E366" s="10">
        <f>Source!CA90</f>
        <v>75</v>
      </c>
      <c r="F366" s="64" t="str">
        <f>CONCATENATE(" )", Source!DM90, Source!FU90, "=", Source!FY90)</f>
        <v xml:space="preserve"> )*0,85=63,75</v>
      </c>
      <c r="G366" s="75"/>
      <c r="H366" s="33">
        <f>SUM(T360:T368)</f>
        <v>1.87</v>
      </c>
      <c r="I366" s="36"/>
      <c r="J366" s="31">
        <f>Source!AU90</f>
        <v>64</v>
      </c>
      <c r="K366" s="33">
        <f>SUM(U360:U368)</f>
        <v>63.15</v>
      </c>
    </row>
    <row r="367" spans="1:25" ht="14.25" x14ac:dyDescent="0.2">
      <c r="A367" s="20"/>
      <c r="B367" s="43"/>
      <c r="C367" s="43" t="s">
        <v>1377</v>
      </c>
      <c r="D367" s="32" t="s">
        <v>1378</v>
      </c>
      <c r="E367" s="10">
        <f>Source!AQ90</f>
        <v>51.28</v>
      </c>
      <c r="F367" s="33"/>
      <c r="G367" s="34" t="str">
        <f>Source!DI90</f>
        <v>)*1,15)*1,35</v>
      </c>
      <c r="H367" s="33"/>
      <c r="I367" s="34"/>
      <c r="J367" s="34"/>
      <c r="K367" s="33"/>
    </row>
    <row r="368" spans="1:25" ht="42.75" x14ac:dyDescent="0.2">
      <c r="A368" s="44"/>
      <c r="B368" s="45" t="s">
        <v>1465</v>
      </c>
      <c r="C368" s="45" t="str">
        <f>Source!G91</f>
        <v>Травмобезопасные покрытия: Плитка тактильная поливинилхлоридная, размером 300х300х7 мм</v>
      </c>
      <c r="D368" s="37" t="str">
        <f>Source!H91</f>
        <v>м2</v>
      </c>
      <c r="E368" s="38">
        <f>Source!I91</f>
        <v>0.36</v>
      </c>
      <c r="F368" s="39">
        <f>Source!AL91+Source!AM91+Source!AO91</f>
        <v>218.46</v>
      </c>
      <c r="G368" s="41" t="s">
        <v>1385</v>
      </c>
      <c r="H368" s="39">
        <f>ROUND(Source!AC91*Source!I91, 2)+ROUND(Source!AD91*Source!I91, 2)+ROUND(Source!AF91*Source!I91, 2)</f>
        <v>78.650000000000006</v>
      </c>
      <c r="I368" s="40"/>
      <c r="J368" s="40">
        <f>IF(Source!BC91&lt;&gt; 0, Source!BC91, 1)</f>
        <v>8.34</v>
      </c>
      <c r="K368" s="39">
        <f>Source!O91</f>
        <v>655.9</v>
      </c>
      <c r="R368">
        <f>ROUND((Source!FX91/100)*((ROUND(Source!AF91*Source!I91, 2)+ROUND(Source!AE91*Source!I91, 2))), 2)</f>
        <v>0</v>
      </c>
      <c r="S368">
        <f>Source!X91</f>
        <v>0</v>
      </c>
      <c r="T368">
        <f>ROUND((Source!FY91/100)*((ROUND(Source!AF91*Source!I91, 2)+ROUND(Source!AE91*Source!I91, 2))), 2)</f>
        <v>0</v>
      </c>
      <c r="U368">
        <f>Source!Y91</f>
        <v>0</v>
      </c>
      <c r="V368">
        <f>IF(Source!BI91&lt;=1,H368, 0)</f>
        <v>78.650000000000006</v>
      </c>
      <c r="W368">
        <f>IF(Source!BI91=2,H368, 0)</f>
        <v>0</v>
      </c>
      <c r="X368">
        <f>IF(Source!BI91=3,H368, 0)</f>
        <v>0</v>
      </c>
      <c r="Y368">
        <f>IF(Source!BI91=4,H368, 0)</f>
        <v>0</v>
      </c>
    </row>
    <row r="369" spans="1:25" ht="15" x14ac:dyDescent="0.25">
      <c r="G369" s="76">
        <f>H362+H363+H365+H366+SUM(H368:H368)</f>
        <v>86.81</v>
      </c>
      <c r="H369" s="76"/>
      <c r="J369" s="76">
        <f>K362+K363+K365+K366+SUM(K368:K368)</f>
        <v>928.02</v>
      </c>
      <c r="K369" s="76"/>
      <c r="N369" s="28">
        <f>G369</f>
        <v>86.81</v>
      </c>
      <c r="O369" s="28">
        <f>J369</f>
        <v>928.02</v>
      </c>
      <c r="P369" s="28" t="e">
        <f>#REF!</f>
        <v>#REF!</v>
      </c>
      <c r="V369">
        <f>IF(Source!BI90&lt;=1,H362+H363+H365+H366, 0)</f>
        <v>8.16</v>
      </c>
      <c r="W369">
        <f>IF(Source!BI90=2,H362+H363+H365+H366, 0)</f>
        <v>0</v>
      </c>
      <c r="X369">
        <f>IF(Source!BI90=3,H362+H363+H365+H366, 0)</f>
        <v>0</v>
      </c>
      <c r="Y369">
        <f>IF(Source!BI90=4,H362+H363+H365+H366, 0)</f>
        <v>0</v>
      </c>
    </row>
    <row r="370" spans="1:25" ht="103.5" x14ac:dyDescent="0.2">
      <c r="A370" s="20" t="str">
        <f>Source!E92</f>
        <v>36</v>
      </c>
      <c r="B370" s="43" t="s">
        <v>1414</v>
      </c>
      <c r="C370" s="43" t="str">
        <f>Source!G92</f>
        <v>Устройство подстилающих и выравнивающих слоев оснований из песка, 50 мм</v>
      </c>
      <c r="D370" s="32" t="str">
        <f>Source!H92</f>
        <v>100 м3</v>
      </c>
      <c r="E370" s="10">
        <f>Source!I92</f>
        <v>1.8500000000000001E-3</v>
      </c>
      <c r="F370" s="33">
        <f>Source!AL92+Source!AM92+Source!AO92</f>
        <v>3390.4799999999996</v>
      </c>
      <c r="G370" s="34"/>
      <c r="H370" s="33"/>
      <c r="I370" s="34" t="str">
        <f>Source!BO92</f>
        <v>27-04-001-01</v>
      </c>
      <c r="J370" s="34"/>
      <c r="K370" s="33"/>
      <c r="R370">
        <f>ROUND((Source!FX92/100)*((ROUND(Source!AF92*Source!I92, 2)+ROUND(Source!AE92*Source!I92, 2))), 2)</f>
        <v>1.1000000000000001</v>
      </c>
      <c r="S370">
        <f>Source!X92</f>
        <v>37.31</v>
      </c>
      <c r="T370">
        <f>ROUND((Source!FY92/100)*((ROUND(Source!AF92*Source!I92, 2)+ROUND(Source!AE92*Source!I92, 2))), 2)</f>
        <v>0.69</v>
      </c>
      <c r="U370">
        <f>Source!Y92</f>
        <v>23.61</v>
      </c>
    </row>
    <row r="371" spans="1:25" x14ac:dyDescent="0.2">
      <c r="C371" s="27" t="str">
        <f>"Объем: "&amp;Source!I92&amp;"=0,185/"&amp;"100"</f>
        <v>Объем: 0,00185=0,185/100</v>
      </c>
    </row>
    <row r="372" spans="1:25" ht="14.25" x14ac:dyDescent="0.2">
      <c r="A372" s="20"/>
      <c r="B372" s="43"/>
      <c r="C372" s="43" t="s">
        <v>1372</v>
      </c>
      <c r="D372" s="32"/>
      <c r="E372" s="10"/>
      <c r="F372" s="33">
        <f>Source!AO92</f>
        <v>115.49</v>
      </c>
      <c r="G372" s="34" t="str">
        <f>Source!DG92</f>
        <v>)*1,15)*1,35</v>
      </c>
      <c r="H372" s="33">
        <f>ROUND(Source!AF92*Source!I92, 2)</f>
        <v>0.33</v>
      </c>
      <c r="I372" s="34"/>
      <c r="J372" s="34">
        <f>IF(Source!BA92&lt;&gt; 0, Source!BA92, 1)</f>
        <v>33.65</v>
      </c>
      <c r="K372" s="33">
        <f>Source!S92</f>
        <v>11.16</v>
      </c>
      <c r="Q372">
        <f>H372</f>
        <v>0.33</v>
      </c>
    </row>
    <row r="373" spans="1:25" ht="14.25" x14ac:dyDescent="0.2">
      <c r="A373" s="20"/>
      <c r="B373" s="43"/>
      <c r="C373" s="43" t="s">
        <v>646</v>
      </c>
      <c r="D373" s="32"/>
      <c r="E373" s="10"/>
      <c r="F373" s="33">
        <f>Source!AM92</f>
        <v>3262.79</v>
      </c>
      <c r="G373" s="34" t="str">
        <f>Source!DE92</f>
        <v>)*1,25)*1,35</v>
      </c>
      <c r="H373" s="33">
        <f>ROUND(Source!AD92*Source!I92, 2)</f>
        <v>10.19</v>
      </c>
      <c r="I373" s="34"/>
      <c r="J373" s="34">
        <f>IF(Source!BB92&lt;&gt; 0, Source!BB92, 1)</f>
        <v>5</v>
      </c>
      <c r="K373" s="33">
        <f>Source!Q92</f>
        <v>50.93</v>
      </c>
    </row>
    <row r="374" spans="1:25" ht="14.25" x14ac:dyDescent="0.2">
      <c r="A374" s="20"/>
      <c r="B374" s="43"/>
      <c r="C374" s="43" t="s">
        <v>1373</v>
      </c>
      <c r="D374" s="32"/>
      <c r="E374" s="10"/>
      <c r="F374" s="33">
        <f>Source!AN92</f>
        <v>171.22</v>
      </c>
      <c r="G374" s="34" t="str">
        <f>Source!DF92</f>
        <v>)*1,25)*1,35</v>
      </c>
      <c r="H374" s="35">
        <f>ROUND(Source!AE92*Source!I92, 2)</f>
        <v>0.53</v>
      </c>
      <c r="I374" s="34"/>
      <c r="J374" s="34">
        <f>IF(Source!BS92&lt;&gt; 0, Source!BS92, 1)</f>
        <v>33.65</v>
      </c>
      <c r="K374" s="35">
        <f>Source!R92</f>
        <v>17.989999999999998</v>
      </c>
      <c r="Q374">
        <f>H374</f>
        <v>0.53</v>
      </c>
    </row>
    <row r="375" spans="1:25" ht="14.25" x14ac:dyDescent="0.2">
      <c r="A375" s="20"/>
      <c r="B375" s="43"/>
      <c r="C375" s="43" t="s">
        <v>1400</v>
      </c>
      <c r="D375" s="32"/>
      <c r="E375" s="10"/>
      <c r="F375" s="33">
        <f>Source!AL92</f>
        <v>12.2</v>
      </c>
      <c r="G375" s="34" t="str">
        <f>Source!DD92</f>
        <v/>
      </c>
      <c r="H375" s="33">
        <f>ROUND(Source!AC92*Source!I92, 2)</f>
        <v>0.02</v>
      </c>
      <c r="I375" s="34"/>
      <c r="J375" s="34">
        <f>IF(Source!BC92&lt;&gt; 0, Source!BC92, 1)</f>
        <v>12.78</v>
      </c>
      <c r="K375" s="33">
        <f>Source!P92</f>
        <v>0.28999999999999998</v>
      </c>
    </row>
    <row r="376" spans="1:25" ht="14.25" x14ac:dyDescent="0.2">
      <c r="A376" s="20"/>
      <c r="B376" s="43"/>
      <c r="C376" s="43" t="s">
        <v>1374</v>
      </c>
      <c r="D376" s="32" t="s">
        <v>1375</v>
      </c>
      <c r="E376" s="10">
        <f>Source!BZ92</f>
        <v>142</v>
      </c>
      <c r="F376" s="64" t="str">
        <f>CONCATENATE(" )", Source!DL92, Source!FT92, "=", Source!FX92)</f>
        <v xml:space="preserve"> )*0,9=127,8</v>
      </c>
      <c r="G376" s="75"/>
      <c r="H376" s="33">
        <f>SUM(R370:R379)</f>
        <v>1.1000000000000001</v>
      </c>
      <c r="I376" s="36"/>
      <c r="J376" s="31">
        <f>Source!AT92</f>
        <v>128</v>
      </c>
      <c r="K376" s="33">
        <f>SUM(S370:S379)</f>
        <v>37.31</v>
      </c>
    </row>
    <row r="377" spans="1:25" ht="14.25" x14ac:dyDescent="0.2">
      <c r="A377" s="20"/>
      <c r="B377" s="43"/>
      <c r="C377" s="43" t="s">
        <v>1376</v>
      </c>
      <c r="D377" s="32" t="s">
        <v>1375</v>
      </c>
      <c r="E377" s="10">
        <f>Source!CA92</f>
        <v>95</v>
      </c>
      <c r="F377" s="64" t="str">
        <f>CONCATENATE(" )", Source!DM92, Source!FU92, "=", Source!FY92)</f>
        <v xml:space="preserve"> )*0,85=80,75</v>
      </c>
      <c r="G377" s="75"/>
      <c r="H377" s="33">
        <f>SUM(T370:T379)</f>
        <v>0.69</v>
      </c>
      <c r="I377" s="36"/>
      <c r="J377" s="31">
        <f>Source!AU92</f>
        <v>81</v>
      </c>
      <c r="K377" s="33">
        <f>SUM(U370:U379)</f>
        <v>23.61</v>
      </c>
    </row>
    <row r="378" spans="1:25" ht="14.25" x14ac:dyDescent="0.2">
      <c r="A378" s="20"/>
      <c r="B378" s="43"/>
      <c r="C378" s="43" t="s">
        <v>1377</v>
      </c>
      <c r="D378" s="32" t="s">
        <v>1378</v>
      </c>
      <c r="E378" s="10">
        <f>Source!AQ92</f>
        <v>14.4</v>
      </c>
      <c r="F378" s="33"/>
      <c r="G378" s="34" t="str">
        <f>Source!DI92</f>
        <v>)*1,15)*1,35</v>
      </c>
      <c r="H378" s="33"/>
      <c r="I378" s="34"/>
      <c r="J378" s="34"/>
      <c r="K378" s="33"/>
    </row>
    <row r="379" spans="1:25" ht="28.5" x14ac:dyDescent="0.2">
      <c r="A379" s="44"/>
      <c r="B379" s="45" t="str">
        <f>Source!F93</f>
        <v>02.3.01.02-0033</v>
      </c>
      <c r="C379" s="45" t="str">
        <f>Source!G93</f>
        <v>Песок природный обогащенный для строительных работ средний</v>
      </c>
      <c r="D379" s="37" t="str">
        <f>Source!H93</f>
        <v>м3</v>
      </c>
      <c r="E379" s="38">
        <f>Source!I93</f>
        <v>0.20349999999999999</v>
      </c>
      <c r="F379" s="39">
        <f>Source!AL93+Source!AM93+Source!AO93</f>
        <v>70.599999999999994</v>
      </c>
      <c r="G379" s="41" t="s">
        <v>1385</v>
      </c>
      <c r="H379" s="39">
        <f>ROUND(Source!AC93*Source!I93, 2)+ROUND(Source!AD93*Source!I93, 2)+ROUND(Source!AF93*Source!I93, 2)</f>
        <v>14.37</v>
      </c>
      <c r="I379" s="40"/>
      <c r="J379" s="40">
        <f>IF(Source!BC93&lt;&gt; 0, Source!BC93, 1)</f>
        <v>12.91</v>
      </c>
      <c r="K379" s="39">
        <f>Source!O93</f>
        <v>185.48</v>
      </c>
      <c r="R379">
        <f>ROUND((Source!FX93/100)*((ROUND(Source!AF93*Source!I93, 2)+ROUND(Source!AE93*Source!I93, 2))), 2)</f>
        <v>0</v>
      </c>
      <c r="S379">
        <f>Source!X93</f>
        <v>0</v>
      </c>
      <c r="T379">
        <f>ROUND((Source!FY93/100)*((ROUND(Source!AF93*Source!I93, 2)+ROUND(Source!AE93*Source!I93, 2))), 2)</f>
        <v>0</v>
      </c>
      <c r="U379">
        <f>Source!Y93</f>
        <v>0</v>
      </c>
      <c r="V379">
        <f>IF(Source!BI93&lt;=1,H379, 0)</f>
        <v>14.37</v>
      </c>
      <c r="W379">
        <f>IF(Source!BI93=2,H379, 0)</f>
        <v>0</v>
      </c>
      <c r="X379">
        <f>IF(Source!BI93=3,H379, 0)</f>
        <v>0</v>
      </c>
      <c r="Y379">
        <f>IF(Source!BI93=4,H379, 0)</f>
        <v>0</v>
      </c>
    </row>
    <row r="380" spans="1:25" ht="15" x14ac:dyDescent="0.25">
      <c r="G380" s="76">
        <f>H372+H373+H375+H376+H377+SUM(H379:H379)</f>
        <v>26.699999999999996</v>
      </c>
      <c r="H380" s="76"/>
      <c r="J380" s="76">
        <f>K372+K373+K375+K376+K377+SUM(K379:K379)</f>
        <v>308.77999999999997</v>
      </c>
      <c r="K380" s="76"/>
      <c r="N380" s="28">
        <f>G380</f>
        <v>26.699999999999996</v>
      </c>
      <c r="O380" s="28">
        <f>J380</f>
        <v>308.77999999999997</v>
      </c>
      <c r="P380" s="28" t="e">
        <f>#REF!</f>
        <v>#REF!</v>
      </c>
      <c r="V380">
        <f>IF(Source!BI92&lt;=1,H372+H373+H375+H376+H377, 0)</f>
        <v>12.329999999999998</v>
      </c>
      <c r="W380">
        <f>IF(Source!BI92=2,H372+H373+H375+H376+H377, 0)</f>
        <v>0</v>
      </c>
      <c r="X380">
        <f>IF(Source!BI92=3,H372+H373+H375+H376+H377, 0)</f>
        <v>0</v>
      </c>
      <c r="Y380">
        <f>IF(Source!BI92=4,H372+H373+H375+H376+H377, 0)</f>
        <v>0</v>
      </c>
    </row>
    <row r="381" spans="1:25" ht="103.5" x14ac:dyDescent="0.2">
      <c r="A381" s="20" t="str">
        <f>Source!E94</f>
        <v>37</v>
      </c>
      <c r="B381" s="43" t="s">
        <v>1415</v>
      </c>
      <c r="C381" s="43" t="str">
        <f>Source!G94</f>
        <v>Устройство стяжек цементных толщиной 20 мм</v>
      </c>
      <c r="D381" s="32" t="str">
        <f>Source!H94</f>
        <v>100 м2</v>
      </c>
      <c r="E381" s="10">
        <f>Source!I94</f>
        <v>6.8000000000000005E-2</v>
      </c>
      <c r="F381" s="33">
        <f>Source!AL94+Source!AM94+Source!AO94</f>
        <v>334.81</v>
      </c>
      <c r="G381" s="34"/>
      <c r="H381" s="33"/>
      <c r="I381" s="34" t="str">
        <f>Source!BO94</f>
        <v>11-01-011-01</v>
      </c>
      <c r="J381" s="34"/>
      <c r="K381" s="33"/>
      <c r="R381">
        <f>ROUND((Source!FX94/100)*((ROUND(Source!AF94*Source!I94, 2)+ROUND(Source!AE94*Source!I94, 2))), 2)</f>
        <v>35.21</v>
      </c>
      <c r="S381">
        <f>Source!X94</f>
        <v>1188.0899999999999</v>
      </c>
      <c r="T381">
        <f>ROUND((Source!FY94/100)*((ROUND(Source!AF94*Source!I94, 2)+ROUND(Source!AE94*Source!I94, 2))), 2)</f>
        <v>20.28</v>
      </c>
      <c r="U381">
        <f>Source!Y94</f>
        <v>685.02</v>
      </c>
    </row>
    <row r="382" spans="1:25" x14ac:dyDescent="0.2">
      <c r="C382" s="27" t="str">
        <f>"Объем: "&amp;Source!I94&amp;"=6,8/"&amp;"100"</f>
        <v>Объем: 0,068=6,8/100</v>
      </c>
    </row>
    <row r="383" spans="1:25" ht="14.25" x14ac:dyDescent="0.2">
      <c r="A383" s="20"/>
      <c r="B383" s="43"/>
      <c r="C383" s="43" t="s">
        <v>1372</v>
      </c>
      <c r="D383" s="32"/>
      <c r="E383" s="10"/>
      <c r="F383" s="33">
        <f>Source!AO94</f>
        <v>282.66000000000003</v>
      </c>
      <c r="G383" s="34" t="str">
        <f>Source!DG94</f>
        <v>)*1,15)*1,35</v>
      </c>
      <c r="H383" s="33">
        <f>ROUND(Source!AF94*Source!I94, 2)</f>
        <v>29.84</v>
      </c>
      <c r="I383" s="34"/>
      <c r="J383" s="34">
        <f>IF(Source!BA94&lt;&gt; 0, Source!BA94, 1)</f>
        <v>33.65</v>
      </c>
      <c r="K383" s="33">
        <f>Source!S94</f>
        <v>1004.13</v>
      </c>
      <c r="Q383">
        <f>H383</f>
        <v>29.84</v>
      </c>
    </row>
    <row r="384" spans="1:25" ht="14.25" x14ac:dyDescent="0.2">
      <c r="A384" s="20"/>
      <c r="B384" s="43"/>
      <c r="C384" s="43" t="s">
        <v>646</v>
      </c>
      <c r="D384" s="32"/>
      <c r="E384" s="10"/>
      <c r="F384" s="33">
        <f>Source!AM94</f>
        <v>43.61</v>
      </c>
      <c r="G384" s="34" t="str">
        <f>Source!DE94</f>
        <v>)*1,25)*1,35</v>
      </c>
      <c r="H384" s="33">
        <f>ROUND(Source!AD94*Source!I94, 2)</f>
        <v>5</v>
      </c>
      <c r="I384" s="34"/>
      <c r="J384" s="34">
        <f>IF(Source!BB94&lt;&gt; 0, Source!BB94, 1)</f>
        <v>14.02</v>
      </c>
      <c r="K384" s="33">
        <f>Source!Q94</f>
        <v>70.16</v>
      </c>
    </row>
    <row r="385" spans="1:25" ht="14.25" x14ac:dyDescent="0.2">
      <c r="A385" s="20"/>
      <c r="B385" s="43"/>
      <c r="C385" s="43" t="s">
        <v>1373</v>
      </c>
      <c r="D385" s="32"/>
      <c r="E385" s="10"/>
      <c r="F385" s="33">
        <f>Source!AN94</f>
        <v>17.149999999999999</v>
      </c>
      <c r="G385" s="34" t="str">
        <f>Source!DF94</f>
        <v>)*1,25)*1,35</v>
      </c>
      <c r="H385" s="35">
        <f>ROUND(Source!AE94*Source!I94, 2)</f>
        <v>1.97</v>
      </c>
      <c r="I385" s="34"/>
      <c r="J385" s="34">
        <f>IF(Source!BS94&lt;&gt; 0, Source!BS94, 1)</f>
        <v>33.65</v>
      </c>
      <c r="K385" s="35">
        <f>Source!R94</f>
        <v>66.22</v>
      </c>
      <c r="Q385">
        <f>H385</f>
        <v>1.97</v>
      </c>
    </row>
    <row r="386" spans="1:25" ht="14.25" x14ac:dyDescent="0.2">
      <c r="A386" s="20"/>
      <c r="B386" s="43"/>
      <c r="C386" s="43" t="s">
        <v>1400</v>
      </c>
      <c r="D386" s="32"/>
      <c r="E386" s="10"/>
      <c r="F386" s="33">
        <f>Source!AL94</f>
        <v>8.5399999999999991</v>
      </c>
      <c r="G386" s="34" t="str">
        <f>Source!DD94</f>
        <v/>
      </c>
      <c r="H386" s="33">
        <f>ROUND(Source!AC94*Source!I94, 2)</f>
        <v>0.57999999999999996</v>
      </c>
      <c r="I386" s="34"/>
      <c r="J386" s="34">
        <f>IF(Source!BC94&lt;&gt; 0, Source!BC94, 1)</f>
        <v>12.78</v>
      </c>
      <c r="K386" s="33">
        <f>Source!P94</f>
        <v>7.42</v>
      </c>
    </row>
    <row r="387" spans="1:25" ht="14.25" x14ac:dyDescent="0.2">
      <c r="A387" s="20"/>
      <c r="B387" s="43"/>
      <c r="C387" s="43" t="s">
        <v>1374</v>
      </c>
      <c r="D387" s="32" t="s">
        <v>1375</v>
      </c>
      <c r="E387" s="10">
        <f>Source!BZ94</f>
        <v>123</v>
      </c>
      <c r="F387" s="64" t="str">
        <f>CONCATENATE(" )", Source!DL94, Source!FT94, "=", Source!FX94)</f>
        <v xml:space="preserve"> )*0,9=110,7</v>
      </c>
      <c r="G387" s="75"/>
      <c r="H387" s="33">
        <f>SUM(R381:R390)</f>
        <v>35.21</v>
      </c>
      <c r="I387" s="36"/>
      <c r="J387" s="31">
        <f>Source!AT94</f>
        <v>111</v>
      </c>
      <c r="K387" s="33">
        <f>SUM(S381:S390)</f>
        <v>1188.0899999999999</v>
      </c>
    </row>
    <row r="388" spans="1:25" ht="14.25" x14ac:dyDescent="0.2">
      <c r="A388" s="20"/>
      <c r="B388" s="43"/>
      <c r="C388" s="43" t="s">
        <v>1376</v>
      </c>
      <c r="D388" s="32" t="s">
        <v>1375</v>
      </c>
      <c r="E388" s="10">
        <f>Source!CA94</f>
        <v>75</v>
      </c>
      <c r="F388" s="64" t="str">
        <f>CONCATENATE(" )", Source!DM94, Source!FU94, "=", Source!FY94)</f>
        <v xml:space="preserve"> )*0,85=63,75</v>
      </c>
      <c r="G388" s="75"/>
      <c r="H388" s="33">
        <f>SUM(T381:T390)</f>
        <v>20.28</v>
      </c>
      <c r="I388" s="36"/>
      <c r="J388" s="31">
        <f>Source!AU94</f>
        <v>64</v>
      </c>
      <c r="K388" s="33">
        <f>SUM(U381:U390)</f>
        <v>685.02</v>
      </c>
    </row>
    <row r="389" spans="1:25" ht="14.25" x14ac:dyDescent="0.2">
      <c r="A389" s="20"/>
      <c r="B389" s="43"/>
      <c r="C389" s="43" t="s">
        <v>1377</v>
      </c>
      <c r="D389" s="32" t="s">
        <v>1378</v>
      </c>
      <c r="E389" s="10">
        <f>Source!AQ94</f>
        <v>35.6</v>
      </c>
      <c r="F389" s="33"/>
      <c r="G389" s="34" t="str">
        <f>Source!DI94</f>
        <v>)*1,15)*1,35</v>
      </c>
      <c r="H389" s="33"/>
      <c r="I389" s="34"/>
      <c r="J389" s="34"/>
      <c r="K389" s="33"/>
    </row>
    <row r="390" spans="1:25" ht="57" x14ac:dyDescent="0.2">
      <c r="A390" s="44"/>
      <c r="B390" s="45" t="str">
        <f>Source!F95</f>
        <v>04.3.02.13-0107</v>
      </c>
      <c r="C390" s="45" t="str">
        <f>Source!G95</f>
        <v>Смеси сухие монтажно-кладочные , цементно-песчаные, В12,5 (М150), F100, крупность заполнителя не более 3,5 мм</v>
      </c>
      <c r="D390" s="37" t="str">
        <f>Source!H95</f>
        <v>т</v>
      </c>
      <c r="E390" s="38">
        <f>Source!I95</f>
        <v>0.25840000000000002</v>
      </c>
      <c r="F390" s="39">
        <f>Source!AL95+Source!AM95+Source!AO95</f>
        <v>712.36</v>
      </c>
      <c r="G390" s="41" t="s">
        <v>1385</v>
      </c>
      <c r="H390" s="39">
        <f>ROUND(Source!AC95*Source!I95, 2)+ROUND(Source!AD95*Source!I95, 2)+ROUND(Source!AF95*Source!I95, 2)</f>
        <v>184.07</v>
      </c>
      <c r="I390" s="40"/>
      <c r="J390" s="40">
        <f>IF(Source!BC95&lt;&gt; 0, Source!BC95, 1)</f>
        <v>4.79</v>
      </c>
      <c r="K390" s="39">
        <f>Source!O95</f>
        <v>881.71</v>
      </c>
      <c r="R390">
        <f>ROUND((Source!FX95/100)*((ROUND(Source!AF95*Source!I95, 2)+ROUND(Source!AE95*Source!I95, 2))), 2)</f>
        <v>0</v>
      </c>
      <c r="S390">
        <f>Source!X95</f>
        <v>0</v>
      </c>
      <c r="T390">
        <f>ROUND((Source!FY95/100)*((ROUND(Source!AF95*Source!I95, 2)+ROUND(Source!AE95*Source!I95, 2))), 2)</f>
        <v>0</v>
      </c>
      <c r="U390">
        <f>Source!Y95</f>
        <v>0</v>
      </c>
      <c r="V390">
        <f>IF(Source!BI95&lt;=1,H390, 0)</f>
        <v>184.07</v>
      </c>
      <c r="W390">
        <f>IF(Source!BI95=2,H390, 0)</f>
        <v>0</v>
      </c>
      <c r="X390">
        <f>IF(Source!BI95=3,H390, 0)</f>
        <v>0</v>
      </c>
      <c r="Y390">
        <f>IF(Source!BI95=4,H390, 0)</f>
        <v>0</v>
      </c>
    </row>
    <row r="391" spans="1:25" ht="15" x14ac:dyDescent="0.25">
      <c r="G391" s="76">
        <f>H383+H384+H386+H387+H388+SUM(H390:H390)</f>
        <v>274.98</v>
      </c>
      <c r="H391" s="76"/>
      <c r="J391" s="76">
        <f>K383+K384+K386+K387+K388+SUM(K390:K390)</f>
        <v>3836.53</v>
      </c>
      <c r="K391" s="76"/>
      <c r="N391" s="28">
        <f>G391</f>
        <v>274.98</v>
      </c>
      <c r="O391" s="28">
        <f>J391</f>
        <v>3836.53</v>
      </c>
      <c r="P391" s="28" t="e">
        <f>#REF!</f>
        <v>#REF!</v>
      </c>
      <c r="V391">
        <f>IF(Source!BI94&lt;=1,H383+H384+H386+H387+H388, 0)</f>
        <v>90.91</v>
      </c>
      <c r="W391">
        <f>IF(Source!BI94=2,H383+H384+H386+H387+H388, 0)</f>
        <v>0</v>
      </c>
      <c r="X391">
        <f>IF(Source!BI94=3,H383+H384+H386+H387+H388, 0)</f>
        <v>0</v>
      </c>
      <c r="Y391">
        <f>IF(Source!BI94=4,H383+H384+H386+H387+H388, 0)</f>
        <v>0</v>
      </c>
    </row>
    <row r="392" spans="1:25" ht="103.5" x14ac:dyDescent="0.2">
      <c r="A392" s="20" t="str">
        <f>Source!E96</f>
        <v>38</v>
      </c>
      <c r="B392" s="43" t="s">
        <v>1416</v>
      </c>
      <c r="C392" s="43" t="str">
        <f>Source!G96</f>
        <v>Армирование подстилающих слоев и набетонок</v>
      </c>
      <c r="D392" s="32" t="str">
        <f>Source!H96</f>
        <v>т</v>
      </c>
      <c r="E392" s="10">
        <f>Source!I96</f>
        <v>1.3599999999999999E-2</v>
      </c>
      <c r="F392" s="33">
        <f>Source!AL96+Source!AM96+Source!AO96</f>
        <v>418.83000000000004</v>
      </c>
      <c r="G392" s="34"/>
      <c r="H392" s="33"/>
      <c r="I392" s="34" t="str">
        <f>Source!BO96</f>
        <v>06-03-004-12</v>
      </c>
      <c r="J392" s="34"/>
      <c r="K392" s="33"/>
      <c r="R392">
        <f>ROUND((Source!FX96/100)*((ROUND(Source!AF96*Source!I96, 2)+ROUND(Source!AE96*Source!I96, 2))), 2)</f>
        <v>2.15</v>
      </c>
      <c r="S392">
        <f>Source!X96</f>
        <v>72.569999999999993</v>
      </c>
      <c r="T392">
        <f>ROUND((Source!FY96/100)*((ROUND(Source!AF96*Source!I96, 2)+ROUND(Source!AE96*Source!I96, 2))), 2)</f>
        <v>1.25</v>
      </c>
      <c r="U392">
        <f>Source!Y96</f>
        <v>42.01</v>
      </c>
    </row>
    <row r="393" spans="1:25" ht="14.25" x14ac:dyDescent="0.2">
      <c r="A393" s="20"/>
      <c r="B393" s="43"/>
      <c r="C393" s="43" t="s">
        <v>1372</v>
      </c>
      <c r="D393" s="32"/>
      <c r="E393" s="10"/>
      <c r="F393" s="33">
        <f>Source!AO96</f>
        <v>102.78</v>
      </c>
      <c r="G393" s="34" t="str">
        <f>Source!DG96</f>
        <v>)*1,15)*1,35</v>
      </c>
      <c r="H393" s="33">
        <f>ROUND(Source!AF96*Source!I96, 2)</f>
        <v>2.17</v>
      </c>
      <c r="I393" s="34"/>
      <c r="J393" s="34">
        <f>IF(Source!BA96&lt;&gt; 0, Source!BA96, 1)</f>
        <v>33.65</v>
      </c>
      <c r="K393" s="33">
        <f>Source!S96</f>
        <v>73.03</v>
      </c>
      <c r="Q393">
        <f>H393</f>
        <v>2.17</v>
      </c>
    </row>
    <row r="394" spans="1:25" ht="14.25" x14ac:dyDescent="0.2">
      <c r="A394" s="20"/>
      <c r="B394" s="43"/>
      <c r="C394" s="43" t="s">
        <v>646</v>
      </c>
      <c r="D394" s="32"/>
      <c r="E394" s="10"/>
      <c r="F394" s="33">
        <f>Source!AM96</f>
        <v>30.45</v>
      </c>
      <c r="G394" s="34" t="str">
        <f>Source!DE96</f>
        <v>)*1,25)*1,35</v>
      </c>
      <c r="H394" s="33">
        <f>ROUND(Source!AD96*Source!I96, 2)</f>
        <v>0.7</v>
      </c>
      <c r="I394" s="34"/>
      <c r="J394" s="34">
        <f>IF(Source!BB96&lt;&gt; 0, Source!BB96, 1)</f>
        <v>10.39</v>
      </c>
      <c r="K394" s="33">
        <f>Source!Q96</f>
        <v>7.26</v>
      </c>
    </row>
    <row r="395" spans="1:25" ht="14.25" x14ac:dyDescent="0.2">
      <c r="A395" s="20"/>
      <c r="B395" s="43"/>
      <c r="C395" s="43" t="s">
        <v>1373</v>
      </c>
      <c r="D395" s="32"/>
      <c r="E395" s="10"/>
      <c r="F395" s="33">
        <f>Source!AN96</f>
        <v>4.3499999999999996</v>
      </c>
      <c r="G395" s="34" t="str">
        <f>Source!DF96</f>
        <v>)*1,25)*1,35</v>
      </c>
      <c r="H395" s="35">
        <f>ROUND(Source!AE96*Source!I96, 2)</f>
        <v>0.1</v>
      </c>
      <c r="I395" s="34"/>
      <c r="J395" s="34">
        <f>IF(Source!BS96&lt;&gt; 0, Source!BS96, 1)</f>
        <v>33.65</v>
      </c>
      <c r="K395" s="35">
        <f>Source!R96</f>
        <v>3.36</v>
      </c>
      <c r="Q395">
        <f>H395</f>
        <v>0.1</v>
      </c>
    </row>
    <row r="396" spans="1:25" ht="14.25" x14ac:dyDescent="0.2">
      <c r="A396" s="20"/>
      <c r="B396" s="43"/>
      <c r="C396" s="43" t="s">
        <v>1400</v>
      </c>
      <c r="D396" s="32"/>
      <c r="E396" s="10"/>
      <c r="F396" s="33">
        <f>Source!AL96</f>
        <v>285.60000000000002</v>
      </c>
      <c r="G396" s="34" t="str">
        <f>Source!DD96</f>
        <v/>
      </c>
      <c r="H396" s="33">
        <f>ROUND(Source!AC96*Source!I96, 2)</f>
        <v>3.88</v>
      </c>
      <c r="I396" s="34"/>
      <c r="J396" s="34">
        <f>IF(Source!BC96&lt;&gt; 0, Source!BC96, 1)</f>
        <v>5.91</v>
      </c>
      <c r="K396" s="33">
        <f>Source!P96</f>
        <v>22.96</v>
      </c>
    </row>
    <row r="397" spans="1:25" ht="14.25" x14ac:dyDescent="0.2">
      <c r="A397" s="20"/>
      <c r="B397" s="43"/>
      <c r="C397" s="43" t="s">
        <v>1374</v>
      </c>
      <c r="D397" s="32" t="s">
        <v>1375</v>
      </c>
      <c r="E397" s="10">
        <f>Source!BZ96</f>
        <v>105</v>
      </c>
      <c r="F397" s="64" t="str">
        <f>CONCATENATE(" )", Source!DL96, Source!FT96, "=", Source!FX96)</f>
        <v xml:space="preserve"> )*0,9=94,5</v>
      </c>
      <c r="G397" s="75"/>
      <c r="H397" s="33">
        <f>SUM(R392:R400)</f>
        <v>2.15</v>
      </c>
      <c r="I397" s="36"/>
      <c r="J397" s="31">
        <f>Source!AT96</f>
        <v>95</v>
      </c>
      <c r="K397" s="33">
        <f>SUM(S392:S400)</f>
        <v>72.569999999999993</v>
      </c>
    </row>
    <row r="398" spans="1:25" ht="14.25" x14ac:dyDescent="0.2">
      <c r="A398" s="20"/>
      <c r="B398" s="43"/>
      <c r="C398" s="43" t="s">
        <v>1376</v>
      </c>
      <c r="D398" s="32" t="s">
        <v>1375</v>
      </c>
      <c r="E398" s="10">
        <f>Source!CA96</f>
        <v>65</v>
      </c>
      <c r="F398" s="64" t="str">
        <f>CONCATENATE(" )", Source!DM96, Source!FU96, "=", Source!FY96)</f>
        <v xml:space="preserve"> )*0,85=55,25</v>
      </c>
      <c r="G398" s="75"/>
      <c r="H398" s="33">
        <f>SUM(T392:T400)</f>
        <v>1.25</v>
      </c>
      <c r="I398" s="36"/>
      <c r="J398" s="31">
        <f>Source!AU96</f>
        <v>55</v>
      </c>
      <c r="K398" s="33">
        <f>SUM(U392:U400)</f>
        <v>42.01</v>
      </c>
    </row>
    <row r="399" spans="1:25" ht="14.25" x14ac:dyDescent="0.2">
      <c r="A399" s="20"/>
      <c r="B399" s="43"/>
      <c r="C399" s="43" t="s">
        <v>1377</v>
      </c>
      <c r="D399" s="32" t="s">
        <v>1378</v>
      </c>
      <c r="E399" s="10">
        <f>Source!AQ96</f>
        <v>11.6</v>
      </c>
      <c r="F399" s="33"/>
      <c r="G399" s="34" t="str">
        <f>Source!DI96</f>
        <v>)*1,15)*1,35</v>
      </c>
      <c r="H399" s="33"/>
      <c r="I399" s="34"/>
      <c r="J399" s="34"/>
      <c r="K399" s="33"/>
    </row>
    <row r="400" spans="1:25" ht="57" x14ac:dyDescent="0.2">
      <c r="A400" s="44"/>
      <c r="B400" s="45" t="str">
        <f>Source!F97</f>
        <v>08.1.02.17-0081</v>
      </c>
      <c r="C400" s="45" t="str">
        <f>Source!G97</f>
        <v>Сетка стальная сварная из арматурной проволоки без покрытия, диаметр проволоки 3,0 мм, размером ячейки 50х50 мм (дорожная, кладочная)</v>
      </c>
      <c r="D400" s="37" t="str">
        <f>Source!H97</f>
        <v>м2</v>
      </c>
      <c r="E400" s="38">
        <f>Source!I97</f>
        <v>6.8</v>
      </c>
      <c r="F400" s="39">
        <f>Source!AL97+Source!AM97+Source!AO97</f>
        <v>20.29</v>
      </c>
      <c r="G400" s="41" t="s">
        <v>1385</v>
      </c>
      <c r="H400" s="39">
        <f>ROUND(Source!AC97*Source!I97, 2)+ROUND(Source!AD97*Source!I97, 2)+ROUND(Source!AF97*Source!I97, 2)</f>
        <v>137.97</v>
      </c>
      <c r="I400" s="40"/>
      <c r="J400" s="40">
        <f>IF(Source!BC97&lt;&gt; 0, Source!BC97, 1)</f>
        <v>5.97</v>
      </c>
      <c r="K400" s="39">
        <f>Source!O97</f>
        <v>823.69</v>
      </c>
      <c r="R400">
        <f>ROUND((Source!FX97/100)*((ROUND(Source!AF97*Source!I97, 2)+ROUND(Source!AE97*Source!I97, 2))), 2)</f>
        <v>0</v>
      </c>
      <c r="S400">
        <f>Source!X97</f>
        <v>0</v>
      </c>
      <c r="T400">
        <f>ROUND((Source!FY97/100)*((ROUND(Source!AF97*Source!I97, 2)+ROUND(Source!AE97*Source!I97, 2))), 2)</f>
        <v>0</v>
      </c>
      <c r="U400">
        <f>Source!Y97</f>
        <v>0</v>
      </c>
      <c r="V400">
        <f>IF(Source!BI97&lt;=1,H400, 0)</f>
        <v>137.97</v>
      </c>
      <c r="W400">
        <f>IF(Source!BI97=2,H400, 0)</f>
        <v>0</v>
      </c>
      <c r="X400">
        <f>IF(Source!BI97=3,H400, 0)</f>
        <v>0</v>
      </c>
      <c r="Y400">
        <f>IF(Source!BI97=4,H400, 0)</f>
        <v>0</v>
      </c>
    </row>
    <row r="401" spans="1:25" ht="15" x14ac:dyDescent="0.25">
      <c r="G401" s="76">
        <f>H393+H394+H396+H397+H398+SUM(H400:H400)</f>
        <v>148.12</v>
      </c>
      <c r="H401" s="76"/>
      <c r="J401" s="76">
        <f>K393+K394+K396+K397+K398+SUM(K400:K400)</f>
        <v>1041.52</v>
      </c>
      <c r="K401" s="76"/>
      <c r="N401" s="28">
        <f>G401</f>
        <v>148.12</v>
      </c>
      <c r="O401" s="28">
        <f>J401</f>
        <v>1041.52</v>
      </c>
      <c r="P401" s="28" t="e">
        <f>#REF!</f>
        <v>#REF!</v>
      </c>
      <c r="V401">
        <f>IF(Source!BI96&lt;=1,H393+H394+H396+H397+H398, 0)</f>
        <v>10.15</v>
      </c>
      <c r="W401">
        <f>IF(Source!BI96=2,H393+H394+H396+H397+H398, 0)</f>
        <v>0</v>
      </c>
      <c r="X401">
        <f>IF(Source!BI96=3,H393+H394+H396+H397+H398, 0)</f>
        <v>0</v>
      </c>
      <c r="Y401">
        <f>IF(Source!BI96=4,H393+H394+H396+H397+H398, 0)</f>
        <v>0</v>
      </c>
    </row>
    <row r="402" spans="1:25" ht="103.5" x14ac:dyDescent="0.2">
      <c r="A402" s="20" t="str">
        <f>Source!E98</f>
        <v>39</v>
      </c>
      <c r="B402" s="43" t="s">
        <v>1417</v>
      </c>
      <c r="C402" s="43" t="str">
        <f>Source!G98</f>
        <v>Устройство стяжек на каждые 5 мм изменения толщины стяжки добавлять или исключать к расценке 11- 01-011-01 (до 30мм)</v>
      </c>
      <c r="D402" s="32" t="str">
        <f>Source!H98</f>
        <v>100 м2</v>
      </c>
      <c r="E402" s="10">
        <f>Source!I98</f>
        <v>6.8000000000000005E-2</v>
      </c>
      <c r="F402" s="33">
        <f>Source!AL98+Source!AM98+Source!AO98</f>
        <v>11.05</v>
      </c>
      <c r="G402" s="34"/>
      <c r="H402" s="33"/>
      <c r="I402" s="34" t="str">
        <f>Source!BO98</f>
        <v>11-01-011-02</v>
      </c>
      <c r="J402" s="34"/>
      <c r="K402" s="33"/>
      <c r="R402">
        <f>ROUND((Source!FX98/100)*((ROUND(Source!AF98*Source!I98, 2)+ROUND(Source!AE98*Source!I98, 2))), 2)</f>
        <v>1.54</v>
      </c>
      <c r="S402">
        <f>Source!X98</f>
        <v>51.88</v>
      </c>
      <c r="T402">
        <f>ROUND((Source!FY98/100)*((ROUND(Source!AF98*Source!I98, 2)+ROUND(Source!AE98*Source!I98, 2))), 2)</f>
        <v>0.89</v>
      </c>
      <c r="U402">
        <f>Source!Y98</f>
        <v>29.91</v>
      </c>
    </row>
    <row r="403" spans="1:25" x14ac:dyDescent="0.2">
      <c r="C403" s="27" t="str">
        <f>"Объем: "&amp;Source!I98&amp;"=6,8/"&amp;"100"</f>
        <v>Объем: 0,068=6,8/100</v>
      </c>
    </row>
    <row r="404" spans="1:25" ht="28.5" x14ac:dyDescent="0.2">
      <c r="A404" s="20"/>
      <c r="B404" s="43"/>
      <c r="C404" s="43" t="s">
        <v>1372</v>
      </c>
      <c r="D404" s="32"/>
      <c r="E404" s="10"/>
      <c r="F404" s="33">
        <f>Source!AO98</f>
        <v>3.49</v>
      </c>
      <c r="G404" s="34" t="str">
        <f>Source!DG98</f>
        <v>)*1,15)*1,35*2</v>
      </c>
      <c r="H404" s="33">
        <f>ROUND(Source!AF98*Source!I98, 2)</f>
        <v>0.74</v>
      </c>
      <c r="I404" s="34"/>
      <c r="J404" s="34">
        <f>IF(Source!BA98&lt;&gt; 0, Source!BA98, 1)</f>
        <v>33.65</v>
      </c>
      <c r="K404" s="33">
        <f>Source!S98</f>
        <v>24.8</v>
      </c>
      <c r="Q404">
        <f>H404</f>
        <v>0.74</v>
      </c>
    </row>
    <row r="405" spans="1:25" ht="28.5" x14ac:dyDescent="0.2">
      <c r="A405" s="20"/>
      <c r="B405" s="43"/>
      <c r="C405" s="43" t="s">
        <v>646</v>
      </c>
      <c r="D405" s="32"/>
      <c r="E405" s="10"/>
      <c r="F405" s="33">
        <f>Source!AM98</f>
        <v>7.56</v>
      </c>
      <c r="G405" s="34" t="str">
        <f>Source!DE98</f>
        <v>)*1,25)*1,35*2</v>
      </c>
      <c r="H405" s="33">
        <f>ROUND(Source!AD98*Source!I98, 2)</f>
        <v>1.74</v>
      </c>
      <c r="I405" s="34"/>
      <c r="J405" s="34">
        <f>IF(Source!BB98&lt;&gt; 0, Source!BB98, 1)</f>
        <v>13.61</v>
      </c>
      <c r="K405" s="33">
        <f>Source!Q98</f>
        <v>23.62</v>
      </c>
    </row>
    <row r="406" spans="1:25" ht="28.5" x14ac:dyDescent="0.2">
      <c r="A406" s="20"/>
      <c r="B406" s="43"/>
      <c r="C406" s="43" t="s">
        <v>1373</v>
      </c>
      <c r="D406" s="32"/>
      <c r="E406" s="10"/>
      <c r="F406" s="33">
        <f>Source!AN98</f>
        <v>2.84</v>
      </c>
      <c r="G406" s="34" t="str">
        <f>Source!DF98</f>
        <v>)*1,25)*1,35*2</v>
      </c>
      <c r="H406" s="35">
        <f>ROUND(Source!AE98*Source!I98, 2)</f>
        <v>0.65</v>
      </c>
      <c r="I406" s="34"/>
      <c r="J406" s="34">
        <f>IF(Source!BS98&lt;&gt; 0, Source!BS98, 1)</f>
        <v>33.65</v>
      </c>
      <c r="K406" s="35">
        <f>Source!R98</f>
        <v>21.94</v>
      </c>
      <c r="Q406">
        <f>H406</f>
        <v>0.65</v>
      </c>
    </row>
    <row r="407" spans="1:25" ht="14.25" x14ac:dyDescent="0.2">
      <c r="A407" s="20"/>
      <c r="B407" s="43"/>
      <c r="C407" s="43" t="s">
        <v>1374</v>
      </c>
      <c r="D407" s="32" t="s">
        <v>1375</v>
      </c>
      <c r="E407" s="10">
        <f>Source!BZ98</f>
        <v>123</v>
      </c>
      <c r="F407" s="64" t="str">
        <f>CONCATENATE(" )", Source!DL98, Source!FT98, "=", Source!FX98)</f>
        <v xml:space="preserve"> )*0,9=110,7</v>
      </c>
      <c r="G407" s="75"/>
      <c r="H407" s="33">
        <f>SUM(R402:R410)</f>
        <v>1.54</v>
      </c>
      <c r="I407" s="36"/>
      <c r="J407" s="31">
        <f>Source!AT98</f>
        <v>111</v>
      </c>
      <c r="K407" s="33">
        <f>SUM(S402:S410)</f>
        <v>51.88</v>
      </c>
    </row>
    <row r="408" spans="1:25" ht="14.25" x14ac:dyDescent="0.2">
      <c r="A408" s="20"/>
      <c r="B408" s="43"/>
      <c r="C408" s="43" t="s">
        <v>1376</v>
      </c>
      <c r="D408" s="32" t="s">
        <v>1375</v>
      </c>
      <c r="E408" s="10">
        <f>Source!CA98</f>
        <v>75</v>
      </c>
      <c r="F408" s="64" t="str">
        <f>CONCATENATE(" )", Source!DM98, Source!FU98, "=", Source!FY98)</f>
        <v xml:space="preserve"> )*0,85=63,75</v>
      </c>
      <c r="G408" s="75"/>
      <c r="H408" s="33">
        <f>SUM(T402:T410)</f>
        <v>0.89</v>
      </c>
      <c r="I408" s="36"/>
      <c r="J408" s="31">
        <f>Source!AU98</f>
        <v>64</v>
      </c>
      <c r="K408" s="33">
        <f>SUM(U402:U410)</f>
        <v>29.91</v>
      </c>
    </row>
    <row r="409" spans="1:25" ht="28.5" x14ac:dyDescent="0.2">
      <c r="A409" s="20"/>
      <c r="B409" s="43"/>
      <c r="C409" s="43" t="s">
        <v>1377</v>
      </c>
      <c r="D409" s="32" t="s">
        <v>1378</v>
      </c>
      <c r="E409" s="10">
        <f>Source!AQ98</f>
        <v>0.44</v>
      </c>
      <c r="F409" s="33"/>
      <c r="G409" s="34" t="str">
        <f>Source!DI98</f>
        <v>)*1,15)*1,35*2</v>
      </c>
      <c r="H409" s="33"/>
      <c r="I409" s="34"/>
      <c r="J409" s="34"/>
      <c r="K409" s="33"/>
    </row>
    <row r="410" spans="1:25" ht="57" x14ac:dyDescent="0.2">
      <c r="A410" s="44"/>
      <c r="B410" s="45" t="str">
        <f>Source!F99</f>
        <v>04.3.02.13-0107</v>
      </c>
      <c r="C410" s="45" t="str">
        <f>Source!G99</f>
        <v>Смеси сухие монтажно-кладочные , цементно-песчаные, В12,5 (М150), F100, крупность заполнителя не более 3,5 мм</v>
      </c>
      <c r="D410" s="37" t="str">
        <f>Source!H99</f>
        <v>т</v>
      </c>
      <c r="E410" s="38">
        <f>Source!I99</f>
        <v>0.12920000000000001</v>
      </c>
      <c r="F410" s="39">
        <f>Source!AL99+Source!AM99+Source!AO99</f>
        <v>712.36</v>
      </c>
      <c r="G410" s="41" t="s">
        <v>1385</v>
      </c>
      <c r="H410" s="39">
        <f>ROUND(Source!AC99*Source!I99, 2)+ROUND(Source!AD99*Source!I99, 2)+ROUND(Source!AF99*Source!I99, 2)</f>
        <v>92.04</v>
      </c>
      <c r="I410" s="40"/>
      <c r="J410" s="40">
        <f>IF(Source!BC99&lt;&gt; 0, Source!BC99, 1)</f>
        <v>4.79</v>
      </c>
      <c r="K410" s="39">
        <f>Source!O99</f>
        <v>440.86</v>
      </c>
      <c r="R410">
        <f>ROUND((Source!FX99/100)*((ROUND(Source!AF99*Source!I99, 2)+ROUND(Source!AE99*Source!I99, 2))), 2)</f>
        <v>0</v>
      </c>
      <c r="S410">
        <f>Source!X99</f>
        <v>0</v>
      </c>
      <c r="T410">
        <f>ROUND((Source!FY99/100)*((ROUND(Source!AF99*Source!I99, 2)+ROUND(Source!AE99*Source!I99, 2))), 2)</f>
        <v>0</v>
      </c>
      <c r="U410">
        <f>Source!Y99</f>
        <v>0</v>
      </c>
      <c r="V410">
        <f>IF(Source!BI99&lt;=1,H410, 0)</f>
        <v>92.04</v>
      </c>
      <c r="W410">
        <f>IF(Source!BI99=2,H410, 0)</f>
        <v>0</v>
      </c>
      <c r="X410">
        <f>IF(Source!BI99=3,H410, 0)</f>
        <v>0</v>
      </c>
      <c r="Y410">
        <f>IF(Source!BI99=4,H410, 0)</f>
        <v>0</v>
      </c>
    </row>
    <row r="411" spans="1:25" ht="15" x14ac:dyDescent="0.25">
      <c r="G411" s="76">
        <f>H404+H405+H407+H408+SUM(H410:H410)</f>
        <v>96.95</v>
      </c>
      <c r="H411" s="76"/>
      <c r="J411" s="76">
        <f>K404+K405+K407+K408+SUM(K410:K410)</f>
        <v>571.07000000000005</v>
      </c>
      <c r="K411" s="76"/>
      <c r="N411" s="28">
        <f>G411</f>
        <v>96.95</v>
      </c>
      <c r="O411" s="28">
        <f>J411</f>
        <v>571.07000000000005</v>
      </c>
      <c r="P411" s="28" t="e">
        <f>#REF!</f>
        <v>#REF!</v>
      </c>
      <c r="V411">
        <f>IF(Source!BI98&lt;=1,H404+H405+H407+H408, 0)</f>
        <v>4.9099999999999993</v>
      </c>
      <c r="W411">
        <f>IF(Source!BI98=2,H404+H405+H407+H408, 0)</f>
        <v>0</v>
      </c>
      <c r="X411">
        <f>IF(Source!BI98=3,H404+H405+H407+H408, 0)</f>
        <v>0</v>
      </c>
      <c r="Y411">
        <f>IF(Source!BI98=4,H404+H405+H407+H408, 0)</f>
        <v>0</v>
      </c>
    </row>
    <row r="412" spans="1:25" ht="103.5" x14ac:dyDescent="0.2">
      <c r="A412" s="20" t="str">
        <f>Source!E100</f>
        <v>40</v>
      </c>
      <c r="B412" s="43" t="s">
        <v>1418</v>
      </c>
      <c r="C412" s="43" t="str">
        <f>Source!G100</f>
        <v>Нанесение контрастной полосы на площадку и пандус краской (ширина 50 мм)</v>
      </c>
      <c r="D412" s="32" t="str">
        <f>Source!H100</f>
        <v>100 м2</v>
      </c>
      <c r="E412" s="10">
        <f>Source!I100</f>
        <v>4.3E-3</v>
      </c>
      <c r="F412" s="33">
        <f>Source!AL100+Source!AM100+Source!AO100</f>
        <v>290.06</v>
      </c>
      <c r="G412" s="34"/>
      <c r="H412" s="33"/>
      <c r="I412" s="34" t="str">
        <f>Source!BO100</f>
        <v>13-03-003-21</v>
      </c>
      <c r="J412" s="34"/>
      <c r="K412" s="33"/>
      <c r="R412">
        <f>ROUND((Source!FX100/100)*((ROUND(Source!AF100*Source!I100, 2)+ROUND(Source!AE100*Source!I100, 2))), 2)</f>
        <v>0.27</v>
      </c>
      <c r="S412">
        <f>Source!X100</f>
        <v>8.92</v>
      </c>
      <c r="T412">
        <f>ROUND((Source!FY100/100)*((ROUND(Source!AF100*Source!I100, 2)+ROUND(Source!AE100*Source!I100, 2))), 2)</f>
        <v>0.2</v>
      </c>
      <c r="U412">
        <f>Source!Y100</f>
        <v>6.61</v>
      </c>
    </row>
    <row r="413" spans="1:25" x14ac:dyDescent="0.2">
      <c r="C413" s="27" t="str">
        <f>"Объем: "&amp;Source!I100&amp;"=0,43/"&amp;"100"</f>
        <v>Объем: 0,0043=0,43/100</v>
      </c>
    </row>
    <row r="414" spans="1:25" ht="14.25" x14ac:dyDescent="0.2">
      <c r="A414" s="20"/>
      <c r="B414" s="43"/>
      <c r="C414" s="43" t="s">
        <v>1372</v>
      </c>
      <c r="D414" s="32"/>
      <c r="E414" s="10"/>
      <c r="F414" s="33">
        <f>Source!AO100</f>
        <v>48.8</v>
      </c>
      <c r="G414" s="34" t="str">
        <f>Source!DG100</f>
        <v>)*1,15)*1,35</v>
      </c>
      <c r="H414" s="33">
        <f>ROUND(Source!AF100*Source!I100, 2)</f>
        <v>0.33</v>
      </c>
      <c r="I414" s="34"/>
      <c r="J414" s="34">
        <f>IF(Source!BA100&lt;&gt; 0, Source!BA100, 1)</f>
        <v>33.65</v>
      </c>
      <c r="K414" s="33">
        <f>Source!S100</f>
        <v>10.96</v>
      </c>
      <c r="Q414">
        <f>H414</f>
        <v>0.33</v>
      </c>
    </row>
    <row r="415" spans="1:25" ht="14.25" x14ac:dyDescent="0.2">
      <c r="A415" s="20"/>
      <c r="B415" s="43"/>
      <c r="C415" s="43" t="s">
        <v>646</v>
      </c>
      <c r="D415" s="32"/>
      <c r="E415" s="10"/>
      <c r="F415" s="33">
        <f>Source!AM100</f>
        <v>6.01</v>
      </c>
      <c r="G415" s="34" t="str">
        <f>Source!DE100</f>
        <v>)*1,25)*1,35</v>
      </c>
      <c r="H415" s="33">
        <f>ROUND(Source!AD100*Source!I100, 2)</f>
        <v>0.04</v>
      </c>
      <c r="I415" s="34"/>
      <c r="J415" s="34">
        <f>IF(Source!BB100&lt;&gt; 0, Source!BB100, 1)</f>
        <v>6.47</v>
      </c>
      <c r="K415" s="33">
        <f>Source!Q100</f>
        <v>0.28000000000000003</v>
      </c>
    </row>
    <row r="416" spans="1:25" ht="14.25" x14ac:dyDescent="0.2">
      <c r="A416" s="20"/>
      <c r="B416" s="43"/>
      <c r="C416" s="43" t="s">
        <v>1373</v>
      </c>
      <c r="D416" s="32"/>
      <c r="E416" s="10"/>
      <c r="F416" s="33">
        <f>Source!AN100</f>
        <v>0.22</v>
      </c>
      <c r="G416" s="34" t="str">
        <f>Source!DF100</f>
        <v>)*1,25)*1,35</v>
      </c>
      <c r="H416" s="35">
        <f>ROUND(Source!AE100*Source!I100, 2)</f>
        <v>0</v>
      </c>
      <c r="I416" s="34"/>
      <c r="J416" s="34">
        <f>IF(Source!BS100&lt;&gt; 0, Source!BS100, 1)</f>
        <v>33.65</v>
      </c>
      <c r="K416" s="35">
        <f>Source!R100</f>
        <v>0.05</v>
      </c>
      <c r="Q416">
        <f>H416</f>
        <v>0</v>
      </c>
    </row>
    <row r="417" spans="1:25" ht="14.25" x14ac:dyDescent="0.2">
      <c r="A417" s="20"/>
      <c r="B417" s="43"/>
      <c r="C417" s="43" t="s">
        <v>1400</v>
      </c>
      <c r="D417" s="32"/>
      <c r="E417" s="10"/>
      <c r="F417" s="33">
        <f>Source!AL100</f>
        <v>235.25</v>
      </c>
      <c r="G417" s="34" t="str">
        <f>Source!DD100</f>
        <v/>
      </c>
      <c r="H417" s="33">
        <f>ROUND(Source!AC100*Source!I100, 2)</f>
        <v>1.01</v>
      </c>
      <c r="I417" s="34"/>
      <c r="J417" s="34">
        <f>IF(Source!BC100&lt;&gt; 0, Source!BC100, 1)</f>
        <v>3.5</v>
      </c>
      <c r="K417" s="33">
        <f>Source!P100</f>
        <v>3.54</v>
      </c>
    </row>
    <row r="418" spans="1:25" ht="14.25" x14ac:dyDescent="0.2">
      <c r="A418" s="20"/>
      <c r="B418" s="43"/>
      <c r="C418" s="43" t="s">
        <v>1374</v>
      </c>
      <c r="D418" s="32" t="s">
        <v>1375</v>
      </c>
      <c r="E418" s="10">
        <f>Source!BZ100</f>
        <v>90</v>
      </c>
      <c r="F418" s="64" t="str">
        <f>CONCATENATE(" )", Source!DL100, Source!FT100, "=", Source!FX100)</f>
        <v xml:space="preserve"> )*0,9=81</v>
      </c>
      <c r="G418" s="75"/>
      <c r="H418" s="33">
        <f>SUM(R412:R420)</f>
        <v>0.27</v>
      </c>
      <c r="I418" s="36"/>
      <c r="J418" s="31">
        <f>Source!AT100</f>
        <v>81</v>
      </c>
      <c r="K418" s="33">
        <f>SUM(S412:S420)</f>
        <v>8.92</v>
      </c>
    </row>
    <row r="419" spans="1:25" ht="14.25" x14ac:dyDescent="0.2">
      <c r="A419" s="20"/>
      <c r="B419" s="43"/>
      <c r="C419" s="43" t="s">
        <v>1376</v>
      </c>
      <c r="D419" s="32" t="s">
        <v>1375</v>
      </c>
      <c r="E419" s="10">
        <f>Source!CA100</f>
        <v>70</v>
      </c>
      <c r="F419" s="64" t="str">
        <f>CONCATENATE(" )", Source!DM100, Source!FU100, "=", Source!FY100)</f>
        <v xml:space="preserve"> )*0,85=59,5</v>
      </c>
      <c r="G419" s="75"/>
      <c r="H419" s="33">
        <f>SUM(T412:T420)</f>
        <v>0.2</v>
      </c>
      <c r="I419" s="36"/>
      <c r="J419" s="31">
        <f>Source!AU100</f>
        <v>60</v>
      </c>
      <c r="K419" s="33">
        <f>SUM(U412:U420)</f>
        <v>6.61</v>
      </c>
    </row>
    <row r="420" spans="1:25" ht="14.25" x14ac:dyDescent="0.2">
      <c r="A420" s="44"/>
      <c r="B420" s="45"/>
      <c r="C420" s="45" t="s">
        <v>1377</v>
      </c>
      <c r="D420" s="37" t="s">
        <v>1378</v>
      </c>
      <c r="E420" s="38">
        <f>Source!AQ100</f>
        <v>5.38</v>
      </c>
      <c r="F420" s="39"/>
      <c r="G420" s="40" t="str">
        <f>Source!DI100</f>
        <v>)*1,15)*1,35</v>
      </c>
      <c r="H420" s="39"/>
      <c r="I420" s="40"/>
      <c r="J420" s="40"/>
      <c r="K420" s="39"/>
    </row>
    <row r="421" spans="1:25" ht="15" x14ac:dyDescent="0.25">
      <c r="G421" s="76">
        <f>H414+H415+H417+H418+H419</f>
        <v>1.8499999999999999</v>
      </c>
      <c r="H421" s="76"/>
      <c r="J421" s="76">
        <f>K414+K415+K417+K418+K419</f>
        <v>30.310000000000002</v>
      </c>
      <c r="K421" s="76"/>
      <c r="N421" s="28">
        <f>G421</f>
        <v>1.8499999999999999</v>
      </c>
      <c r="O421" s="28">
        <f>J421</f>
        <v>30.310000000000002</v>
      </c>
      <c r="P421" s="28" t="e">
        <f>#REF!</f>
        <v>#REF!</v>
      </c>
      <c r="V421">
        <f>IF(Source!BI100&lt;=1,H414+H415+H417+H418+H419, 0)</f>
        <v>1.8499999999999999</v>
      </c>
      <c r="W421">
        <f>IF(Source!BI100=2,H414+H415+H417+H418+H419, 0)</f>
        <v>0</v>
      </c>
      <c r="X421">
        <f>IF(Source!BI100=3,H414+H415+H417+H418+H419, 0)</f>
        <v>0</v>
      </c>
      <c r="Y421">
        <f>IF(Source!BI100=4,H414+H415+H417+H418+H419, 0)</f>
        <v>0</v>
      </c>
    </row>
    <row r="422" spans="1:25" ht="103.5" x14ac:dyDescent="0.2">
      <c r="A422" s="20" t="str">
        <f>Source!E101</f>
        <v>41</v>
      </c>
      <c r="B422" s="43" t="s">
        <v>1419</v>
      </c>
      <c r="C422" s="43" t="str">
        <f>Source!G101</f>
        <v>Обрамление площадки металлическим уголком 50х50х3</v>
      </c>
      <c r="D422" s="32" t="str">
        <f>Source!H101</f>
        <v>100 м</v>
      </c>
      <c r="E422" s="10">
        <f>Source!I101</f>
        <v>0.14799999999999999</v>
      </c>
      <c r="F422" s="33">
        <f>Source!AL101+Source!AM101+Source!AO101</f>
        <v>129.85</v>
      </c>
      <c r="G422" s="34"/>
      <c r="H422" s="33"/>
      <c r="I422" s="34" t="str">
        <f>Source!BO101</f>
        <v>09-03-050-01</v>
      </c>
      <c r="J422" s="34"/>
      <c r="K422" s="33"/>
      <c r="R422">
        <f>ROUND((Source!FX101/100)*((ROUND(Source!AF101*Source!I101, 2)+ROUND(Source!AE101*Source!I101, 2))), 2)</f>
        <v>21.94</v>
      </c>
      <c r="S422">
        <f>Source!X101</f>
        <v>738.22</v>
      </c>
      <c r="T422">
        <f>ROUND((Source!FY101/100)*((ROUND(Source!AF101*Source!I101, 2)+ROUND(Source!AE101*Source!I101, 2))), 2)</f>
        <v>19.57</v>
      </c>
      <c r="U422">
        <f>Source!Y101</f>
        <v>656.19</v>
      </c>
    </row>
    <row r="423" spans="1:25" x14ac:dyDescent="0.2">
      <c r="C423" s="27" t="str">
        <f>"Объем: "&amp;Source!I101&amp;"=14,8/"&amp;"100"</f>
        <v>Объем: 0,148=14,8/100</v>
      </c>
    </row>
    <row r="424" spans="1:25" ht="14.25" x14ac:dyDescent="0.2">
      <c r="A424" s="20"/>
      <c r="B424" s="43"/>
      <c r="C424" s="43" t="s">
        <v>1372</v>
      </c>
      <c r="D424" s="32"/>
      <c r="E424" s="10"/>
      <c r="F424" s="33">
        <f>Source!AO101</f>
        <v>117.24</v>
      </c>
      <c r="G424" s="34" t="str">
        <f>Source!DG101</f>
        <v>)*1,15)*1,35</v>
      </c>
      <c r="H424" s="33">
        <f>ROUND(Source!AF101*Source!I101, 2)</f>
        <v>26.94</v>
      </c>
      <c r="I424" s="34"/>
      <c r="J424" s="34">
        <f>IF(Source!BA101&lt;&gt; 0, Source!BA101, 1)</f>
        <v>33.65</v>
      </c>
      <c r="K424" s="33">
        <f>Source!S101</f>
        <v>906.5</v>
      </c>
      <c r="Q424">
        <f>H424</f>
        <v>26.94</v>
      </c>
    </row>
    <row r="425" spans="1:25" ht="14.25" x14ac:dyDescent="0.2">
      <c r="A425" s="20"/>
      <c r="B425" s="43"/>
      <c r="C425" s="43" t="s">
        <v>646</v>
      </c>
      <c r="D425" s="32"/>
      <c r="E425" s="10"/>
      <c r="F425" s="33">
        <f>Source!AM101</f>
        <v>3.29</v>
      </c>
      <c r="G425" s="34" t="str">
        <f>Source!DE101</f>
        <v>)*1,25)*1,35</v>
      </c>
      <c r="H425" s="33">
        <f>ROUND(Source!AD101*Source!I101, 2)</f>
        <v>0.82</v>
      </c>
      <c r="I425" s="34"/>
      <c r="J425" s="34">
        <f>IF(Source!BB101&lt;&gt; 0, Source!BB101, 1)</f>
        <v>11.81</v>
      </c>
      <c r="K425" s="33">
        <f>Source!Q101</f>
        <v>9.6999999999999993</v>
      </c>
    </row>
    <row r="426" spans="1:25" ht="14.25" x14ac:dyDescent="0.2">
      <c r="A426" s="20"/>
      <c r="B426" s="43"/>
      <c r="C426" s="43" t="s">
        <v>1373</v>
      </c>
      <c r="D426" s="32"/>
      <c r="E426" s="10"/>
      <c r="F426" s="33">
        <f>Source!AN101</f>
        <v>0.57999999999999996</v>
      </c>
      <c r="G426" s="34" t="str">
        <f>Source!DF101</f>
        <v>)*1,25)*1,35</v>
      </c>
      <c r="H426" s="35">
        <f>ROUND(Source!AE101*Source!I101, 2)</f>
        <v>0.15</v>
      </c>
      <c r="I426" s="34"/>
      <c r="J426" s="34">
        <f>IF(Source!BS101&lt;&gt; 0, Source!BS101, 1)</f>
        <v>33.65</v>
      </c>
      <c r="K426" s="35">
        <f>Source!R101</f>
        <v>4.88</v>
      </c>
      <c r="Q426">
        <f>H426</f>
        <v>0.15</v>
      </c>
    </row>
    <row r="427" spans="1:25" ht="14.25" x14ac:dyDescent="0.2">
      <c r="A427" s="20"/>
      <c r="B427" s="43"/>
      <c r="C427" s="43" t="s">
        <v>1400</v>
      </c>
      <c r="D427" s="32"/>
      <c r="E427" s="10"/>
      <c r="F427" s="33">
        <f>Source!AL101</f>
        <v>9.32</v>
      </c>
      <c r="G427" s="34" t="str">
        <f>Source!DD101</f>
        <v/>
      </c>
      <c r="H427" s="33">
        <f>ROUND(Source!AC101*Source!I101, 2)</f>
        <v>1.38</v>
      </c>
      <c r="I427" s="34"/>
      <c r="J427" s="34">
        <f>IF(Source!BC101&lt;&gt; 0, Source!BC101, 1)</f>
        <v>5.08</v>
      </c>
      <c r="K427" s="33">
        <f>Source!P101</f>
        <v>7.01</v>
      </c>
    </row>
    <row r="428" spans="1:25" ht="14.25" x14ac:dyDescent="0.2">
      <c r="A428" s="20"/>
      <c r="B428" s="43"/>
      <c r="C428" s="43" t="s">
        <v>1374</v>
      </c>
      <c r="D428" s="32" t="s">
        <v>1375</v>
      </c>
      <c r="E428" s="10">
        <f>Source!BZ101</f>
        <v>90</v>
      </c>
      <c r="F428" s="64" t="str">
        <f>CONCATENATE(" )", Source!DL101, Source!FT101, "=", Source!FX101)</f>
        <v xml:space="preserve"> )*0,9=81</v>
      </c>
      <c r="G428" s="75"/>
      <c r="H428" s="33">
        <f>SUM(R422:R431)</f>
        <v>21.94</v>
      </c>
      <c r="I428" s="36"/>
      <c r="J428" s="31">
        <f>Source!AT101</f>
        <v>81</v>
      </c>
      <c r="K428" s="33">
        <f>SUM(S422:S431)</f>
        <v>738.22</v>
      </c>
    </row>
    <row r="429" spans="1:25" ht="14.25" x14ac:dyDescent="0.2">
      <c r="A429" s="20"/>
      <c r="B429" s="43"/>
      <c r="C429" s="43" t="s">
        <v>1376</v>
      </c>
      <c r="D429" s="32" t="s">
        <v>1375</v>
      </c>
      <c r="E429" s="10">
        <f>Source!CA101</f>
        <v>85</v>
      </c>
      <c r="F429" s="64" t="str">
        <f>CONCATENATE(" )", Source!DM101, Source!FU101, "=", Source!FY101)</f>
        <v xml:space="preserve"> )*0,85=72,25</v>
      </c>
      <c r="G429" s="75"/>
      <c r="H429" s="33">
        <f>SUM(T422:T431)</f>
        <v>19.57</v>
      </c>
      <c r="I429" s="36"/>
      <c r="J429" s="31">
        <f>Source!AU101</f>
        <v>72</v>
      </c>
      <c r="K429" s="33">
        <f>SUM(U422:U431)</f>
        <v>656.19</v>
      </c>
    </row>
    <row r="430" spans="1:25" ht="14.25" x14ac:dyDescent="0.2">
      <c r="A430" s="20"/>
      <c r="B430" s="43"/>
      <c r="C430" s="43" t="s">
        <v>1377</v>
      </c>
      <c r="D430" s="32" t="s">
        <v>1378</v>
      </c>
      <c r="E430" s="10">
        <f>Source!AQ101</f>
        <v>12.62</v>
      </c>
      <c r="F430" s="33"/>
      <c r="G430" s="34" t="str">
        <f>Source!DI101</f>
        <v>)*1,15)*1,35</v>
      </c>
      <c r="H430" s="33"/>
      <c r="I430" s="34"/>
      <c r="J430" s="34"/>
      <c r="K430" s="33"/>
    </row>
    <row r="431" spans="1:25" ht="42.75" x14ac:dyDescent="0.2">
      <c r="A431" s="44"/>
      <c r="B431" s="45" t="str">
        <f>Source!F102</f>
        <v>08.3.08.02-3013</v>
      </c>
      <c r="C431" s="45" t="str">
        <f>Source!G102</f>
        <v>Сталь угловая равнополочная общего назначения, марка Ст3сп, сечение 50х50 мм</v>
      </c>
      <c r="D431" s="37" t="str">
        <f>Source!H102</f>
        <v>т</v>
      </c>
      <c r="E431" s="38">
        <f>Source!I102</f>
        <v>3.5000000000000003E-2</v>
      </c>
      <c r="F431" s="39">
        <f>Source!AL102+Source!AM102+Source!AO102</f>
        <v>4097.8100000000004</v>
      </c>
      <c r="G431" s="41" t="s">
        <v>1385</v>
      </c>
      <c r="H431" s="39">
        <f>ROUND(Source!AC102*Source!I102, 2)+ROUND(Source!AD102*Source!I102, 2)+ROUND(Source!AF102*Source!I102, 2)</f>
        <v>143.41999999999999</v>
      </c>
      <c r="I431" s="40"/>
      <c r="J431" s="40">
        <f>IF(Source!BC102&lt;&gt; 0, Source!BC102, 1)</f>
        <v>12.19</v>
      </c>
      <c r="K431" s="39">
        <f>Source!O102</f>
        <v>1748.33</v>
      </c>
      <c r="R431">
        <f>ROUND((Source!FX102/100)*((ROUND(Source!AF102*Source!I102, 2)+ROUND(Source!AE102*Source!I102, 2))), 2)</f>
        <v>0</v>
      </c>
      <c r="S431">
        <f>Source!X102</f>
        <v>0</v>
      </c>
      <c r="T431">
        <f>ROUND((Source!FY102/100)*((ROUND(Source!AF102*Source!I102, 2)+ROUND(Source!AE102*Source!I102, 2))), 2)</f>
        <v>0</v>
      </c>
      <c r="U431">
        <f>Source!Y102</f>
        <v>0</v>
      </c>
      <c r="V431">
        <f>IF(Source!BI102&lt;=1,H431, 0)</f>
        <v>143.41999999999999</v>
      </c>
      <c r="W431">
        <f>IF(Source!BI102=2,H431, 0)</f>
        <v>0</v>
      </c>
      <c r="X431">
        <f>IF(Source!BI102=3,H431, 0)</f>
        <v>0</v>
      </c>
      <c r="Y431">
        <f>IF(Source!BI102=4,H431, 0)</f>
        <v>0</v>
      </c>
    </row>
    <row r="432" spans="1:25" ht="15" x14ac:dyDescent="0.25">
      <c r="G432" s="76">
        <f>H424+H425+H427+H428+H429+SUM(H431:H431)</f>
        <v>214.07</v>
      </c>
      <c r="H432" s="76"/>
      <c r="J432" s="76">
        <f>K424+K425+K427+K428+K429+SUM(K431:K431)</f>
        <v>4065.95</v>
      </c>
      <c r="K432" s="76"/>
      <c r="N432" s="28">
        <f>G432</f>
        <v>214.07</v>
      </c>
      <c r="O432" s="28">
        <f>J432</f>
        <v>4065.95</v>
      </c>
      <c r="P432" s="28" t="e">
        <f>#REF!</f>
        <v>#REF!</v>
      </c>
      <c r="V432">
        <f>IF(Source!BI101&lt;=1,H424+H425+H427+H428+H429, 0)</f>
        <v>70.650000000000006</v>
      </c>
      <c r="W432">
        <f>IF(Source!BI101=2,H424+H425+H427+H428+H429, 0)</f>
        <v>0</v>
      </c>
      <c r="X432">
        <f>IF(Source!BI101=3,H424+H425+H427+H428+H429, 0)</f>
        <v>0</v>
      </c>
      <c r="Y432">
        <f>IF(Source!BI101=4,H424+H425+H427+H428+H429, 0)</f>
        <v>0</v>
      </c>
    </row>
    <row r="433" spans="1:25" ht="103.5" x14ac:dyDescent="0.2">
      <c r="A433" s="20" t="str">
        <f>Source!E103</f>
        <v>42</v>
      </c>
      <c r="B433" s="43" t="s">
        <v>1420</v>
      </c>
      <c r="C433" s="43" t="str">
        <f>Source!G103</f>
        <v>Установка дверного доводчика к металлическим дверям</v>
      </c>
      <c r="D433" s="32" t="str">
        <f>Source!H103</f>
        <v>ШТ</v>
      </c>
      <c r="E433" s="10">
        <f>Source!I103</f>
        <v>2</v>
      </c>
      <c r="F433" s="33">
        <f>Source!AL103+Source!AM103+Source!AO103</f>
        <v>15.44</v>
      </c>
      <c r="G433" s="34"/>
      <c r="H433" s="33"/>
      <c r="I433" s="34" t="str">
        <f>Source!BO103</f>
        <v>09-04-012-02</v>
      </c>
      <c r="J433" s="34"/>
      <c r="K433" s="33"/>
      <c r="R433">
        <f>ROUND((Source!FX103/100)*((ROUND(Source!AF103*Source!I103, 2)+ROUND(Source!AE103*Source!I103, 2))), 2)</f>
        <v>27.69</v>
      </c>
      <c r="S433">
        <f>Source!X103</f>
        <v>931.63</v>
      </c>
      <c r="T433">
        <f>ROUND((Source!FY103/100)*((ROUND(Source!AF103*Source!I103, 2)+ROUND(Source!AE103*Source!I103, 2))), 2)</f>
        <v>24.7</v>
      </c>
      <c r="U433">
        <f>Source!Y103</f>
        <v>828.12</v>
      </c>
    </row>
    <row r="434" spans="1:25" ht="14.25" x14ac:dyDescent="0.2">
      <c r="A434" s="20"/>
      <c r="B434" s="43"/>
      <c r="C434" s="43" t="s">
        <v>1372</v>
      </c>
      <c r="D434" s="32"/>
      <c r="E434" s="10"/>
      <c r="F434" s="33">
        <f>Source!AO103</f>
        <v>11.01</v>
      </c>
      <c r="G434" s="34" t="str">
        <f>Source!DG103</f>
        <v>)*1,15)*1,35</v>
      </c>
      <c r="H434" s="33">
        <f>ROUND(Source!AF103*Source!I103, 2)</f>
        <v>34.18</v>
      </c>
      <c r="I434" s="34"/>
      <c r="J434" s="34">
        <f>IF(Source!BA103&lt;&gt; 0, Source!BA103, 1)</f>
        <v>33.65</v>
      </c>
      <c r="K434" s="33">
        <f>Source!S103</f>
        <v>1150.1600000000001</v>
      </c>
      <c r="Q434">
        <f>H434</f>
        <v>34.18</v>
      </c>
    </row>
    <row r="435" spans="1:25" ht="14.25" x14ac:dyDescent="0.2">
      <c r="A435" s="20"/>
      <c r="B435" s="43"/>
      <c r="C435" s="43" t="s">
        <v>646</v>
      </c>
      <c r="D435" s="32"/>
      <c r="E435" s="10"/>
      <c r="F435" s="33">
        <f>Source!AM103</f>
        <v>2.11</v>
      </c>
      <c r="G435" s="34" t="str">
        <f>Source!DE103</f>
        <v>)*1,25)*1,35</v>
      </c>
      <c r="H435" s="33">
        <f>ROUND(Source!AD103*Source!I103, 2)</f>
        <v>7.12</v>
      </c>
      <c r="I435" s="34"/>
      <c r="J435" s="34">
        <f>IF(Source!BB103&lt;&gt; 0, Source!BB103, 1)</f>
        <v>4.96</v>
      </c>
      <c r="K435" s="33">
        <f>Source!Q103</f>
        <v>35.32</v>
      </c>
    </row>
    <row r="436" spans="1:25" ht="14.25" x14ac:dyDescent="0.2">
      <c r="A436" s="20"/>
      <c r="B436" s="43"/>
      <c r="C436" s="43" t="s">
        <v>1400</v>
      </c>
      <c r="D436" s="32"/>
      <c r="E436" s="10"/>
      <c r="F436" s="33">
        <f>Source!AL103</f>
        <v>2.3199999999999998</v>
      </c>
      <c r="G436" s="34" t="str">
        <f>Source!DD103</f>
        <v/>
      </c>
      <c r="H436" s="33">
        <f>ROUND(Source!AC103*Source!I103, 2)</f>
        <v>4.6399999999999997</v>
      </c>
      <c r="I436" s="34"/>
      <c r="J436" s="34">
        <f>IF(Source!BC103&lt;&gt; 0, Source!BC103, 1)</f>
        <v>5.59</v>
      </c>
      <c r="K436" s="33">
        <f>Source!P103</f>
        <v>25.94</v>
      </c>
    </row>
    <row r="437" spans="1:25" ht="14.25" x14ac:dyDescent="0.2">
      <c r="A437" s="20"/>
      <c r="B437" s="43"/>
      <c r="C437" s="43" t="s">
        <v>1374</v>
      </c>
      <c r="D437" s="32" t="s">
        <v>1375</v>
      </c>
      <c r="E437" s="10">
        <f>Source!BZ103</f>
        <v>90</v>
      </c>
      <c r="F437" s="64" t="str">
        <f>CONCATENATE(" )", Source!DL103, Source!FT103, "=", Source!FX103)</f>
        <v xml:space="preserve"> )*0,9=81</v>
      </c>
      <c r="G437" s="75"/>
      <c r="H437" s="33">
        <f>SUM(R433:R440)</f>
        <v>27.69</v>
      </c>
      <c r="I437" s="36"/>
      <c r="J437" s="31">
        <f>Source!AT103</f>
        <v>81</v>
      </c>
      <c r="K437" s="33">
        <f>SUM(S433:S440)</f>
        <v>931.63</v>
      </c>
    </row>
    <row r="438" spans="1:25" ht="14.25" x14ac:dyDescent="0.2">
      <c r="A438" s="20"/>
      <c r="B438" s="43"/>
      <c r="C438" s="43" t="s">
        <v>1376</v>
      </c>
      <c r="D438" s="32" t="s">
        <v>1375</v>
      </c>
      <c r="E438" s="10">
        <f>Source!CA103</f>
        <v>85</v>
      </c>
      <c r="F438" s="64" t="str">
        <f>CONCATENATE(" )", Source!DM103, Source!FU103, "=", Source!FY103)</f>
        <v xml:space="preserve"> )*0,85=72,25</v>
      </c>
      <c r="G438" s="75"/>
      <c r="H438" s="33">
        <f>SUM(T433:T440)</f>
        <v>24.7</v>
      </c>
      <c r="I438" s="36"/>
      <c r="J438" s="31">
        <f>Source!AU103</f>
        <v>72</v>
      </c>
      <c r="K438" s="33">
        <f>SUM(U433:U440)</f>
        <v>828.12</v>
      </c>
    </row>
    <row r="439" spans="1:25" ht="14.25" x14ac:dyDescent="0.2">
      <c r="A439" s="20"/>
      <c r="B439" s="43"/>
      <c r="C439" s="43" t="s">
        <v>1377</v>
      </c>
      <c r="D439" s="32" t="s">
        <v>1378</v>
      </c>
      <c r="E439" s="10">
        <f>Source!AQ103</f>
        <v>1.1100000000000001</v>
      </c>
      <c r="F439" s="33"/>
      <c r="G439" s="34" t="str">
        <f>Source!DI103</f>
        <v>)*1,15)*1,35</v>
      </c>
      <c r="H439" s="33"/>
      <c r="I439" s="34"/>
      <c r="J439" s="34"/>
      <c r="K439" s="33"/>
    </row>
    <row r="440" spans="1:25" ht="28.5" x14ac:dyDescent="0.2">
      <c r="A440" s="44"/>
      <c r="B440" s="45" t="str">
        <f>Source!F104</f>
        <v>01.7.04.01-0001</v>
      </c>
      <c r="C440" s="45" t="str">
        <f>Source!G104</f>
        <v>Доводчик дверной, усилие закрывания EN2-5</v>
      </c>
      <c r="D440" s="37" t="str">
        <f>Source!H104</f>
        <v>ШТ</v>
      </c>
      <c r="E440" s="38">
        <f>Source!I104</f>
        <v>2</v>
      </c>
      <c r="F440" s="39">
        <f>Source!AL104+Source!AM104+Source!AO104</f>
        <v>371.2</v>
      </c>
      <c r="G440" s="41" t="s">
        <v>1385</v>
      </c>
      <c r="H440" s="39">
        <f>ROUND(Source!AC104*Source!I104, 2)+ROUND(Source!AD104*Source!I104, 2)+ROUND(Source!AF104*Source!I104, 2)</f>
        <v>742.4</v>
      </c>
      <c r="I440" s="40"/>
      <c r="J440" s="40">
        <f>IF(Source!BC104&lt;&gt; 0, Source!BC104, 1)</f>
        <v>5.64</v>
      </c>
      <c r="K440" s="39">
        <f>Source!O104</f>
        <v>4187.1400000000003</v>
      </c>
      <c r="R440">
        <f>ROUND((Source!FX104/100)*((ROUND(Source!AF104*Source!I104, 2)+ROUND(Source!AE104*Source!I104, 2))), 2)</f>
        <v>0</v>
      </c>
      <c r="S440">
        <f>Source!X104</f>
        <v>0</v>
      </c>
      <c r="T440">
        <f>ROUND((Source!FY104/100)*((ROUND(Source!AF104*Source!I104, 2)+ROUND(Source!AE104*Source!I104, 2))), 2)</f>
        <v>0</v>
      </c>
      <c r="U440">
        <f>Source!Y104</f>
        <v>0</v>
      </c>
      <c r="V440">
        <f>IF(Source!BI104&lt;=1,H440, 0)</f>
        <v>742.4</v>
      </c>
      <c r="W440">
        <f>IF(Source!BI104=2,H440, 0)</f>
        <v>0</v>
      </c>
      <c r="X440">
        <f>IF(Source!BI104=3,H440, 0)</f>
        <v>0</v>
      </c>
      <c r="Y440">
        <f>IF(Source!BI104=4,H440, 0)</f>
        <v>0</v>
      </c>
    </row>
    <row r="441" spans="1:25" ht="15" x14ac:dyDescent="0.25">
      <c r="G441" s="76">
        <f>H434+H435+H436+H437+H438+SUM(H440:H440)</f>
        <v>840.73</v>
      </c>
      <c r="H441" s="76"/>
      <c r="J441" s="76">
        <f>K434+K435+K436+K437+K438+SUM(K440:K440)</f>
        <v>7158.31</v>
      </c>
      <c r="K441" s="76"/>
      <c r="N441" s="28">
        <f>G441</f>
        <v>840.73</v>
      </c>
      <c r="O441" s="28">
        <f>J441</f>
        <v>7158.31</v>
      </c>
      <c r="P441" s="28" t="e">
        <f>#REF!</f>
        <v>#REF!</v>
      </c>
      <c r="V441">
        <f>IF(Source!BI103&lt;=1,H434+H435+H436+H437+H438, 0)</f>
        <v>98.33</v>
      </c>
      <c r="W441">
        <f>IF(Source!BI103=2,H434+H435+H436+H437+H438, 0)</f>
        <v>0</v>
      </c>
      <c r="X441">
        <f>IF(Source!BI103=3,H434+H435+H436+H437+H438, 0)</f>
        <v>0</v>
      </c>
      <c r="Y441">
        <f>IF(Source!BI103=4,H434+H435+H436+H437+H438, 0)</f>
        <v>0</v>
      </c>
    </row>
    <row r="442" spans="1:25" ht="65.25" x14ac:dyDescent="0.2">
      <c r="A442" s="20" t="str">
        <f>Source!E105</f>
        <v>43</v>
      </c>
      <c r="B442" s="43" t="s">
        <v>1421</v>
      </c>
      <c r="C442" s="43" t="str">
        <f>Source!G105</f>
        <v>Сверление вертикальных отверстий в бетонных конструкциях полов перфоратором глубиной 200 мм диаметром: до 20 мм</v>
      </c>
      <c r="D442" s="32" t="str">
        <f>Source!H105</f>
        <v>100 отверстий</v>
      </c>
      <c r="E442" s="10">
        <f>Source!I105</f>
        <v>0.02</v>
      </c>
      <c r="F442" s="33">
        <f>Source!AL105+Source!AM105+Source!AO105</f>
        <v>42.65</v>
      </c>
      <c r="G442" s="34"/>
      <c r="H442" s="33"/>
      <c r="I442" s="34" t="str">
        <f>Source!BO105</f>
        <v>46-03-013-01</v>
      </c>
      <c r="J442" s="34"/>
      <c r="K442" s="33"/>
      <c r="R442">
        <f>ROUND((Source!FX105/100)*((ROUND(Source!AF105*Source!I105, 2)+ROUND(Source!AE105*Source!I105, 2))), 2)</f>
        <v>0.97</v>
      </c>
      <c r="S442">
        <f>Source!X105</f>
        <v>32.68</v>
      </c>
      <c r="T442">
        <f>ROUND((Source!FY105/100)*((ROUND(Source!AF105*Source!I105, 2)+ROUND(Source!AE105*Source!I105, 2))), 2)</f>
        <v>0.57999999999999996</v>
      </c>
      <c r="U442">
        <f>Source!Y105</f>
        <v>19.809999999999999</v>
      </c>
    </row>
    <row r="443" spans="1:25" x14ac:dyDescent="0.2">
      <c r="C443" s="27" t="str">
        <f>"Объем: "&amp;Source!I105&amp;"=2/"&amp;"100"</f>
        <v>Объем: 0,02=2/100</v>
      </c>
    </row>
    <row r="444" spans="1:25" ht="14.25" x14ac:dyDescent="0.2">
      <c r="A444" s="20"/>
      <c r="B444" s="43"/>
      <c r="C444" s="43" t="s">
        <v>1372</v>
      </c>
      <c r="D444" s="32"/>
      <c r="E444" s="10"/>
      <c r="F444" s="33">
        <f>Source!AO105</f>
        <v>42.65</v>
      </c>
      <c r="G444" s="34" t="str">
        <f>Source!DG105</f>
        <v>)*1,15</v>
      </c>
      <c r="H444" s="33">
        <f>ROUND(Source!AF105*Source!I105, 2)</f>
        <v>0.98</v>
      </c>
      <c r="I444" s="34"/>
      <c r="J444" s="34">
        <f>IF(Source!BA105&lt;&gt; 0, Source!BA105, 1)</f>
        <v>33.65</v>
      </c>
      <c r="K444" s="33">
        <f>Source!S105</f>
        <v>33.01</v>
      </c>
      <c r="Q444">
        <f>H444</f>
        <v>0.98</v>
      </c>
    </row>
    <row r="445" spans="1:25" ht="14.25" x14ac:dyDescent="0.2">
      <c r="A445" s="20"/>
      <c r="B445" s="43"/>
      <c r="C445" s="43" t="s">
        <v>1374</v>
      </c>
      <c r="D445" s="32" t="s">
        <v>1375</v>
      </c>
      <c r="E445" s="10">
        <f>Source!BZ105</f>
        <v>110</v>
      </c>
      <c r="F445" s="64" t="str">
        <f>CONCATENATE(" )", Source!DL105, Source!FT105, "=", Source!FX105)</f>
        <v xml:space="preserve"> )*0,9=99</v>
      </c>
      <c r="G445" s="75"/>
      <c r="H445" s="33">
        <f>SUM(R442:R447)</f>
        <v>0.97</v>
      </c>
      <c r="I445" s="36"/>
      <c r="J445" s="31">
        <f>Source!AT105</f>
        <v>99</v>
      </c>
      <c r="K445" s="33">
        <f>SUM(S442:S447)</f>
        <v>32.68</v>
      </c>
    </row>
    <row r="446" spans="1:25" ht="14.25" x14ac:dyDescent="0.2">
      <c r="A446" s="20"/>
      <c r="B446" s="43"/>
      <c r="C446" s="43" t="s">
        <v>1376</v>
      </c>
      <c r="D446" s="32" t="s">
        <v>1375</v>
      </c>
      <c r="E446" s="10">
        <f>Source!CA105</f>
        <v>70</v>
      </c>
      <c r="F446" s="64" t="str">
        <f>CONCATENATE(" )", Source!DM105, Source!FU105, "=", Source!FY105)</f>
        <v xml:space="preserve"> )*0,85=59,5</v>
      </c>
      <c r="G446" s="75"/>
      <c r="H446" s="33">
        <f>SUM(T442:T447)</f>
        <v>0.57999999999999996</v>
      </c>
      <c r="I446" s="36"/>
      <c r="J446" s="31">
        <f>Source!AU105</f>
        <v>60</v>
      </c>
      <c r="K446" s="33">
        <f>SUM(U442:U447)</f>
        <v>19.809999999999999</v>
      </c>
    </row>
    <row r="447" spans="1:25" ht="14.25" x14ac:dyDescent="0.2">
      <c r="A447" s="44"/>
      <c r="B447" s="45"/>
      <c r="C447" s="45" t="s">
        <v>1377</v>
      </c>
      <c r="D447" s="37" t="s">
        <v>1378</v>
      </c>
      <c r="E447" s="38">
        <f>Source!AQ105</f>
        <v>5</v>
      </c>
      <c r="F447" s="39"/>
      <c r="G447" s="40" t="str">
        <f>Source!DI105</f>
        <v>)*1,15</v>
      </c>
      <c r="H447" s="39"/>
      <c r="I447" s="40"/>
      <c r="J447" s="40"/>
      <c r="K447" s="39"/>
    </row>
    <row r="448" spans="1:25" ht="15" x14ac:dyDescent="0.25">
      <c r="G448" s="76">
        <f>H444+H445+H446</f>
        <v>2.5299999999999998</v>
      </c>
      <c r="H448" s="76"/>
      <c r="J448" s="76">
        <f>K444+K445+K446</f>
        <v>85.5</v>
      </c>
      <c r="K448" s="76"/>
      <c r="N448" s="28">
        <f>G448</f>
        <v>2.5299999999999998</v>
      </c>
      <c r="O448" s="28">
        <f>J448</f>
        <v>85.5</v>
      </c>
      <c r="P448" s="28" t="e">
        <f>#REF!</f>
        <v>#REF!</v>
      </c>
      <c r="V448">
        <f>IF(Source!BI105&lt;=1,H444+H445+H446, 0)</f>
        <v>2.5299999999999998</v>
      </c>
      <c r="W448">
        <f>IF(Source!BI105=2,H444+H445+H446, 0)</f>
        <v>0</v>
      </c>
      <c r="X448">
        <f>IF(Source!BI105=3,H444+H445+H446, 0)</f>
        <v>0</v>
      </c>
      <c r="Y448">
        <f>IF(Source!BI105=4,H444+H445+H446, 0)</f>
        <v>0</v>
      </c>
    </row>
    <row r="449" spans="1:25" ht="103.5" x14ac:dyDescent="0.2">
      <c r="A449" s="20" t="str">
        <f>Source!E106</f>
        <v>44</v>
      </c>
      <c r="B449" s="43" t="s">
        <v>1422</v>
      </c>
      <c r="C449" s="43" t="str">
        <f>Source!G106</f>
        <v>Установка ограничителя открывания двери</v>
      </c>
      <c r="D449" s="32" t="str">
        <f>Source!H106</f>
        <v>100 ШТ</v>
      </c>
      <c r="E449" s="10">
        <f>Source!I106</f>
        <v>0.02</v>
      </c>
      <c r="F449" s="33">
        <f>Source!AL106+Source!AM106+Source!AO106</f>
        <v>109.77000000000001</v>
      </c>
      <c r="G449" s="34"/>
      <c r="H449" s="33"/>
      <c r="I449" s="34" t="str">
        <f>Source!BO106</f>
        <v>09-05-003-01</v>
      </c>
      <c r="J449" s="34"/>
      <c r="K449" s="33"/>
      <c r="R449">
        <f>ROUND((Source!FX106/100)*((ROUND(Source!AF106*Source!I106, 2)+ROUND(Source!AE106*Source!I106, 2))), 2)</f>
        <v>2.72</v>
      </c>
      <c r="S449">
        <f>Source!X106</f>
        <v>91.64</v>
      </c>
      <c r="T449">
        <f>ROUND((Source!FY106/100)*((ROUND(Source!AF106*Source!I106, 2)+ROUND(Source!AE106*Source!I106, 2))), 2)</f>
        <v>2.4300000000000002</v>
      </c>
      <c r="U449">
        <f>Source!Y106</f>
        <v>81.45</v>
      </c>
    </row>
    <row r="450" spans="1:25" x14ac:dyDescent="0.2">
      <c r="C450" s="27" t="str">
        <f>"Объем: "&amp;Source!I106&amp;"=2/"&amp;"100"</f>
        <v>Объем: 0,02=2/100</v>
      </c>
    </row>
    <row r="451" spans="1:25" ht="14.25" x14ac:dyDescent="0.2">
      <c r="A451" s="20"/>
      <c r="B451" s="43"/>
      <c r="C451" s="43" t="s">
        <v>1372</v>
      </c>
      <c r="D451" s="32"/>
      <c r="E451" s="10"/>
      <c r="F451" s="33">
        <f>Source!AO106</f>
        <v>107.93</v>
      </c>
      <c r="G451" s="34" t="str">
        <f>Source!DG106</f>
        <v>)*1,15)*1,35</v>
      </c>
      <c r="H451" s="33">
        <f>ROUND(Source!AF106*Source!I106, 2)</f>
        <v>3.35</v>
      </c>
      <c r="I451" s="34"/>
      <c r="J451" s="34">
        <f>IF(Source!BA106&lt;&gt; 0, Source!BA106, 1)</f>
        <v>33.65</v>
      </c>
      <c r="K451" s="33">
        <f>Source!S106</f>
        <v>112.77</v>
      </c>
      <c r="Q451">
        <f>H451</f>
        <v>3.35</v>
      </c>
    </row>
    <row r="452" spans="1:25" ht="14.25" x14ac:dyDescent="0.2">
      <c r="A452" s="20"/>
      <c r="B452" s="43"/>
      <c r="C452" s="43" t="s">
        <v>646</v>
      </c>
      <c r="D452" s="32"/>
      <c r="E452" s="10"/>
      <c r="F452" s="33">
        <f>Source!AM106</f>
        <v>1.84</v>
      </c>
      <c r="G452" s="34" t="str">
        <f>Source!DE106</f>
        <v>)*1,25)*1,35</v>
      </c>
      <c r="H452" s="33">
        <f>ROUND(Source!AD106*Source!I106, 2)</f>
        <v>0.06</v>
      </c>
      <c r="I452" s="34"/>
      <c r="J452" s="34">
        <f>IF(Source!BB106&lt;&gt; 0, Source!BB106, 1)</f>
        <v>11.81</v>
      </c>
      <c r="K452" s="33">
        <f>Source!Q106</f>
        <v>0.73</v>
      </c>
    </row>
    <row r="453" spans="1:25" ht="14.25" x14ac:dyDescent="0.2">
      <c r="A453" s="20"/>
      <c r="B453" s="43"/>
      <c r="C453" s="43" t="s">
        <v>1373</v>
      </c>
      <c r="D453" s="32"/>
      <c r="E453" s="10"/>
      <c r="F453" s="33">
        <f>Source!AN106</f>
        <v>0.32</v>
      </c>
      <c r="G453" s="34" t="str">
        <f>Source!DF106</f>
        <v>)*1,25)*1,35</v>
      </c>
      <c r="H453" s="35">
        <f>ROUND(Source!AE106*Source!I106, 2)</f>
        <v>0.01</v>
      </c>
      <c r="I453" s="34"/>
      <c r="J453" s="34">
        <f>IF(Source!BS106&lt;&gt; 0, Source!BS106, 1)</f>
        <v>33.65</v>
      </c>
      <c r="K453" s="35">
        <f>Source!R106</f>
        <v>0.36</v>
      </c>
      <c r="Q453">
        <f>H453</f>
        <v>0.01</v>
      </c>
    </row>
    <row r="454" spans="1:25" ht="14.25" x14ac:dyDescent="0.2">
      <c r="A454" s="20"/>
      <c r="B454" s="43"/>
      <c r="C454" s="43" t="s">
        <v>1374</v>
      </c>
      <c r="D454" s="32" t="s">
        <v>1375</v>
      </c>
      <c r="E454" s="10">
        <f>Source!BZ106</f>
        <v>90</v>
      </c>
      <c r="F454" s="64" t="str">
        <f>CONCATENATE(" )", Source!DL106, Source!FT106, "=", Source!FX106)</f>
        <v xml:space="preserve"> )*0,9=81</v>
      </c>
      <c r="G454" s="75"/>
      <c r="H454" s="33">
        <f>SUM(R449:R457)</f>
        <v>2.72</v>
      </c>
      <c r="I454" s="36"/>
      <c r="J454" s="31">
        <f>Source!AT106</f>
        <v>81</v>
      </c>
      <c r="K454" s="33">
        <f>SUM(S449:S457)</f>
        <v>91.64</v>
      </c>
    </row>
    <row r="455" spans="1:25" ht="14.25" x14ac:dyDescent="0.2">
      <c r="A455" s="20"/>
      <c r="B455" s="43"/>
      <c r="C455" s="43" t="s">
        <v>1376</v>
      </c>
      <c r="D455" s="32" t="s">
        <v>1375</v>
      </c>
      <c r="E455" s="10">
        <f>Source!CA106</f>
        <v>85</v>
      </c>
      <c r="F455" s="64" t="str">
        <f>CONCATENATE(" )", Source!DM106, Source!FU106, "=", Source!FY106)</f>
        <v xml:space="preserve"> )*0,85=72,25</v>
      </c>
      <c r="G455" s="75"/>
      <c r="H455" s="33">
        <f>SUM(T449:T457)</f>
        <v>2.4300000000000002</v>
      </c>
      <c r="I455" s="36"/>
      <c r="J455" s="31">
        <f>Source!AU106</f>
        <v>72</v>
      </c>
      <c r="K455" s="33">
        <f>SUM(U449:U457)</f>
        <v>81.45</v>
      </c>
    </row>
    <row r="456" spans="1:25" ht="14.25" x14ac:dyDescent="0.2">
      <c r="A456" s="20"/>
      <c r="B456" s="43"/>
      <c r="C456" s="43" t="s">
        <v>1377</v>
      </c>
      <c r="D456" s="32" t="s">
        <v>1378</v>
      </c>
      <c r="E456" s="10">
        <f>Source!AQ106</f>
        <v>11.9</v>
      </c>
      <c r="F456" s="33"/>
      <c r="G456" s="34" t="str">
        <f>Source!DI106</f>
        <v>)*1,15)*1,35</v>
      </c>
      <c r="H456" s="33"/>
      <c r="I456" s="34"/>
      <c r="J456" s="34"/>
      <c r="K456" s="33"/>
    </row>
    <row r="457" spans="1:25" ht="14.25" x14ac:dyDescent="0.2">
      <c r="A457" s="44"/>
      <c r="B457" s="45" t="str">
        <f>Source!F107</f>
        <v>01.7.04.11-0041</v>
      </c>
      <c r="C457" s="45" t="str">
        <f>Source!G107</f>
        <v>Упоры дверные</v>
      </c>
      <c r="D457" s="37" t="str">
        <f>Source!H107</f>
        <v>К-Т</v>
      </c>
      <c r="E457" s="38">
        <f>Source!I107</f>
        <v>2</v>
      </c>
      <c r="F457" s="39">
        <f>Source!AL107+Source!AM107+Source!AO107</f>
        <v>8.3000000000000007</v>
      </c>
      <c r="G457" s="41" t="s">
        <v>1385</v>
      </c>
      <c r="H457" s="39">
        <f>ROUND(Source!AC107*Source!I107, 2)+ROUND(Source!AD107*Source!I107, 2)+ROUND(Source!AF107*Source!I107, 2)</f>
        <v>16.600000000000001</v>
      </c>
      <c r="I457" s="40"/>
      <c r="J457" s="40">
        <f>IF(Source!BC107&lt;&gt; 0, Source!BC107, 1)</f>
        <v>5.46</v>
      </c>
      <c r="K457" s="39">
        <f>Source!O107</f>
        <v>90.64</v>
      </c>
      <c r="R457">
        <f>ROUND((Source!FX107/100)*((ROUND(Source!AF107*Source!I107, 2)+ROUND(Source!AE107*Source!I107, 2))), 2)</f>
        <v>0</v>
      </c>
      <c r="S457">
        <f>Source!X107</f>
        <v>0</v>
      </c>
      <c r="T457">
        <f>ROUND((Source!FY107/100)*((ROUND(Source!AF107*Source!I107, 2)+ROUND(Source!AE107*Source!I107, 2))), 2)</f>
        <v>0</v>
      </c>
      <c r="U457">
        <f>Source!Y107</f>
        <v>0</v>
      </c>
      <c r="V457">
        <f>IF(Source!BI107&lt;=1,H457, 0)</f>
        <v>16.600000000000001</v>
      </c>
      <c r="W457">
        <f>IF(Source!BI107=2,H457, 0)</f>
        <v>0</v>
      </c>
      <c r="X457">
        <f>IF(Source!BI107=3,H457, 0)</f>
        <v>0</v>
      </c>
      <c r="Y457">
        <f>IF(Source!BI107=4,H457, 0)</f>
        <v>0</v>
      </c>
    </row>
    <row r="458" spans="1:25" ht="15" x14ac:dyDescent="0.25">
      <c r="G458" s="76">
        <f>H451+H452+H454+H455+SUM(H457:H457)</f>
        <v>25.160000000000004</v>
      </c>
      <c r="H458" s="76"/>
      <c r="J458" s="76">
        <f>K451+K452+K454+K455+SUM(K457:K457)</f>
        <v>377.22999999999996</v>
      </c>
      <c r="K458" s="76"/>
      <c r="N458" s="28">
        <f>G458</f>
        <v>25.160000000000004</v>
      </c>
      <c r="O458" s="28">
        <f>J458</f>
        <v>377.22999999999996</v>
      </c>
      <c r="P458" s="28" t="e">
        <f>#REF!</f>
        <v>#REF!</v>
      </c>
      <c r="V458">
        <f>IF(Source!BI106&lt;=1,H451+H452+H454+H455, 0)</f>
        <v>8.56</v>
      </c>
      <c r="W458">
        <f>IF(Source!BI106=2,H451+H452+H454+H455, 0)</f>
        <v>0</v>
      </c>
      <c r="X458">
        <f>IF(Source!BI106=3,H451+H452+H454+H455, 0)</f>
        <v>0</v>
      </c>
      <c r="Y458">
        <f>IF(Source!BI106=4,H451+H452+H454+H455, 0)</f>
        <v>0</v>
      </c>
    </row>
    <row r="459" spans="1:25" ht="128.25" x14ac:dyDescent="0.2">
      <c r="A459" s="20" t="str">
        <f>Source!E108</f>
        <v>45</v>
      </c>
      <c r="B459" s="43" t="s">
        <v>1423</v>
      </c>
      <c r="C459" s="43" t="str">
        <f>Source!G108</f>
        <v>Изготовление и установка металлического пандуса: Трубы ст. прямоуг (ГОСТ 8645-86) 80х40х3 мм -  23 м.п.; Трубы ст. прямоуг (ГОСТ 8645-86) 40х20х3 мм -16 м.п..; настил прессованный решетчатый оцинкованный, ячейка 33х11 мм, толщина 30х2 мм -7,2 м2; стальная полоса 3х150мм - 3,5 м.п.</v>
      </c>
      <c r="D459" s="32" t="str">
        <f>Source!H108</f>
        <v>т</v>
      </c>
      <c r="E459" s="10">
        <f>Source!I108</f>
        <v>0.38819999999999999</v>
      </c>
      <c r="F459" s="33">
        <f>Source!AL108+Source!AM108+Source!AO108</f>
        <v>1826.31</v>
      </c>
      <c r="G459" s="34"/>
      <c r="H459" s="33"/>
      <c r="I459" s="34" t="str">
        <f>Source!BO108</f>
        <v>м38-01-004-07</v>
      </c>
      <c r="J459" s="34"/>
      <c r="K459" s="33"/>
      <c r="R459">
        <f>ROUND((Source!FX108/100)*((ROUND(Source!AF108*Source!I108, 2)+ROUND(Source!AE108*Source!I108, 2))), 2)</f>
        <v>401.46</v>
      </c>
      <c r="S459">
        <f>Source!X108</f>
        <v>13509.08</v>
      </c>
      <c r="T459">
        <f>ROUND((Source!FY108/100)*((ROUND(Source!AF108*Source!I108, 2)+ROUND(Source!AE108*Source!I108, 2))), 2)</f>
        <v>243.31</v>
      </c>
      <c r="U459">
        <f>Source!Y108</f>
        <v>8187.32</v>
      </c>
    </row>
    <row r="460" spans="1:25" x14ac:dyDescent="0.2">
      <c r="C460" s="27" t="str">
        <f>"Объем: "&amp;Source!I108&amp;"=0,121+"&amp;"0,0388+"&amp;"0,216+"&amp;"0,0124"</f>
        <v>Объем: 0,3882=0,121+0,0388+0,216+0,0124</v>
      </c>
    </row>
    <row r="461" spans="1:25" ht="14.25" x14ac:dyDescent="0.2">
      <c r="A461" s="20"/>
      <c r="B461" s="43"/>
      <c r="C461" s="43" t="s">
        <v>1372</v>
      </c>
      <c r="D461" s="32"/>
      <c r="E461" s="10"/>
      <c r="F461" s="33">
        <f>Source!AO108</f>
        <v>1128</v>
      </c>
      <c r="G461" s="34" t="str">
        <f>Source!DG108</f>
        <v>)*1,35</v>
      </c>
      <c r="H461" s="33">
        <f>ROUND(Source!AF108*Source!I108, 2)</f>
        <v>591.15</v>
      </c>
      <c r="I461" s="34"/>
      <c r="J461" s="34">
        <f>IF(Source!BA108&lt;&gt; 0, Source!BA108, 1)</f>
        <v>33.65</v>
      </c>
      <c r="K461" s="33">
        <f>Source!S108</f>
        <v>19892.23</v>
      </c>
      <c r="Q461">
        <f>H461</f>
        <v>591.15</v>
      </c>
    </row>
    <row r="462" spans="1:25" ht="14.25" x14ac:dyDescent="0.2">
      <c r="A462" s="20"/>
      <c r="B462" s="43"/>
      <c r="C462" s="43" t="s">
        <v>646</v>
      </c>
      <c r="D462" s="32"/>
      <c r="E462" s="10"/>
      <c r="F462" s="33">
        <f>Source!AM108</f>
        <v>494.14</v>
      </c>
      <c r="G462" s="34" t="str">
        <f>Source!DE108</f>
        <v>)*1,35</v>
      </c>
      <c r="H462" s="33">
        <f>ROUND(Source!AD108*Source!I108, 2)</f>
        <v>258.95999999999998</v>
      </c>
      <c r="I462" s="34"/>
      <c r="J462" s="34">
        <f>IF(Source!BB108&lt;&gt; 0, Source!BB108, 1)</f>
        <v>7.95</v>
      </c>
      <c r="K462" s="33">
        <f>Source!Q108</f>
        <v>2058.7399999999998</v>
      </c>
    </row>
    <row r="463" spans="1:25" ht="14.25" x14ac:dyDescent="0.2">
      <c r="A463" s="20"/>
      <c r="B463" s="43"/>
      <c r="C463" s="43" t="s">
        <v>1373</v>
      </c>
      <c r="D463" s="32"/>
      <c r="E463" s="10"/>
      <c r="F463" s="33">
        <f>Source!AN108</f>
        <v>32.67</v>
      </c>
      <c r="G463" s="34" t="str">
        <f>Source!DF108</f>
        <v>)*1,35</v>
      </c>
      <c r="H463" s="35">
        <f>ROUND(Source!AE108*Source!I108, 2)</f>
        <v>17.12</v>
      </c>
      <c r="I463" s="34"/>
      <c r="J463" s="34">
        <f>IF(Source!BS108&lt;&gt; 0, Source!BS108, 1)</f>
        <v>33.65</v>
      </c>
      <c r="K463" s="35">
        <f>Source!R108</f>
        <v>576.08000000000004</v>
      </c>
      <c r="Q463">
        <f>H463</f>
        <v>17.12</v>
      </c>
    </row>
    <row r="464" spans="1:25" ht="14.25" x14ac:dyDescent="0.2">
      <c r="A464" s="20"/>
      <c r="B464" s="43"/>
      <c r="C464" s="43" t="s">
        <v>1400</v>
      </c>
      <c r="D464" s="32"/>
      <c r="E464" s="10"/>
      <c r="F464" s="33">
        <f>Source!AL108</f>
        <v>204.17</v>
      </c>
      <c r="G464" s="34" t="str">
        <f>Source!DD108</f>
        <v/>
      </c>
      <c r="H464" s="33">
        <f>ROUND(Source!AC108*Source!I108, 2)</f>
        <v>79.260000000000005</v>
      </c>
      <c r="I464" s="34"/>
      <c r="J464" s="34">
        <f>IF(Source!BC108&lt;&gt; 0, Source!BC108, 1)</f>
        <v>12.43</v>
      </c>
      <c r="K464" s="33">
        <f>Source!P108</f>
        <v>985.19</v>
      </c>
    </row>
    <row r="465" spans="1:25" ht="14.25" x14ac:dyDescent="0.2">
      <c r="A465" s="20"/>
      <c r="B465" s="43"/>
      <c r="C465" s="43" t="s">
        <v>1374</v>
      </c>
      <c r="D465" s="32" t="s">
        <v>1375</v>
      </c>
      <c r="E465" s="10">
        <f>Source!BZ108</f>
        <v>66</v>
      </c>
      <c r="F465" s="46"/>
      <c r="G465" s="34"/>
      <c r="H465" s="33">
        <f>SUM(R459:R471)</f>
        <v>401.46</v>
      </c>
      <c r="I465" s="36"/>
      <c r="J465" s="31">
        <f>Source!AT108</f>
        <v>66</v>
      </c>
      <c r="K465" s="33">
        <f>SUM(S459:S471)</f>
        <v>13509.08</v>
      </c>
    </row>
    <row r="466" spans="1:25" ht="14.25" x14ac:dyDescent="0.2">
      <c r="A466" s="20"/>
      <c r="B466" s="43"/>
      <c r="C466" s="43" t="s">
        <v>1376</v>
      </c>
      <c r="D466" s="32" t="s">
        <v>1375</v>
      </c>
      <c r="E466" s="10">
        <f>Source!CA108</f>
        <v>40</v>
      </c>
      <c r="F466" s="46"/>
      <c r="G466" s="34"/>
      <c r="H466" s="33">
        <f>SUM(T459:T471)</f>
        <v>243.31</v>
      </c>
      <c r="I466" s="36"/>
      <c r="J466" s="31">
        <f>Source!AU108</f>
        <v>40</v>
      </c>
      <c r="K466" s="33">
        <f>SUM(U459:U471)</f>
        <v>8187.32</v>
      </c>
    </row>
    <row r="467" spans="1:25" ht="14.25" x14ac:dyDescent="0.2">
      <c r="A467" s="20"/>
      <c r="B467" s="43"/>
      <c r="C467" s="43" t="s">
        <v>1377</v>
      </c>
      <c r="D467" s="32" t="s">
        <v>1378</v>
      </c>
      <c r="E467" s="10">
        <f>Source!AQ108</f>
        <v>120</v>
      </c>
      <c r="F467" s="33"/>
      <c r="G467" s="34" t="str">
        <f>Source!DI108</f>
        <v>)*1,35</v>
      </c>
      <c r="H467" s="33"/>
      <c r="I467" s="34"/>
      <c r="J467" s="34"/>
      <c r="K467" s="33"/>
    </row>
    <row r="468" spans="1:25" ht="85.5" x14ac:dyDescent="0.2">
      <c r="A468" s="20"/>
      <c r="B468" s="43" t="str">
        <f>Source!F109</f>
        <v>23.3.08.02-0148</v>
      </c>
      <c r="C468" s="43" t="str">
        <f>Source!G109</f>
        <v>Трубы стальные бесшовные горячедеформированные и холоднодеформированные прямоугольные из углеродистой и легированной стали, наружный размер 80х40 мм, толщина стенки 3 мм</v>
      </c>
      <c r="D468" s="32" t="str">
        <f>Source!H109</f>
        <v>т</v>
      </c>
      <c r="E468" s="10">
        <f>Source!I109</f>
        <v>0.121</v>
      </c>
      <c r="F468" s="33">
        <f>Source!AL109+Source!AM109+Source!AO109</f>
        <v>8077.32</v>
      </c>
      <c r="G468" s="42" t="s">
        <v>1385</v>
      </c>
      <c r="H468" s="33">
        <f>ROUND(Source!AC109*Source!I109, 2)+ROUND(Source!AD109*Source!I109, 2)+ROUND(Source!AF109*Source!I109, 2)</f>
        <v>977.36</v>
      </c>
      <c r="I468" s="34"/>
      <c r="J468" s="34">
        <f>IF(Source!BC109&lt;&gt; 0, Source!BC109, 1)</f>
        <v>6.68</v>
      </c>
      <c r="K468" s="33">
        <f>Source!O109</f>
        <v>6528.74</v>
      </c>
      <c r="R468">
        <f>ROUND((Source!FX109/100)*((ROUND(Source!AF109*Source!I109, 2)+ROUND(Source!AE109*Source!I109, 2))), 2)</f>
        <v>0</v>
      </c>
      <c r="S468">
        <f>Source!X109</f>
        <v>0</v>
      </c>
      <c r="T468">
        <f>ROUND((Source!FY109/100)*((ROUND(Source!AF109*Source!I109, 2)+ROUND(Source!AE109*Source!I109, 2))), 2)</f>
        <v>0</v>
      </c>
      <c r="U468">
        <f>Source!Y109</f>
        <v>0</v>
      </c>
      <c r="V468">
        <f>IF(Source!BI109&lt;=1,H468, 0)</f>
        <v>0</v>
      </c>
      <c r="W468">
        <f>IF(Source!BI109=2,H468, 0)</f>
        <v>977.36</v>
      </c>
      <c r="X468">
        <f>IF(Source!BI109=3,H468, 0)</f>
        <v>0</v>
      </c>
      <c r="Y468">
        <f>IF(Source!BI109=4,H468, 0)</f>
        <v>0</v>
      </c>
    </row>
    <row r="469" spans="1:25" ht="42.75" x14ac:dyDescent="0.2">
      <c r="A469" s="20"/>
      <c r="B469" s="43" t="str">
        <f>Source!F110</f>
        <v>23.3.08.02-0066</v>
      </c>
      <c r="C469" s="43" t="str">
        <f>Source!G110</f>
        <v>Трубы стальные прямоугольные (ГОСТ 8645-86) размером: 40х20 мм, толщина стенки 3,0 мм</v>
      </c>
      <c r="D469" s="32" t="str">
        <f>Source!H110</f>
        <v>м</v>
      </c>
      <c r="E469" s="10">
        <f>Source!I110</f>
        <v>16</v>
      </c>
      <c r="F469" s="33">
        <f>Source!AL110+Source!AM110+Source!AO110</f>
        <v>17.79</v>
      </c>
      <c r="G469" s="42" t="s">
        <v>1385</v>
      </c>
      <c r="H469" s="33">
        <f>ROUND(Source!AC110*Source!I110, 2)+ROUND(Source!AD110*Source!I110, 2)+ROUND(Source!AF110*Source!I110, 2)</f>
        <v>284.64</v>
      </c>
      <c r="I469" s="34"/>
      <c r="J469" s="34">
        <f>IF(Source!BC110&lt;&gt; 0, Source!BC110, 1)</f>
        <v>7.09</v>
      </c>
      <c r="K469" s="33">
        <f>Source!O110</f>
        <v>2018.1</v>
      </c>
      <c r="R469">
        <f>ROUND((Source!FX110/100)*((ROUND(Source!AF110*Source!I110, 2)+ROUND(Source!AE110*Source!I110, 2))), 2)</f>
        <v>0</v>
      </c>
      <c r="S469">
        <f>Source!X110</f>
        <v>0</v>
      </c>
      <c r="T469">
        <f>ROUND((Source!FY110/100)*((ROUND(Source!AF110*Source!I110, 2)+ROUND(Source!AE110*Source!I110, 2))), 2)</f>
        <v>0</v>
      </c>
      <c r="U469">
        <f>Source!Y110</f>
        <v>0</v>
      </c>
      <c r="V469">
        <f>IF(Source!BI110&lt;=1,H469, 0)</f>
        <v>0</v>
      </c>
      <c r="W469">
        <f>IF(Source!BI110=2,H469, 0)</f>
        <v>284.64</v>
      </c>
      <c r="X469">
        <f>IF(Source!BI110=3,H469, 0)</f>
        <v>0</v>
      </c>
      <c r="Y469">
        <f>IF(Source!BI110=4,H469, 0)</f>
        <v>0</v>
      </c>
    </row>
    <row r="470" spans="1:25" ht="42.75" x14ac:dyDescent="0.2">
      <c r="A470" s="20"/>
      <c r="B470" s="43" t="str">
        <f>Source!F111</f>
        <v>07.2.05.01-0041</v>
      </c>
      <c r="C470" s="43" t="str">
        <f>Source!G111</f>
        <v>Настил пресованный решечетый оцинкованный ячейка 33х11мм толщина 30х2 мм/32,2гг/м2</v>
      </c>
      <c r="D470" s="32" t="str">
        <f>Source!H111</f>
        <v>м2</v>
      </c>
      <c r="E470" s="10">
        <f>Source!I111</f>
        <v>7.2</v>
      </c>
      <c r="F470" s="33">
        <f>Source!AL111+Source!AM111+Source!AO111</f>
        <v>795.59</v>
      </c>
      <c r="G470" s="42" t="s">
        <v>1385</v>
      </c>
      <c r="H470" s="33">
        <f>ROUND(Source!AC111*Source!I111, 2)+ROUND(Source!AD111*Source!I111, 2)+ROUND(Source!AF111*Source!I111, 2)</f>
        <v>5728.25</v>
      </c>
      <c r="I470" s="34"/>
      <c r="J470" s="34">
        <f>IF(Source!BC111&lt;&gt; 0, Source!BC111, 1)</f>
        <v>7.91</v>
      </c>
      <c r="K470" s="33">
        <f>Source!O111</f>
        <v>45310.44</v>
      </c>
      <c r="R470">
        <f>ROUND((Source!FX111/100)*((ROUND(Source!AF111*Source!I111, 2)+ROUND(Source!AE111*Source!I111, 2))), 2)</f>
        <v>0</v>
      </c>
      <c r="S470">
        <f>Source!X111</f>
        <v>0</v>
      </c>
      <c r="T470">
        <f>ROUND((Source!FY111/100)*((ROUND(Source!AF111*Source!I111, 2)+ROUND(Source!AE111*Source!I111, 2))), 2)</f>
        <v>0</v>
      </c>
      <c r="U470">
        <f>Source!Y111</f>
        <v>0</v>
      </c>
      <c r="V470">
        <f>IF(Source!BI111&lt;=1,H470, 0)</f>
        <v>0</v>
      </c>
      <c r="W470">
        <f>IF(Source!BI111=2,H470, 0)</f>
        <v>5728.25</v>
      </c>
      <c r="X470">
        <f>IF(Source!BI111=3,H470, 0)</f>
        <v>0</v>
      </c>
      <c r="Y470">
        <f>IF(Source!BI111=4,H470, 0)</f>
        <v>0</v>
      </c>
    </row>
    <row r="471" spans="1:25" ht="28.5" x14ac:dyDescent="0.2">
      <c r="A471" s="44"/>
      <c r="B471" s="45" t="str">
        <f>Source!F112</f>
        <v>08.3.07.01-3197</v>
      </c>
      <c r="C471" s="45" t="str">
        <f>Source!G112</f>
        <v>Сталь полосовая шириной 150 мм, толщиной 3 мм</v>
      </c>
      <c r="D471" s="37" t="str">
        <f>Source!H112</f>
        <v>т</v>
      </c>
      <c r="E471" s="38">
        <f>Source!I112</f>
        <v>1.2400000000000001E-2</v>
      </c>
      <c r="F471" s="39">
        <f>Source!AL112+Source!AM112+Source!AO112</f>
        <v>6107.65</v>
      </c>
      <c r="G471" s="41" t="s">
        <v>1385</v>
      </c>
      <c r="H471" s="39">
        <f>ROUND(Source!AC112*Source!I112, 2)+ROUND(Source!AD112*Source!I112, 2)+ROUND(Source!AF112*Source!I112, 2)</f>
        <v>75.73</v>
      </c>
      <c r="I471" s="40"/>
      <c r="J471" s="40">
        <f>IF(Source!BC112&lt;&gt; 0, Source!BC112, 1)</f>
        <v>10.07</v>
      </c>
      <c r="K471" s="39">
        <f>Source!O112</f>
        <v>762.65</v>
      </c>
      <c r="R471">
        <f>ROUND((Source!FX112/100)*((ROUND(Source!AF112*Source!I112, 2)+ROUND(Source!AE112*Source!I112, 2))), 2)</f>
        <v>0</v>
      </c>
      <c r="S471">
        <f>Source!X112</f>
        <v>0</v>
      </c>
      <c r="T471">
        <f>ROUND((Source!FY112/100)*((ROUND(Source!AF112*Source!I112, 2)+ROUND(Source!AE112*Source!I112, 2))), 2)</f>
        <v>0</v>
      </c>
      <c r="U471">
        <f>Source!Y112</f>
        <v>0</v>
      </c>
      <c r="V471">
        <f>IF(Source!BI112&lt;=1,H471, 0)</f>
        <v>0</v>
      </c>
      <c r="W471">
        <f>IF(Source!BI112=2,H471, 0)</f>
        <v>75.73</v>
      </c>
      <c r="X471">
        <f>IF(Source!BI112=3,H471, 0)</f>
        <v>0</v>
      </c>
      <c r="Y471">
        <f>IF(Source!BI112=4,H471, 0)</f>
        <v>0</v>
      </c>
    </row>
    <row r="472" spans="1:25" ht="15" x14ac:dyDescent="0.25">
      <c r="G472" s="76">
        <f>H461+H462+H464+H465+H466+SUM(H468:H471)</f>
        <v>8640.119999999999</v>
      </c>
      <c r="H472" s="76"/>
      <c r="J472" s="76">
        <f>K461+K462+K464+K465+K466+SUM(K468:K471)</f>
        <v>99252.489999999991</v>
      </c>
      <c r="K472" s="76"/>
      <c r="N472" s="28">
        <f>G472</f>
        <v>8640.119999999999</v>
      </c>
      <c r="O472" s="28">
        <f>J472</f>
        <v>99252.489999999991</v>
      </c>
      <c r="P472" s="28" t="e">
        <f>#REF!</f>
        <v>#REF!</v>
      </c>
      <c r="V472">
        <f>IF(Source!BI108&lt;=1,H461+H462+H464+H465+H466, 0)</f>
        <v>0</v>
      </c>
      <c r="W472">
        <f>IF(Source!BI108=2,H461+H462+H464+H465+H466, 0)</f>
        <v>1574.1399999999999</v>
      </c>
      <c r="X472">
        <f>IF(Source!BI108=3,H461+H462+H464+H465+H466, 0)</f>
        <v>0</v>
      </c>
      <c r="Y472">
        <f>IF(Source!BI108=4,H461+H462+H464+H465+H466, 0)</f>
        <v>0</v>
      </c>
    </row>
    <row r="473" spans="1:25" ht="142.5" x14ac:dyDescent="0.2">
      <c r="A473" s="20" t="str">
        <f>Source!E113</f>
        <v>46</v>
      </c>
      <c r="B473" s="43" t="s">
        <v>1424</v>
      </c>
      <c r="C473" s="43" t="str">
        <f>Source!G113</f>
        <v>Изготовление и монтаж поручней пандуса и площадки из нержавеющей стали: Трубы из коррозионностойкой стали электросварные, марки 08Х18Н10:  1) Труба наружным диаметром 50,8 мм, толщиной ст. 2 мм - 22,5 м.п.  2) Труба наружным диаметром 38 мм, толщиной ст. 2 мм - 25 м.п.  3) Труба наружным диаметром 16 мм, толщиной ст. 2 мм - 41,6 м.п.</v>
      </c>
      <c r="D473" s="32" t="str">
        <f>Source!H113</f>
        <v>т</v>
      </c>
      <c r="E473" s="10">
        <f>Source!I113</f>
        <v>0.11</v>
      </c>
      <c r="F473" s="33">
        <f>Source!AL113+Source!AM113+Source!AO113</f>
        <v>1776.3000000000002</v>
      </c>
      <c r="G473" s="34"/>
      <c r="H473" s="33"/>
      <c r="I473" s="34" t="str">
        <f>Source!BO113</f>
        <v>м38-01-003-04</v>
      </c>
      <c r="J473" s="34"/>
      <c r="K473" s="33"/>
      <c r="R473">
        <f>ROUND((Source!FX113/100)*((ROUND(Source!AF113*Source!I113, 2)+ROUND(Source!AE113*Source!I113, 2))), 2)</f>
        <v>115.2</v>
      </c>
      <c r="S473">
        <f>Source!X113</f>
        <v>3876.52</v>
      </c>
      <c r="T473">
        <f>ROUND((Source!FY113/100)*((ROUND(Source!AF113*Source!I113, 2)+ROUND(Source!AE113*Source!I113, 2))), 2)</f>
        <v>69.819999999999993</v>
      </c>
      <c r="U473">
        <f>Source!Y113</f>
        <v>2349.4</v>
      </c>
    </row>
    <row r="474" spans="1:25" x14ac:dyDescent="0.2">
      <c r="C474" s="27" t="str">
        <f>"Объем: "&amp;Source!I113&amp;"=0,055+"&amp;"0,027+"&amp;"0,023+"&amp;"0,005"</f>
        <v>Объем: 0,11=0,055+0,027+0,023+0,005</v>
      </c>
    </row>
    <row r="475" spans="1:25" ht="14.25" x14ac:dyDescent="0.2">
      <c r="A475" s="20"/>
      <c r="B475" s="43"/>
      <c r="C475" s="43" t="s">
        <v>1372</v>
      </c>
      <c r="D475" s="32"/>
      <c r="E475" s="10"/>
      <c r="F475" s="33">
        <f>Source!AO113</f>
        <v>1154.4000000000001</v>
      </c>
      <c r="G475" s="34" t="str">
        <f>Source!DG113</f>
        <v>)*1,35</v>
      </c>
      <c r="H475" s="33">
        <f>ROUND(Source!AF113*Source!I113, 2)</f>
        <v>171.43</v>
      </c>
      <c r="I475" s="34"/>
      <c r="J475" s="34">
        <f>IF(Source!BA113&lt;&gt; 0, Source!BA113, 1)</f>
        <v>33.65</v>
      </c>
      <c r="K475" s="33">
        <f>Source!S113</f>
        <v>5768.57</v>
      </c>
      <c r="Q475">
        <f>H475</f>
        <v>171.43</v>
      </c>
    </row>
    <row r="476" spans="1:25" ht="14.25" x14ac:dyDescent="0.2">
      <c r="A476" s="20"/>
      <c r="B476" s="43"/>
      <c r="C476" s="43" t="s">
        <v>646</v>
      </c>
      <c r="D476" s="32"/>
      <c r="E476" s="10"/>
      <c r="F476" s="33">
        <f>Source!AM113</f>
        <v>369.64</v>
      </c>
      <c r="G476" s="34" t="str">
        <f>Source!DE113</f>
        <v>)*1,35</v>
      </c>
      <c r="H476" s="33">
        <f>ROUND(Source!AD113*Source!I113, 2)</f>
        <v>54.89</v>
      </c>
      <c r="I476" s="34"/>
      <c r="J476" s="34">
        <f>IF(Source!BB113&lt;&gt; 0, Source!BB113, 1)</f>
        <v>6.9</v>
      </c>
      <c r="K476" s="33">
        <f>Source!Q113</f>
        <v>378.75</v>
      </c>
    </row>
    <row r="477" spans="1:25" ht="14.25" x14ac:dyDescent="0.2">
      <c r="A477" s="20"/>
      <c r="B477" s="43"/>
      <c r="C477" s="43" t="s">
        <v>1373</v>
      </c>
      <c r="D477" s="32"/>
      <c r="E477" s="10"/>
      <c r="F477" s="33">
        <f>Source!AN113</f>
        <v>21</v>
      </c>
      <c r="G477" s="34" t="str">
        <f>Source!DF113</f>
        <v>)*1,35</v>
      </c>
      <c r="H477" s="35">
        <f>ROUND(Source!AE113*Source!I113, 2)</f>
        <v>3.12</v>
      </c>
      <c r="I477" s="34"/>
      <c r="J477" s="34">
        <f>IF(Source!BS113&lt;&gt; 0, Source!BS113, 1)</f>
        <v>33.65</v>
      </c>
      <c r="K477" s="35">
        <f>Source!R113</f>
        <v>104.94</v>
      </c>
      <c r="Q477">
        <f>H477</f>
        <v>3.12</v>
      </c>
    </row>
    <row r="478" spans="1:25" ht="14.25" x14ac:dyDescent="0.2">
      <c r="A478" s="20"/>
      <c r="B478" s="43"/>
      <c r="C478" s="43" t="s">
        <v>1400</v>
      </c>
      <c r="D478" s="32"/>
      <c r="E478" s="10"/>
      <c r="F478" s="33">
        <f>Source!AL113</f>
        <v>252.26</v>
      </c>
      <c r="G478" s="34" t="str">
        <f>Source!DD113</f>
        <v/>
      </c>
      <c r="H478" s="33">
        <f>ROUND(Source!AC113*Source!I113, 2)</f>
        <v>27.75</v>
      </c>
      <c r="I478" s="34"/>
      <c r="J478" s="34">
        <f>IF(Source!BC113&lt;&gt; 0, Source!BC113, 1)</f>
        <v>11.96</v>
      </c>
      <c r="K478" s="33">
        <f>Source!P113</f>
        <v>331.87</v>
      </c>
    </row>
    <row r="479" spans="1:25" ht="14.25" x14ac:dyDescent="0.2">
      <c r="A479" s="20"/>
      <c r="B479" s="43"/>
      <c r="C479" s="43" t="s">
        <v>1374</v>
      </c>
      <c r="D479" s="32" t="s">
        <v>1375</v>
      </c>
      <c r="E479" s="10">
        <f>Source!BZ113</f>
        <v>66</v>
      </c>
      <c r="F479" s="46"/>
      <c r="G479" s="34"/>
      <c r="H479" s="33">
        <f>SUM(R473:R491)</f>
        <v>115.2</v>
      </c>
      <c r="I479" s="36"/>
      <c r="J479" s="31">
        <f>Source!AT113</f>
        <v>66</v>
      </c>
      <c r="K479" s="33">
        <f>SUM(S473:S491)</f>
        <v>3876.52</v>
      </c>
    </row>
    <row r="480" spans="1:25" ht="14.25" x14ac:dyDescent="0.2">
      <c r="A480" s="20"/>
      <c r="B480" s="43"/>
      <c r="C480" s="43" t="s">
        <v>1376</v>
      </c>
      <c r="D480" s="32" t="s">
        <v>1375</v>
      </c>
      <c r="E480" s="10">
        <f>Source!CA113</f>
        <v>40</v>
      </c>
      <c r="F480" s="46"/>
      <c r="G480" s="34"/>
      <c r="H480" s="33">
        <f>SUM(T473:T491)</f>
        <v>69.819999999999993</v>
      </c>
      <c r="I480" s="36"/>
      <c r="J480" s="31">
        <f>Source!AU113</f>
        <v>40</v>
      </c>
      <c r="K480" s="33">
        <f>SUM(U473:U491)</f>
        <v>2349.4</v>
      </c>
    </row>
    <row r="481" spans="1:25" ht="14.25" x14ac:dyDescent="0.2">
      <c r="A481" s="20"/>
      <c r="B481" s="43"/>
      <c r="C481" s="43" t="s">
        <v>1377</v>
      </c>
      <c r="D481" s="32" t="s">
        <v>1378</v>
      </c>
      <c r="E481" s="10">
        <f>Source!AQ113</f>
        <v>120</v>
      </c>
      <c r="F481" s="33"/>
      <c r="G481" s="34" t="str">
        <f>Source!DI113</f>
        <v>)*1,35</v>
      </c>
      <c r="H481" s="33"/>
      <c r="I481" s="34"/>
      <c r="J481" s="34"/>
      <c r="K481" s="33"/>
    </row>
    <row r="482" spans="1:25" ht="57" x14ac:dyDescent="0.2">
      <c r="A482" s="20"/>
      <c r="B482" s="43" t="str">
        <f>Source!F114</f>
        <v>23.3.09.01-0079</v>
      </c>
      <c r="C482" s="43" t="str">
        <f>Source!G114</f>
        <v>Трубы электросварные из коррозионностойкой стали 08Х18Н10, наружный диаметр 50,8 мм, толщина стенки 2,0 мм</v>
      </c>
      <c r="D482" s="32" t="str">
        <f>Source!H114</f>
        <v>10 м</v>
      </c>
      <c r="E482" s="10">
        <f>Source!I114</f>
        <v>2.25</v>
      </c>
      <c r="F482" s="33">
        <f>Source!AL114+Source!AM114+Source!AO114</f>
        <v>1012.56</v>
      </c>
      <c r="G482" s="42" t="s">
        <v>1385</v>
      </c>
      <c r="H482" s="33">
        <f>ROUND(Source!AC114*Source!I114, 2)+ROUND(Source!AD114*Source!I114, 2)+ROUND(Source!AF114*Source!I114, 2)</f>
        <v>2278.2600000000002</v>
      </c>
      <c r="I482" s="34"/>
      <c r="J482" s="34">
        <f>IF(Source!BC114&lt;&gt; 0, Source!BC114, 1)</f>
        <v>4.71</v>
      </c>
      <c r="K482" s="33">
        <f>Source!O114</f>
        <v>10730.6</v>
      </c>
      <c r="R482">
        <f>ROUND((Source!FX114/100)*((ROUND(Source!AF114*Source!I114, 2)+ROUND(Source!AE114*Source!I114, 2))), 2)</f>
        <v>0</v>
      </c>
      <c r="S482">
        <f>Source!X114</f>
        <v>0</v>
      </c>
      <c r="T482">
        <f>ROUND((Source!FY114/100)*((ROUND(Source!AF114*Source!I114, 2)+ROUND(Source!AE114*Source!I114, 2))), 2)</f>
        <v>0</v>
      </c>
      <c r="U482">
        <f>Source!Y114</f>
        <v>0</v>
      </c>
      <c r="V482">
        <f>IF(Source!BI114&lt;=1,H482, 0)</f>
        <v>0</v>
      </c>
      <c r="W482">
        <f>IF(Source!BI114=2,H482, 0)</f>
        <v>2278.2600000000002</v>
      </c>
      <c r="X482">
        <f>IF(Source!BI114=3,H482, 0)</f>
        <v>0</v>
      </c>
      <c r="Y482">
        <f>IF(Source!BI114=4,H482, 0)</f>
        <v>0</v>
      </c>
    </row>
    <row r="483" spans="1:25" ht="57" x14ac:dyDescent="0.2">
      <c r="A483" s="20"/>
      <c r="B483" s="43" t="str">
        <f>Source!F115</f>
        <v>23.3.09.01-0068</v>
      </c>
      <c r="C483" s="43" t="str">
        <f>Source!G115</f>
        <v>Трубы электросварные из коррозионностойкой стали 08Х18Н10, наружный диаметр 38 мм, толщина стенки 2,0 мм</v>
      </c>
      <c r="D483" s="32" t="str">
        <f>Source!H115</f>
        <v>10 м</v>
      </c>
      <c r="E483" s="10">
        <f>Source!I115</f>
        <v>2.5</v>
      </c>
      <c r="F483" s="33">
        <f>Source!AL115+Source!AM115+Source!AO115</f>
        <v>847.55</v>
      </c>
      <c r="G483" s="42" t="s">
        <v>1385</v>
      </c>
      <c r="H483" s="33">
        <f>ROUND(Source!AC115*Source!I115, 2)+ROUND(Source!AD115*Source!I115, 2)+ROUND(Source!AF115*Source!I115, 2)</f>
        <v>2118.88</v>
      </c>
      <c r="I483" s="34"/>
      <c r="J483" s="34">
        <f>IF(Source!BC115&lt;&gt; 0, Source!BC115, 1)</f>
        <v>5.63</v>
      </c>
      <c r="K483" s="33">
        <f>Source!O115</f>
        <v>11929.27</v>
      </c>
      <c r="R483">
        <f>ROUND((Source!FX115/100)*((ROUND(Source!AF115*Source!I115, 2)+ROUND(Source!AE115*Source!I115, 2))), 2)</f>
        <v>0</v>
      </c>
      <c r="S483">
        <f>Source!X115</f>
        <v>0</v>
      </c>
      <c r="T483">
        <f>ROUND((Source!FY115/100)*((ROUND(Source!AF115*Source!I115, 2)+ROUND(Source!AE115*Source!I115, 2))), 2)</f>
        <v>0</v>
      </c>
      <c r="U483">
        <f>Source!Y115</f>
        <v>0</v>
      </c>
      <c r="V483">
        <f>IF(Source!BI115&lt;=1,H483, 0)</f>
        <v>0</v>
      </c>
      <c r="W483">
        <f>IF(Source!BI115=2,H483, 0)</f>
        <v>2118.88</v>
      </c>
      <c r="X483">
        <f>IF(Source!BI115=3,H483, 0)</f>
        <v>0</v>
      </c>
      <c r="Y483">
        <f>IF(Source!BI115=4,H483, 0)</f>
        <v>0</v>
      </c>
    </row>
    <row r="484" spans="1:25" ht="57" x14ac:dyDescent="0.2">
      <c r="A484" s="20"/>
      <c r="B484" s="43" t="str">
        <f>Source!F116</f>
        <v>23.3.09.01-0048</v>
      </c>
      <c r="C484" s="43" t="str">
        <f>Source!G116</f>
        <v>Трубы электросварные из коррозионностойкой стали 08Х18Н10, наружный диаметр 16 мм, толщина стенки 2 мм</v>
      </c>
      <c r="D484" s="32" t="str">
        <f>Source!H116</f>
        <v>10 м</v>
      </c>
      <c r="E484" s="10">
        <f>Source!I116</f>
        <v>4.16</v>
      </c>
      <c r="F484" s="33">
        <f>Source!AL116+Source!AM116+Source!AO116</f>
        <v>353.81</v>
      </c>
      <c r="G484" s="42" t="s">
        <v>1385</v>
      </c>
      <c r="H484" s="33">
        <f>ROUND(Source!AC116*Source!I116, 2)+ROUND(Source!AD116*Source!I116, 2)+ROUND(Source!AF116*Source!I116, 2)</f>
        <v>1471.85</v>
      </c>
      <c r="I484" s="34"/>
      <c r="J484" s="34">
        <f>IF(Source!BC116&lt;&gt; 0, Source!BC116, 1)</f>
        <v>5.58</v>
      </c>
      <c r="K484" s="33">
        <f>Source!O116</f>
        <v>8212.92</v>
      </c>
      <c r="R484">
        <f>ROUND((Source!FX116/100)*((ROUND(Source!AF116*Source!I116, 2)+ROUND(Source!AE116*Source!I116, 2))), 2)</f>
        <v>0</v>
      </c>
      <c r="S484">
        <f>Source!X116</f>
        <v>0</v>
      </c>
      <c r="T484">
        <f>ROUND((Source!FY116/100)*((ROUND(Source!AF116*Source!I116, 2)+ROUND(Source!AE116*Source!I116, 2))), 2)</f>
        <v>0</v>
      </c>
      <c r="U484">
        <f>Source!Y116</f>
        <v>0</v>
      </c>
      <c r="V484">
        <f>IF(Source!BI116&lt;=1,H484, 0)</f>
        <v>0</v>
      </c>
      <c r="W484">
        <f>IF(Source!BI116=2,H484, 0)</f>
        <v>1471.85</v>
      </c>
      <c r="X484">
        <f>IF(Source!BI116=3,H484, 0)</f>
        <v>0</v>
      </c>
      <c r="Y484">
        <f>IF(Source!BI116=4,H484, 0)</f>
        <v>0</v>
      </c>
    </row>
    <row r="485" spans="1:25" ht="14.25" x14ac:dyDescent="0.2">
      <c r="A485" s="20"/>
      <c r="B485" s="43" t="str">
        <f>Source!F117</f>
        <v>07.2.06.01-3047</v>
      </c>
      <c r="C485" s="43" t="str">
        <f>Source!G117</f>
        <v>Отвод 50,8мм 90° под сварку</v>
      </c>
      <c r="D485" s="32" t="str">
        <f>Source!H117</f>
        <v>ШТ</v>
      </c>
      <c r="E485" s="10">
        <f>Source!I117</f>
        <v>12</v>
      </c>
      <c r="F485" s="33">
        <f>Source!AL117+Source!AM117+Source!AO117</f>
        <v>14.13</v>
      </c>
      <c r="G485" s="42" t="s">
        <v>1385</v>
      </c>
      <c r="H485" s="33">
        <f>ROUND(Source!AC117*Source!I117, 2)+ROUND(Source!AD117*Source!I117, 2)+ROUND(Source!AF117*Source!I117, 2)</f>
        <v>169.56</v>
      </c>
      <c r="I485" s="34"/>
      <c r="J485" s="34">
        <f>IF(Source!BC117&lt;&gt; 0, Source!BC117, 1)</f>
        <v>9.2799999999999994</v>
      </c>
      <c r="K485" s="33">
        <f>Source!O117</f>
        <v>1573.52</v>
      </c>
      <c r="R485">
        <f>ROUND((Source!FX117/100)*((ROUND(Source!AF117*Source!I117, 2)+ROUND(Source!AE117*Source!I117, 2))), 2)</f>
        <v>0</v>
      </c>
      <c r="S485">
        <f>Source!X117</f>
        <v>0</v>
      </c>
      <c r="T485">
        <f>ROUND((Source!FY117/100)*((ROUND(Source!AF117*Source!I117, 2)+ROUND(Source!AE117*Source!I117, 2))), 2)</f>
        <v>0</v>
      </c>
      <c r="U485">
        <f>Source!Y117</f>
        <v>0</v>
      </c>
      <c r="V485">
        <f>IF(Source!BI117&lt;=1,H485, 0)</f>
        <v>0</v>
      </c>
      <c r="W485">
        <f>IF(Source!BI117=2,H485, 0)</f>
        <v>169.56</v>
      </c>
      <c r="X485">
        <f>IF(Source!BI117=3,H485, 0)</f>
        <v>0</v>
      </c>
      <c r="Y485">
        <f>IF(Source!BI117=4,H485, 0)</f>
        <v>0</v>
      </c>
    </row>
    <row r="486" spans="1:25" ht="14.25" x14ac:dyDescent="0.2">
      <c r="A486" s="20"/>
      <c r="B486" s="43" t="str">
        <f>Source!F118</f>
        <v>07.2.06.01-3047</v>
      </c>
      <c r="C486" s="43" t="str">
        <f>Source!G118</f>
        <v>Заглушка сварная плоская д38 мм</v>
      </c>
      <c r="D486" s="32" t="str">
        <f>Source!H118</f>
        <v>ШТ</v>
      </c>
      <c r="E486" s="10">
        <f>Source!I118</f>
        <v>25</v>
      </c>
      <c r="F486" s="33">
        <f>Source!AL118+Source!AM118+Source!AO118</f>
        <v>14.13</v>
      </c>
      <c r="G486" s="42" t="s">
        <v>1385</v>
      </c>
      <c r="H486" s="33">
        <f>ROUND(Source!AC118*Source!I118, 2)+ROUND(Source!AD118*Source!I118, 2)+ROUND(Source!AF118*Source!I118, 2)</f>
        <v>353.25</v>
      </c>
      <c r="I486" s="34"/>
      <c r="J486" s="34">
        <f>IF(Source!BC118&lt;&gt; 0, Source!BC118, 1)</f>
        <v>9.2799999999999994</v>
      </c>
      <c r="K486" s="33">
        <f>Source!O118</f>
        <v>3278.16</v>
      </c>
      <c r="R486">
        <f>ROUND((Source!FX118/100)*((ROUND(Source!AF118*Source!I118, 2)+ROUND(Source!AE118*Source!I118, 2))), 2)</f>
        <v>0</v>
      </c>
      <c r="S486">
        <f>Source!X118</f>
        <v>0</v>
      </c>
      <c r="T486">
        <f>ROUND((Source!FY118/100)*((ROUND(Source!AF118*Source!I118, 2)+ROUND(Source!AE118*Source!I118, 2))), 2)</f>
        <v>0</v>
      </c>
      <c r="U486">
        <f>Source!Y118</f>
        <v>0</v>
      </c>
      <c r="V486">
        <f>IF(Source!BI118&lt;=1,H486, 0)</f>
        <v>0</v>
      </c>
      <c r="W486">
        <f>IF(Source!BI118=2,H486, 0)</f>
        <v>353.25</v>
      </c>
      <c r="X486">
        <f>IF(Source!BI118=3,H486, 0)</f>
        <v>0</v>
      </c>
      <c r="Y486">
        <f>IF(Source!BI118=4,H486, 0)</f>
        <v>0</v>
      </c>
    </row>
    <row r="487" spans="1:25" ht="28.5" x14ac:dyDescent="0.2">
      <c r="A487" s="20"/>
      <c r="B487" s="43" t="str">
        <f>Source!F119</f>
        <v>07.2.06.01-3046</v>
      </c>
      <c r="C487" s="43" t="str">
        <f>Source!G119</f>
        <v>Заглушка для ригеля (полированная полусфера) - д16 мм</v>
      </c>
      <c r="D487" s="32" t="str">
        <f>Source!H119</f>
        <v>ШТ</v>
      </c>
      <c r="E487" s="10">
        <f>Source!I119</f>
        <v>10</v>
      </c>
      <c r="F487" s="33">
        <f>Source!AL119+Source!AM119+Source!AO119</f>
        <v>11.15</v>
      </c>
      <c r="G487" s="42" t="s">
        <v>1385</v>
      </c>
      <c r="H487" s="33">
        <f>ROUND(Source!AC119*Source!I119, 2)+ROUND(Source!AD119*Source!I119, 2)+ROUND(Source!AF119*Source!I119, 2)</f>
        <v>111.5</v>
      </c>
      <c r="I487" s="34"/>
      <c r="J487" s="34">
        <f>IF(Source!BC119&lt;&gt; 0, Source!BC119, 1)</f>
        <v>8.09</v>
      </c>
      <c r="K487" s="33">
        <f>Source!O119</f>
        <v>902.04</v>
      </c>
      <c r="R487">
        <f>ROUND((Source!FX119/100)*((ROUND(Source!AF119*Source!I119, 2)+ROUND(Source!AE119*Source!I119, 2))), 2)</f>
        <v>0</v>
      </c>
      <c r="S487">
        <f>Source!X119</f>
        <v>0</v>
      </c>
      <c r="T487">
        <f>ROUND((Source!FY119/100)*((ROUND(Source!AF119*Source!I119, 2)+ROUND(Source!AE119*Source!I119, 2))), 2)</f>
        <v>0</v>
      </c>
      <c r="U487">
        <f>Source!Y119</f>
        <v>0</v>
      </c>
      <c r="V487">
        <f>IF(Source!BI119&lt;=1,H487, 0)</f>
        <v>0</v>
      </c>
      <c r="W487">
        <f>IF(Source!BI119=2,H487, 0)</f>
        <v>111.5</v>
      </c>
      <c r="X487">
        <f>IF(Source!BI119=3,H487, 0)</f>
        <v>0</v>
      </c>
      <c r="Y487">
        <f>IF(Source!BI119=4,H487, 0)</f>
        <v>0</v>
      </c>
    </row>
    <row r="488" spans="1:25" ht="28.5" x14ac:dyDescent="0.2">
      <c r="A488" s="20"/>
      <c r="B488" s="43" t="str">
        <f>Source!F120</f>
        <v>07.2.06.01-3046</v>
      </c>
      <c r="C488" s="43" t="str">
        <f>Source!G120</f>
        <v>Ригеледержатель сквозной 16 мм для стоек 38 мм</v>
      </c>
      <c r="D488" s="32" t="str">
        <f>Source!H120</f>
        <v>ШТ</v>
      </c>
      <c r="E488" s="10">
        <f>Source!I120</f>
        <v>100</v>
      </c>
      <c r="F488" s="33">
        <f>Source!AL120+Source!AM120+Source!AO120</f>
        <v>11.15</v>
      </c>
      <c r="G488" s="42" t="s">
        <v>1385</v>
      </c>
      <c r="H488" s="33">
        <f>ROUND(Source!AC120*Source!I120, 2)+ROUND(Source!AD120*Source!I120, 2)+ROUND(Source!AF120*Source!I120, 2)</f>
        <v>1115</v>
      </c>
      <c r="I488" s="34"/>
      <c r="J488" s="34">
        <f>IF(Source!BC120&lt;&gt; 0, Source!BC120, 1)</f>
        <v>8.09</v>
      </c>
      <c r="K488" s="33">
        <f>Source!O120</f>
        <v>9020.35</v>
      </c>
      <c r="R488">
        <f>ROUND((Source!FX120/100)*((ROUND(Source!AF120*Source!I120, 2)+ROUND(Source!AE120*Source!I120, 2))), 2)</f>
        <v>0</v>
      </c>
      <c r="S488">
        <f>Source!X120</f>
        <v>0</v>
      </c>
      <c r="T488">
        <f>ROUND((Source!FY120/100)*((ROUND(Source!AF120*Source!I120, 2)+ROUND(Source!AE120*Source!I120, 2))), 2)</f>
        <v>0</v>
      </c>
      <c r="U488">
        <f>Source!Y120</f>
        <v>0</v>
      </c>
      <c r="V488">
        <f>IF(Source!BI120&lt;=1,H488, 0)</f>
        <v>0</v>
      </c>
      <c r="W488">
        <f>IF(Source!BI120=2,H488, 0)</f>
        <v>1115</v>
      </c>
      <c r="X488">
        <f>IF(Source!BI120=3,H488, 0)</f>
        <v>0</v>
      </c>
      <c r="Y488">
        <f>IF(Source!BI120=4,H488, 0)</f>
        <v>0</v>
      </c>
    </row>
    <row r="489" spans="1:25" ht="14.25" x14ac:dyDescent="0.2">
      <c r="A489" s="20"/>
      <c r="B489" s="43" t="str">
        <f>Source!F121</f>
        <v>07.2.06.01-0016</v>
      </c>
      <c r="C489" s="43" t="str">
        <f>Source!G121</f>
        <v>Выносной отвод для поручня д 16 мм</v>
      </c>
      <c r="D489" s="32" t="str">
        <f>Source!H121</f>
        <v>ШТ</v>
      </c>
      <c r="E489" s="10">
        <f>Source!I121</f>
        <v>50</v>
      </c>
      <c r="F489" s="33">
        <f>Source!AL121+Source!AM121+Source!AO121</f>
        <v>9.74</v>
      </c>
      <c r="G489" s="42" t="s">
        <v>1385</v>
      </c>
      <c r="H489" s="33">
        <f>ROUND(Source!AC121*Source!I121, 2)+ROUND(Source!AD121*Source!I121, 2)+ROUND(Source!AF121*Source!I121, 2)</f>
        <v>487</v>
      </c>
      <c r="I489" s="34"/>
      <c r="J489" s="34">
        <f>IF(Source!BC121&lt;&gt; 0, Source!BC121, 1)</f>
        <v>13.23</v>
      </c>
      <c r="K489" s="33">
        <f>Source!O121</f>
        <v>6443.01</v>
      </c>
      <c r="R489">
        <f>ROUND((Source!FX121/100)*((ROUND(Source!AF121*Source!I121, 2)+ROUND(Source!AE121*Source!I121, 2))), 2)</f>
        <v>0</v>
      </c>
      <c r="S489">
        <f>Source!X121</f>
        <v>0</v>
      </c>
      <c r="T489">
        <f>ROUND((Source!FY121/100)*((ROUND(Source!AF121*Source!I121, 2)+ROUND(Source!AE121*Source!I121, 2))), 2)</f>
        <v>0</v>
      </c>
      <c r="U489">
        <f>Source!Y121</f>
        <v>0</v>
      </c>
      <c r="V489">
        <f>IF(Source!BI121&lt;=1,H489, 0)</f>
        <v>0</v>
      </c>
      <c r="W489">
        <f>IF(Source!BI121=2,H489, 0)</f>
        <v>487</v>
      </c>
      <c r="X489">
        <f>IF(Source!BI121=3,H489, 0)</f>
        <v>0</v>
      </c>
      <c r="Y489">
        <f>IF(Source!BI121=4,H489, 0)</f>
        <v>0</v>
      </c>
    </row>
    <row r="490" spans="1:25" ht="28.5" x14ac:dyDescent="0.2">
      <c r="A490" s="20"/>
      <c r="B490" s="43" t="str">
        <f>Source!F122</f>
        <v>07.2.06.01-3022</v>
      </c>
      <c r="C490" s="43" t="str">
        <f>Source!G122</f>
        <v>Декоративная крышка (кольцо) на стойку д38 мм</v>
      </c>
      <c r="D490" s="32" t="str">
        <f>Source!H122</f>
        <v>ШТ</v>
      </c>
      <c r="E490" s="10">
        <f>Source!I122</f>
        <v>25</v>
      </c>
      <c r="F490" s="33">
        <f>Source!AL122+Source!AM122+Source!AO122</f>
        <v>3.92</v>
      </c>
      <c r="G490" s="42" t="s">
        <v>1385</v>
      </c>
      <c r="H490" s="33">
        <f>ROUND(Source!AC122*Source!I122, 2)+ROUND(Source!AD122*Source!I122, 2)+ROUND(Source!AF122*Source!I122, 2)</f>
        <v>98</v>
      </c>
      <c r="I490" s="34"/>
      <c r="J490" s="34">
        <f>IF(Source!BC122&lt;&gt; 0, Source!BC122, 1)</f>
        <v>7.97</v>
      </c>
      <c r="K490" s="33">
        <f>Source!O122</f>
        <v>781.06</v>
      </c>
      <c r="R490">
        <f>ROUND((Source!FX122/100)*((ROUND(Source!AF122*Source!I122, 2)+ROUND(Source!AE122*Source!I122, 2))), 2)</f>
        <v>0</v>
      </c>
      <c r="S490">
        <f>Source!X122</f>
        <v>0</v>
      </c>
      <c r="T490">
        <f>ROUND((Source!FY122/100)*((ROUND(Source!AF122*Source!I122, 2)+ROUND(Source!AE122*Source!I122, 2))), 2)</f>
        <v>0</v>
      </c>
      <c r="U490">
        <f>Source!Y122</f>
        <v>0</v>
      </c>
      <c r="V490">
        <f>IF(Source!BI122&lt;=1,H490, 0)</f>
        <v>0</v>
      </c>
      <c r="W490">
        <f>IF(Source!BI122=2,H490, 0)</f>
        <v>98</v>
      </c>
      <c r="X490">
        <f>IF(Source!BI122=3,H490, 0)</f>
        <v>0</v>
      </c>
      <c r="Y490">
        <f>IF(Source!BI122=4,H490, 0)</f>
        <v>0</v>
      </c>
    </row>
    <row r="491" spans="1:25" ht="17.25" customHeight="1" x14ac:dyDescent="0.2">
      <c r="A491" s="44"/>
      <c r="B491" s="45" t="str">
        <f>Source!F123</f>
        <v>07.2.06.01-0016</v>
      </c>
      <c r="C491" s="45" t="str">
        <f>Source!G123</f>
        <v>Заглушка сварная плоская д50 мм</v>
      </c>
      <c r="D491" s="37" t="str">
        <f>Source!H123</f>
        <v>ШТ</v>
      </c>
      <c r="E491" s="38">
        <f>Source!I123</f>
        <v>4</v>
      </c>
      <c r="F491" s="39">
        <f>Source!AL123+Source!AM123+Source!AO123</f>
        <v>9.74</v>
      </c>
      <c r="G491" s="41" t="s">
        <v>1385</v>
      </c>
      <c r="H491" s="39">
        <f>ROUND(Source!AC123*Source!I123, 2)+ROUND(Source!AD123*Source!I123, 2)+ROUND(Source!AF123*Source!I123, 2)</f>
        <v>38.96</v>
      </c>
      <c r="I491" s="40"/>
      <c r="J491" s="40">
        <f>IF(Source!BC123&lt;&gt; 0, Source!BC123, 1)</f>
        <v>13.23</v>
      </c>
      <c r="K491" s="39">
        <f>Source!O123</f>
        <v>515.44000000000005</v>
      </c>
      <c r="R491">
        <f>ROUND((Source!FX123/100)*((ROUND(Source!AF123*Source!I123, 2)+ROUND(Source!AE123*Source!I123, 2))), 2)</f>
        <v>0</v>
      </c>
      <c r="S491">
        <f>Source!X123</f>
        <v>0</v>
      </c>
      <c r="T491">
        <f>ROUND((Source!FY123/100)*((ROUND(Source!AF123*Source!I123, 2)+ROUND(Source!AE123*Source!I123, 2))), 2)</f>
        <v>0</v>
      </c>
      <c r="U491">
        <f>Source!Y123</f>
        <v>0</v>
      </c>
      <c r="V491">
        <f>IF(Source!BI123&lt;=1,H491, 0)</f>
        <v>0</v>
      </c>
      <c r="W491">
        <f>IF(Source!BI123=2,H491, 0)</f>
        <v>38.96</v>
      </c>
      <c r="X491">
        <f>IF(Source!BI123=3,H491, 0)</f>
        <v>0</v>
      </c>
      <c r="Y491">
        <f>IF(Source!BI123=4,H491, 0)</f>
        <v>0</v>
      </c>
    </row>
    <row r="492" spans="1:25" ht="15" x14ac:dyDescent="0.25">
      <c r="G492" s="76">
        <f>H475+H476+H478+H479+H480+SUM(H482:H491)</f>
        <v>8681.3499999999985</v>
      </c>
      <c r="H492" s="76"/>
      <c r="J492" s="76">
        <f>K475+K476+K478+K479+K480+SUM(K482:K491)</f>
        <v>66091.48</v>
      </c>
      <c r="K492" s="76"/>
      <c r="N492" s="28">
        <f>G492</f>
        <v>8681.3499999999985</v>
      </c>
      <c r="O492" s="28">
        <f>J492</f>
        <v>66091.48</v>
      </c>
      <c r="P492" s="28" t="e">
        <f>#REF!</f>
        <v>#REF!</v>
      </c>
      <c r="V492">
        <f>IF(Source!BI113&lt;=1,H475+H476+H478+H479+H480, 0)</f>
        <v>0</v>
      </c>
      <c r="W492">
        <f>IF(Source!BI113=2,H475+H476+H478+H479+H480, 0)</f>
        <v>439.09</v>
      </c>
      <c r="X492">
        <f>IF(Source!BI113=3,H475+H476+H478+H479+H480, 0)</f>
        <v>0</v>
      </c>
      <c r="Y492">
        <f>IF(Source!BI113=4,H475+H476+H478+H479+H480, 0)</f>
        <v>0</v>
      </c>
    </row>
    <row r="493" spans="1:25" ht="103.5" x14ac:dyDescent="0.2">
      <c r="A493" s="20" t="str">
        <f>Source!E124</f>
        <v>47</v>
      </c>
      <c r="B493" s="43" t="s">
        <v>1425</v>
      </c>
      <c r="C493" s="43" t="str">
        <f>Source!G124</f>
        <v>Огрунтовка металлических поверхностей за один раз: грунтовкой ГФ-021</v>
      </c>
      <c r="D493" s="32" t="str">
        <f>Source!H124</f>
        <v>100 м2</v>
      </c>
      <c r="E493" s="10">
        <f>Source!I124</f>
        <v>6.5000000000000002E-2</v>
      </c>
      <c r="F493" s="33">
        <f>Source!AL124+Source!AM124+Source!AO124</f>
        <v>217.81</v>
      </c>
      <c r="G493" s="34"/>
      <c r="H493" s="33"/>
      <c r="I493" s="34" t="str">
        <f>Source!BO124</f>
        <v>13-03-002-04</v>
      </c>
      <c r="J493" s="34"/>
      <c r="K493" s="33"/>
      <c r="R493">
        <f>ROUND((Source!FX124/100)*((ROUND(Source!AF124*Source!I124, 2)+ROUND(Source!AE124*Source!I124, 2))), 2)</f>
        <v>4.6399999999999997</v>
      </c>
      <c r="S493">
        <f>Source!X124</f>
        <v>156.19</v>
      </c>
      <c r="T493">
        <f>ROUND((Source!FY124/100)*((ROUND(Source!AF124*Source!I124, 2)+ROUND(Source!AE124*Source!I124, 2))), 2)</f>
        <v>3.41</v>
      </c>
      <c r="U493">
        <f>Source!Y124</f>
        <v>115.7</v>
      </c>
    </row>
    <row r="494" spans="1:25" x14ac:dyDescent="0.2">
      <c r="C494" s="27" t="str">
        <f>"Объем: "&amp;Source!I124&amp;"=6,5/"&amp;"100"</f>
        <v>Объем: 0,065=6,5/100</v>
      </c>
    </row>
    <row r="495" spans="1:25" ht="14.25" x14ac:dyDescent="0.2">
      <c r="A495" s="20"/>
      <c r="B495" s="43"/>
      <c r="C495" s="43" t="s">
        <v>1372</v>
      </c>
      <c r="D495" s="32"/>
      <c r="E495" s="10"/>
      <c r="F495" s="33">
        <f>Source!AO124</f>
        <v>56.55</v>
      </c>
      <c r="G495" s="34" t="str">
        <f>Source!DG124</f>
        <v>)*1,15)*1,35</v>
      </c>
      <c r="H495" s="33">
        <f>ROUND(Source!AF124*Source!I124, 2)</f>
        <v>5.71</v>
      </c>
      <c r="I495" s="34"/>
      <c r="J495" s="34">
        <f>IF(Source!BA124&lt;&gt; 0, Source!BA124, 1)</f>
        <v>33.65</v>
      </c>
      <c r="K495" s="33">
        <f>Source!S124</f>
        <v>192.02</v>
      </c>
      <c r="Q495">
        <f>H495</f>
        <v>5.71</v>
      </c>
    </row>
    <row r="496" spans="1:25" ht="14.25" x14ac:dyDescent="0.2">
      <c r="A496" s="20"/>
      <c r="B496" s="43"/>
      <c r="C496" s="43" t="s">
        <v>646</v>
      </c>
      <c r="D496" s="32"/>
      <c r="E496" s="10"/>
      <c r="F496" s="33">
        <f>Source!AM124</f>
        <v>9.2200000000000006</v>
      </c>
      <c r="G496" s="34" t="str">
        <f>Source!DE124</f>
        <v>)*1,25)*1,35</v>
      </c>
      <c r="H496" s="33">
        <f>ROUND(Source!AD124*Source!I124, 2)</f>
        <v>1.01</v>
      </c>
      <c r="I496" s="34"/>
      <c r="J496" s="34">
        <f>IF(Source!BB124&lt;&gt; 0, Source!BB124, 1)</f>
        <v>6.12</v>
      </c>
      <c r="K496" s="33">
        <f>Source!Q124</f>
        <v>6.19</v>
      </c>
    </row>
    <row r="497" spans="1:25" ht="14.25" x14ac:dyDescent="0.2">
      <c r="A497" s="20"/>
      <c r="B497" s="43"/>
      <c r="C497" s="43" t="s">
        <v>1373</v>
      </c>
      <c r="D497" s="32"/>
      <c r="E497" s="10"/>
      <c r="F497" s="33">
        <f>Source!AN124</f>
        <v>0.22</v>
      </c>
      <c r="G497" s="34" t="str">
        <f>Source!DF124</f>
        <v>)*1,25)*1,35</v>
      </c>
      <c r="H497" s="35">
        <f>ROUND(Source!AE124*Source!I124, 2)</f>
        <v>0.02</v>
      </c>
      <c r="I497" s="34"/>
      <c r="J497" s="34">
        <f>IF(Source!BS124&lt;&gt; 0, Source!BS124, 1)</f>
        <v>33.65</v>
      </c>
      <c r="K497" s="35">
        <f>Source!R124</f>
        <v>0.81</v>
      </c>
      <c r="Q497">
        <f>H497</f>
        <v>0.02</v>
      </c>
    </row>
    <row r="498" spans="1:25" ht="14.25" x14ac:dyDescent="0.2">
      <c r="A498" s="20"/>
      <c r="B498" s="43"/>
      <c r="C498" s="43" t="s">
        <v>1400</v>
      </c>
      <c r="D498" s="32"/>
      <c r="E498" s="10"/>
      <c r="F498" s="33">
        <f>Source!AL124</f>
        <v>152.04</v>
      </c>
      <c r="G498" s="34" t="str">
        <f>Source!DD124</f>
        <v/>
      </c>
      <c r="H498" s="33">
        <f>ROUND(Source!AC124*Source!I124, 2)</f>
        <v>9.8800000000000008</v>
      </c>
      <c r="I498" s="34"/>
      <c r="J498" s="34">
        <f>IF(Source!BC124&lt;&gt; 0, Source!BC124, 1)</f>
        <v>5.96</v>
      </c>
      <c r="K498" s="33">
        <f>Source!P124</f>
        <v>58.9</v>
      </c>
    </row>
    <row r="499" spans="1:25" ht="14.25" x14ac:dyDescent="0.2">
      <c r="A499" s="20"/>
      <c r="B499" s="43"/>
      <c r="C499" s="43" t="s">
        <v>1374</v>
      </c>
      <c r="D499" s="32" t="s">
        <v>1375</v>
      </c>
      <c r="E499" s="10">
        <f>Source!BZ124</f>
        <v>90</v>
      </c>
      <c r="F499" s="64" t="str">
        <f>CONCATENATE(" )", Source!DL124, Source!FT124, "=", Source!FX124)</f>
        <v xml:space="preserve"> )*0,9=81</v>
      </c>
      <c r="G499" s="75"/>
      <c r="H499" s="33">
        <f>SUM(R493:R501)</f>
        <v>4.6399999999999997</v>
      </c>
      <c r="I499" s="36"/>
      <c r="J499" s="31">
        <f>Source!AT124</f>
        <v>81</v>
      </c>
      <c r="K499" s="33">
        <f>SUM(S493:S501)</f>
        <v>156.19</v>
      </c>
    </row>
    <row r="500" spans="1:25" ht="14.25" x14ac:dyDescent="0.2">
      <c r="A500" s="20"/>
      <c r="B500" s="43"/>
      <c r="C500" s="43" t="s">
        <v>1376</v>
      </c>
      <c r="D500" s="32" t="s">
        <v>1375</v>
      </c>
      <c r="E500" s="10">
        <f>Source!CA124</f>
        <v>70</v>
      </c>
      <c r="F500" s="64" t="str">
        <f>CONCATENATE(" )", Source!DM124, Source!FU124, "=", Source!FY124)</f>
        <v xml:space="preserve"> )*0,85=59,5</v>
      </c>
      <c r="G500" s="75"/>
      <c r="H500" s="33">
        <f>SUM(T493:T501)</f>
        <v>3.41</v>
      </c>
      <c r="I500" s="36"/>
      <c r="J500" s="31">
        <f>Source!AU124</f>
        <v>60</v>
      </c>
      <c r="K500" s="33">
        <f>SUM(U493:U501)</f>
        <v>115.7</v>
      </c>
    </row>
    <row r="501" spans="1:25" ht="14.25" x14ac:dyDescent="0.2">
      <c r="A501" s="44"/>
      <c r="B501" s="45"/>
      <c r="C501" s="45" t="s">
        <v>1377</v>
      </c>
      <c r="D501" s="37" t="s">
        <v>1378</v>
      </c>
      <c r="E501" s="38">
        <f>Source!AQ124</f>
        <v>5.31</v>
      </c>
      <c r="F501" s="39"/>
      <c r="G501" s="40" t="str">
        <f>Source!DI124</f>
        <v>)*1,15)*1,35</v>
      </c>
      <c r="H501" s="39"/>
      <c r="I501" s="40"/>
      <c r="J501" s="40"/>
      <c r="K501" s="39"/>
    </row>
    <row r="502" spans="1:25" ht="15" x14ac:dyDescent="0.25">
      <c r="G502" s="76">
        <f>H495+H496+H498+H499+H500</f>
        <v>24.650000000000002</v>
      </c>
      <c r="H502" s="76"/>
      <c r="J502" s="76">
        <f>K495+K496+K498+K499+K500</f>
        <v>529</v>
      </c>
      <c r="K502" s="76"/>
      <c r="N502" s="28">
        <f>G502</f>
        <v>24.650000000000002</v>
      </c>
      <c r="O502" s="28">
        <f>J502</f>
        <v>529</v>
      </c>
      <c r="P502" s="28" t="e">
        <f>#REF!</f>
        <v>#REF!</v>
      </c>
      <c r="V502">
        <f>IF(Source!BI124&lt;=1,H495+H496+H498+H499+H500, 0)</f>
        <v>24.650000000000002</v>
      </c>
      <c r="W502">
        <f>IF(Source!BI124=2,H495+H496+H498+H499+H500, 0)</f>
        <v>0</v>
      </c>
      <c r="X502">
        <f>IF(Source!BI124=3,H495+H496+H498+H499+H500, 0)</f>
        <v>0</v>
      </c>
      <c r="Y502">
        <f>IF(Source!BI124=4,H495+H496+H498+H499+H500, 0)</f>
        <v>0</v>
      </c>
    </row>
    <row r="503" spans="1:25" ht="103.5" x14ac:dyDescent="0.2">
      <c r="A503" s="20" t="str">
        <f>Source!E125</f>
        <v>48</v>
      </c>
      <c r="B503" s="43" t="s">
        <v>1426</v>
      </c>
      <c r="C503" s="43" t="str">
        <f>Source!G125</f>
        <v>Масляная окраска металлических поверхностей: стальных балок, труб диаметром более 50 мм и т.п., количество окрасок 2</v>
      </c>
      <c r="D503" s="32" t="str">
        <f>Source!H125</f>
        <v>100 м2</v>
      </c>
      <c r="E503" s="10">
        <f>Source!I125</f>
        <v>6.5000000000000002E-2</v>
      </c>
      <c r="F503" s="33">
        <f>Source!AL125+Source!AM125+Source!AO125</f>
        <v>417.78</v>
      </c>
      <c r="G503" s="34"/>
      <c r="H503" s="33"/>
      <c r="I503" s="34" t="str">
        <f>Source!BO125</f>
        <v>15-04-030-03</v>
      </c>
      <c r="J503" s="34"/>
      <c r="K503" s="33"/>
      <c r="R503">
        <f>ROUND((Source!FX125/100)*((ROUND(Source!AF125*Source!I125, 2)+ROUND(Source!AE125*Source!I125, 2))), 2)</f>
        <v>31.22</v>
      </c>
      <c r="S503">
        <f>Source!X125</f>
        <v>1056.3800000000001</v>
      </c>
      <c r="T503">
        <f>ROUND((Source!FY125/100)*((ROUND(Source!AF125*Source!I125, 2)+ROUND(Source!AE125*Source!I125, 2))), 2)</f>
        <v>15.45</v>
      </c>
      <c r="U503">
        <f>Source!Y125</f>
        <v>522.63</v>
      </c>
    </row>
    <row r="504" spans="1:25" x14ac:dyDescent="0.2">
      <c r="C504" s="27" t="str">
        <f>"Объем: "&amp;Source!I125&amp;"=6,5/"&amp;"100"</f>
        <v>Объем: 0,065=6,5/100</v>
      </c>
    </row>
    <row r="505" spans="1:25" ht="14.25" x14ac:dyDescent="0.2">
      <c r="A505" s="20"/>
      <c r="B505" s="43"/>
      <c r="C505" s="43" t="s">
        <v>1372</v>
      </c>
      <c r="D505" s="32"/>
      <c r="E505" s="10"/>
      <c r="F505" s="33">
        <f>Source!AO125</f>
        <v>326.93</v>
      </c>
      <c r="G505" s="34" t="str">
        <f>Source!DG125</f>
        <v>)*1,15)*1,35</v>
      </c>
      <c r="H505" s="33">
        <f>ROUND(Source!AF125*Source!I125, 2)</f>
        <v>32.99</v>
      </c>
      <c r="I505" s="34"/>
      <c r="J505" s="34">
        <f>IF(Source!BA125&lt;&gt; 0, Source!BA125, 1)</f>
        <v>33.65</v>
      </c>
      <c r="K505" s="33">
        <f>Source!S125</f>
        <v>1110.1600000000001</v>
      </c>
      <c r="Q505">
        <f>H505</f>
        <v>32.99</v>
      </c>
    </row>
    <row r="506" spans="1:25" ht="14.25" x14ac:dyDescent="0.2">
      <c r="A506" s="20"/>
      <c r="B506" s="43"/>
      <c r="C506" s="43" t="s">
        <v>646</v>
      </c>
      <c r="D506" s="32"/>
      <c r="E506" s="10"/>
      <c r="F506" s="33">
        <f>Source!AM125</f>
        <v>2.2799999999999998</v>
      </c>
      <c r="G506" s="34" t="str">
        <f>Source!DE125</f>
        <v>)*1,25)*1,35</v>
      </c>
      <c r="H506" s="33">
        <f>ROUND(Source!AD125*Source!I125, 2)</f>
        <v>0.25</v>
      </c>
      <c r="I506" s="34"/>
      <c r="J506" s="34">
        <f>IF(Source!BB125&lt;&gt; 0, Source!BB125, 1)</f>
        <v>12.23</v>
      </c>
      <c r="K506" s="33">
        <f>Source!Q125</f>
        <v>3.06</v>
      </c>
    </row>
    <row r="507" spans="1:25" ht="14.25" x14ac:dyDescent="0.2">
      <c r="A507" s="20"/>
      <c r="B507" s="43"/>
      <c r="C507" s="43" t="s">
        <v>1373</v>
      </c>
      <c r="D507" s="32"/>
      <c r="E507" s="10"/>
      <c r="F507" s="33">
        <f>Source!AN125</f>
        <v>0.49</v>
      </c>
      <c r="G507" s="34" t="str">
        <f>Source!DF125</f>
        <v>)*1,25)*1,35</v>
      </c>
      <c r="H507" s="35">
        <f>ROUND(Source!AE125*Source!I125, 2)</f>
        <v>0.05</v>
      </c>
      <c r="I507" s="34"/>
      <c r="J507" s="34">
        <f>IF(Source!BS125&lt;&gt; 0, Source!BS125, 1)</f>
        <v>33.65</v>
      </c>
      <c r="K507" s="35">
        <f>Source!R125</f>
        <v>1.82</v>
      </c>
      <c r="Q507">
        <f>H507</f>
        <v>0.05</v>
      </c>
    </row>
    <row r="508" spans="1:25" ht="14.25" x14ac:dyDescent="0.2">
      <c r="A508" s="20"/>
      <c r="B508" s="43"/>
      <c r="C508" s="43" t="s">
        <v>1400</v>
      </c>
      <c r="D508" s="32"/>
      <c r="E508" s="10"/>
      <c r="F508" s="33">
        <f>Source!AL125</f>
        <v>88.57</v>
      </c>
      <c r="G508" s="34" t="str">
        <f>Source!DD125</f>
        <v/>
      </c>
      <c r="H508" s="33">
        <f>ROUND(Source!AC125*Source!I125, 2)</f>
        <v>5.76</v>
      </c>
      <c r="I508" s="34"/>
      <c r="J508" s="34">
        <f>IF(Source!BC125&lt;&gt; 0, Source!BC125, 1)</f>
        <v>6.58</v>
      </c>
      <c r="K508" s="33">
        <f>Source!P125</f>
        <v>37.880000000000003</v>
      </c>
    </row>
    <row r="509" spans="1:25" ht="14.25" x14ac:dyDescent="0.2">
      <c r="A509" s="20"/>
      <c r="B509" s="43"/>
      <c r="C509" s="43" t="s">
        <v>1374</v>
      </c>
      <c r="D509" s="32" t="s">
        <v>1375</v>
      </c>
      <c r="E509" s="10">
        <f>Source!BZ125</f>
        <v>105</v>
      </c>
      <c r="F509" s="64" t="str">
        <f>CONCATENATE(" )", Source!DL125, Source!FT125, "=", Source!FX125)</f>
        <v xml:space="preserve"> )*0,9=94,5</v>
      </c>
      <c r="G509" s="75"/>
      <c r="H509" s="33">
        <f>SUM(R503:R512)</f>
        <v>31.22</v>
      </c>
      <c r="I509" s="36"/>
      <c r="J509" s="31">
        <f>Source!AT125</f>
        <v>95</v>
      </c>
      <c r="K509" s="33">
        <f>SUM(S503:S512)</f>
        <v>1056.3800000000001</v>
      </c>
    </row>
    <row r="510" spans="1:25" ht="14.25" x14ac:dyDescent="0.2">
      <c r="A510" s="20"/>
      <c r="B510" s="43"/>
      <c r="C510" s="43" t="s">
        <v>1376</v>
      </c>
      <c r="D510" s="32" t="s">
        <v>1375</v>
      </c>
      <c r="E510" s="10">
        <f>Source!CA125</f>
        <v>55</v>
      </c>
      <c r="F510" s="64" t="str">
        <f>CONCATENATE(" )", Source!DM125, Source!FU125, "=", Source!FY125)</f>
        <v xml:space="preserve"> )*0,85=46,75</v>
      </c>
      <c r="G510" s="75"/>
      <c r="H510" s="33">
        <f>SUM(T503:T512)</f>
        <v>15.45</v>
      </c>
      <c r="I510" s="36"/>
      <c r="J510" s="31">
        <f>Source!AU125</f>
        <v>47</v>
      </c>
      <c r="K510" s="33">
        <f>SUM(U503:U512)</f>
        <v>522.63</v>
      </c>
    </row>
    <row r="511" spans="1:25" ht="14.25" x14ac:dyDescent="0.2">
      <c r="A511" s="20"/>
      <c r="B511" s="43"/>
      <c r="C511" s="43" t="s">
        <v>1377</v>
      </c>
      <c r="D511" s="32" t="s">
        <v>1378</v>
      </c>
      <c r="E511" s="10">
        <f>Source!AQ125</f>
        <v>36.9</v>
      </c>
      <c r="F511" s="33"/>
      <c r="G511" s="34" t="str">
        <f>Source!DI125</f>
        <v>)*1,15)*1,35</v>
      </c>
      <c r="H511" s="33"/>
      <c r="I511" s="34"/>
      <c r="J511" s="34"/>
      <c r="K511" s="33"/>
    </row>
    <row r="512" spans="1:25" ht="18.75" customHeight="1" x14ac:dyDescent="0.2">
      <c r="A512" s="44"/>
      <c r="B512" s="45" t="str">
        <f>Source!F126</f>
        <v>14.4.04.03-1006</v>
      </c>
      <c r="C512" s="45" t="str">
        <f>Source!G126</f>
        <v>Эмаль алкидная финишная</v>
      </c>
      <c r="D512" s="37" t="str">
        <f>Source!H126</f>
        <v>л</v>
      </c>
      <c r="E512" s="38">
        <f>Source!I126</f>
        <v>1.625</v>
      </c>
      <c r="F512" s="39">
        <f>Source!AL126+Source!AM126+Source!AO126</f>
        <v>149.51</v>
      </c>
      <c r="G512" s="41" t="s">
        <v>1385</v>
      </c>
      <c r="H512" s="39">
        <f>ROUND(Source!AC126*Source!I126, 2)+ROUND(Source!AD126*Source!I126, 2)+ROUND(Source!AF126*Source!I126, 2)</f>
        <v>242.95</v>
      </c>
      <c r="I512" s="40"/>
      <c r="J512" s="40">
        <f>IF(Source!BC126&lt;&gt; 0, Source!BC126, 1)</f>
        <v>3.72</v>
      </c>
      <c r="K512" s="39">
        <f>Source!O126</f>
        <v>903.79</v>
      </c>
      <c r="R512">
        <f>ROUND((Source!FX126/100)*((ROUND(Source!AF126*Source!I126, 2)+ROUND(Source!AE126*Source!I126, 2))), 2)</f>
        <v>0</v>
      </c>
      <c r="S512">
        <f>Source!X126</f>
        <v>0</v>
      </c>
      <c r="T512">
        <f>ROUND((Source!FY126/100)*((ROUND(Source!AF126*Source!I126, 2)+ROUND(Source!AE126*Source!I126, 2))), 2)</f>
        <v>0</v>
      </c>
      <c r="U512">
        <f>Source!Y126</f>
        <v>0</v>
      </c>
      <c r="V512">
        <f>IF(Source!BI126&lt;=1,H512, 0)</f>
        <v>242.95</v>
      </c>
      <c r="W512">
        <f>IF(Source!BI126=2,H512, 0)</f>
        <v>0</v>
      </c>
      <c r="X512">
        <f>IF(Source!BI126=3,H512, 0)</f>
        <v>0</v>
      </c>
      <c r="Y512">
        <f>IF(Source!BI126=4,H512, 0)</f>
        <v>0</v>
      </c>
    </row>
    <row r="513" spans="1:25" ht="15" x14ac:dyDescent="0.25">
      <c r="G513" s="76">
        <f>H505+H506+H508+H509+H510+SUM(H512:H512)</f>
        <v>328.62</v>
      </c>
      <c r="H513" s="76"/>
      <c r="J513" s="76">
        <f>K505+K506+K508+K509+K510+SUM(K512:K512)</f>
        <v>3633.9000000000005</v>
      </c>
      <c r="K513" s="76"/>
      <c r="N513" s="28">
        <f>G513</f>
        <v>328.62</v>
      </c>
      <c r="O513" s="28">
        <f>J513</f>
        <v>3633.9000000000005</v>
      </c>
      <c r="P513" s="28" t="e">
        <f>#REF!</f>
        <v>#REF!</v>
      </c>
      <c r="V513">
        <f>IF(Source!BI125&lt;=1,H505+H506+H508+H509+H510, 0)</f>
        <v>85.67</v>
      </c>
      <c r="W513">
        <f>IF(Source!BI125=2,H505+H506+H508+H509+H510, 0)</f>
        <v>0</v>
      </c>
      <c r="X513">
        <f>IF(Source!BI125=3,H505+H506+H508+H509+H510, 0)</f>
        <v>0</v>
      </c>
      <c r="Y513">
        <f>IF(Source!BI125=4,H505+H506+H508+H509+H510, 0)</f>
        <v>0</v>
      </c>
    </row>
    <row r="514" spans="1:25" ht="103.5" x14ac:dyDescent="0.2">
      <c r="A514" s="20" t="str">
        <f>Source!E127</f>
        <v>49</v>
      </c>
      <c r="B514" s="43" t="s">
        <v>1427</v>
      </c>
      <c r="C514" s="43" t="str">
        <f>Source!G127</f>
        <v>Наружная облицовка поверхности стен в горизонтальном исполнении по металлическому каркасу (с его устройством): металлосайдингом без пароизоляционного слоя</v>
      </c>
      <c r="D514" s="32" t="str">
        <f>Source!H127</f>
        <v>100 м2</v>
      </c>
      <c r="E514" s="10">
        <f>Source!I127</f>
        <v>0.34899999999999998</v>
      </c>
      <c r="F514" s="33">
        <f>Source!AL127+Source!AM127+Source!AO127</f>
        <v>11748.73</v>
      </c>
      <c r="G514" s="34"/>
      <c r="H514" s="33"/>
      <c r="I514" s="34" t="str">
        <f>Source!BO127</f>
        <v>15-01-062-02</v>
      </c>
      <c r="J514" s="34"/>
      <c r="K514" s="33"/>
      <c r="R514">
        <f>ROUND((Source!FX127/100)*((ROUND(Source!AF127*Source!I127, 2)+ROUND(Source!AE127*Source!I127, 2))), 2)</f>
        <v>503.55</v>
      </c>
      <c r="S514">
        <f>Source!X127</f>
        <v>17034.099999999999</v>
      </c>
      <c r="T514">
        <f>ROUND((Source!FY127/100)*((ROUND(Source!AF127*Source!I127, 2)+ROUND(Source!AE127*Source!I127, 2))), 2)</f>
        <v>249.11</v>
      </c>
      <c r="U514">
        <f>Source!Y127</f>
        <v>8427.4</v>
      </c>
    </row>
    <row r="515" spans="1:25" x14ac:dyDescent="0.2">
      <c r="C515" s="27" t="str">
        <f>"Объем: "&amp;Source!I127&amp;"=34,9/"&amp;"100"</f>
        <v>Объем: 0,349=34,9/100</v>
      </c>
    </row>
    <row r="516" spans="1:25" ht="14.25" x14ac:dyDescent="0.2">
      <c r="A516" s="20"/>
      <c r="B516" s="43"/>
      <c r="C516" s="43" t="s">
        <v>1372</v>
      </c>
      <c r="D516" s="32"/>
      <c r="E516" s="10"/>
      <c r="F516" s="33">
        <f>Source!AO127</f>
        <v>974.82</v>
      </c>
      <c r="G516" s="34" t="str">
        <f>Source!DG127</f>
        <v>)*1,15)*1,35</v>
      </c>
      <c r="H516" s="33">
        <f>ROUND(Source!AF127*Source!I127, 2)</f>
        <v>528.17999999999995</v>
      </c>
      <c r="I516" s="34"/>
      <c r="J516" s="34">
        <f>IF(Source!BA127&lt;&gt; 0, Source!BA127, 1)</f>
        <v>33.65</v>
      </c>
      <c r="K516" s="33">
        <f>Source!S127</f>
        <v>17773.259999999998</v>
      </c>
      <c r="Q516">
        <f>H516</f>
        <v>528.17999999999995</v>
      </c>
    </row>
    <row r="517" spans="1:25" ht="14.25" x14ac:dyDescent="0.2">
      <c r="A517" s="20"/>
      <c r="B517" s="43"/>
      <c r="C517" s="43" t="s">
        <v>646</v>
      </c>
      <c r="D517" s="32"/>
      <c r="E517" s="10"/>
      <c r="F517" s="33">
        <f>Source!AM127</f>
        <v>55.47</v>
      </c>
      <c r="G517" s="34" t="str">
        <f>Source!DE127</f>
        <v>)*1,25)*1,35</v>
      </c>
      <c r="H517" s="33">
        <f>ROUND(Source!AD127*Source!I127, 2)</f>
        <v>32.67</v>
      </c>
      <c r="I517" s="34"/>
      <c r="J517" s="34">
        <f>IF(Source!BB127&lt;&gt; 0, Source!BB127, 1)</f>
        <v>10.41</v>
      </c>
      <c r="K517" s="33">
        <f>Source!Q127</f>
        <v>340.09</v>
      </c>
    </row>
    <row r="518" spans="1:25" ht="14.25" x14ac:dyDescent="0.2">
      <c r="A518" s="20"/>
      <c r="B518" s="43"/>
      <c r="C518" s="43" t="s">
        <v>1373</v>
      </c>
      <c r="D518" s="32"/>
      <c r="E518" s="10"/>
      <c r="F518" s="33">
        <f>Source!AN127</f>
        <v>7.94</v>
      </c>
      <c r="G518" s="34" t="str">
        <f>Source!DF127</f>
        <v>)*1,25)*1,35</v>
      </c>
      <c r="H518" s="35">
        <f>ROUND(Source!AE127*Source!I127, 2)</f>
        <v>4.68</v>
      </c>
      <c r="I518" s="34"/>
      <c r="J518" s="34">
        <f>IF(Source!BS127&lt;&gt; 0, Source!BS127, 1)</f>
        <v>33.65</v>
      </c>
      <c r="K518" s="35">
        <f>Source!R127</f>
        <v>157.37</v>
      </c>
      <c r="Q518">
        <f>H518</f>
        <v>4.68</v>
      </c>
    </row>
    <row r="519" spans="1:25" ht="14.25" x14ac:dyDescent="0.2">
      <c r="A519" s="20"/>
      <c r="B519" s="43"/>
      <c r="C519" s="43" t="s">
        <v>1400</v>
      </c>
      <c r="D519" s="32"/>
      <c r="E519" s="10"/>
      <c r="F519" s="33">
        <f>Source!AL127</f>
        <v>10718.44</v>
      </c>
      <c r="G519" s="34" t="str">
        <f>Source!DD127</f>
        <v/>
      </c>
      <c r="H519" s="33">
        <f>ROUND(Source!AC127*Source!I127, 2)</f>
        <v>3740.74</v>
      </c>
      <c r="I519" s="34"/>
      <c r="J519" s="34">
        <f>IF(Source!BC127&lt;&gt; 0, Source!BC127, 1)</f>
        <v>5</v>
      </c>
      <c r="K519" s="33">
        <f>Source!P127</f>
        <v>18703.68</v>
      </c>
    </row>
    <row r="520" spans="1:25" ht="14.25" x14ac:dyDescent="0.2">
      <c r="A520" s="20"/>
      <c r="B520" s="43"/>
      <c r="C520" s="43" t="s">
        <v>1374</v>
      </c>
      <c r="D520" s="32" t="s">
        <v>1375</v>
      </c>
      <c r="E520" s="10">
        <f>Source!BZ127</f>
        <v>105</v>
      </c>
      <c r="F520" s="64" t="str">
        <f>CONCATENATE(" )", Source!DL127, Source!FT127, "=", Source!FX127)</f>
        <v xml:space="preserve"> )*0,9=94,5</v>
      </c>
      <c r="G520" s="75"/>
      <c r="H520" s="33">
        <f>SUM(R514:R524)</f>
        <v>503.55</v>
      </c>
      <c r="I520" s="36"/>
      <c r="J520" s="31">
        <f>Source!AT127</f>
        <v>95</v>
      </c>
      <c r="K520" s="33">
        <f>SUM(S514:S524)</f>
        <v>17034.099999999999</v>
      </c>
    </row>
    <row r="521" spans="1:25" ht="14.25" x14ac:dyDescent="0.2">
      <c r="A521" s="20"/>
      <c r="B521" s="43"/>
      <c r="C521" s="43" t="s">
        <v>1376</v>
      </c>
      <c r="D521" s="32" t="s">
        <v>1375</v>
      </c>
      <c r="E521" s="10">
        <f>Source!CA127</f>
        <v>55</v>
      </c>
      <c r="F521" s="64" t="str">
        <f>CONCATENATE(" )", Source!DM127, Source!FU127, "=", Source!FY127)</f>
        <v xml:space="preserve"> )*0,85=46,75</v>
      </c>
      <c r="G521" s="75"/>
      <c r="H521" s="33">
        <f>SUM(T514:T524)</f>
        <v>249.11</v>
      </c>
      <c r="I521" s="36"/>
      <c r="J521" s="31">
        <f>Source!AU127</f>
        <v>47</v>
      </c>
      <c r="K521" s="33">
        <f>SUM(U514:U524)</f>
        <v>8427.4</v>
      </c>
    </row>
    <row r="522" spans="1:25" ht="14.25" x14ac:dyDescent="0.2">
      <c r="A522" s="20"/>
      <c r="B522" s="43"/>
      <c r="C522" s="43" t="s">
        <v>1377</v>
      </c>
      <c r="D522" s="32" t="s">
        <v>1378</v>
      </c>
      <c r="E522" s="10">
        <f>Source!AQ127</f>
        <v>106.19</v>
      </c>
      <c r="F522" s="33"/>
      <c r="G522" s="34" t="str">
        <f>Source!DI127</f>
        <v>)*1,15)*1,35</v>
      </c>
      <c r="H522" s="33"/>
      <c r="I522" s="34"/>
      <c r="J522" s="34"/>
      <c r="K522" s="33"/>
    </row>
    <row r="523" spans="1:25" ht="28.5" x14ac:dyDescent="0.2">
      <c r="A523" s="20"/>
      <c r="B523" s="43" t="str">
        <f>Source!F128</f>
        <v>08.1.02.23-0001</v>
      </c>
      <c r="C523" s="43" t="str">
        <f>Source!G128</f>
        <v>Сайдинг стальной с полимерным покрытием</v>
      </c>
      <c r="D523" s="32" t="str">
        <f>Source!H128</f>
        <v>м2</v>
      </c>
      <c r="E523" s="10">
        <f>Source!I128</f>
        <v>41.182000000000002</v>
      </c>
      <c r="F523" s="33">
        <f>Source!AL128+Source!AM128+Source!AO128</f>
        <v>132.94</v>
      </c>
      <c r="G523" s="42" t="s">
        <v>1385</v>
      </c>
      <c r="H523" s="33">
        <f>ROUND(Source!AC128*Source!I128, 2)+ROUND(Source!AD128*Source!I128, 2)+ROUND(Source!AF128*Source!I128, 2)</f>
        <v>5474.74</v>
      </c>
      <c r="I523" s="34"/>
      <c r="J523" s="34">
        <f>IF(Source!BC128&lt;&gt; 0, Source!BC128, 1)</f>
        <v>2.0699999999999998</v>
      </c>
      <c r="K523" s="33">
        <f>Source!O128</f>
        <v>11332.7</v>
      </c>
      <c r="R523">
        <f>ROUND((Source!FX128/100)*((ROUND(Source!AF128*Source!I128, 2)+ROUND(Source!AE128*Source!I128, 2))), 2)</f>
        <v>0</v>
      </c>
      <c r="S523">
        <f>Source!X128</f>
        <v>0</v>
      </c>
      <c r="T523">
        <f>ROUND((Source!FY128/100)*((ROUND(Source!AF128*Source!I128, 2)+ROUND(Source!AE128*Source!I128, 2))), 2)</f>
        <v>0</v>
      </c>
      <c r="U523">
        <f>Source!Y128</f>
        <v>0</v>
      </c>
      <c r="V523">
        <f>IF(Source!BI128&lt;=1,H523, 0)</f>
        <v>5474.74</v>
      </c>
      <c r="W523">
        <f>IF(Source!BI128=2,H523, 0)</f>
        <v>0</v>
      </c>
      <c r="X523">
        <f>IF(Source!BI128=3,H523, 0)</f>
        <v>0</v>
      </c>
      <c r="Y523">
        <f>IF(Source!BI128=4,H523, 0)</f>
        <v>0</v>
      </c>
    </row>
    <row r="524" spans="1:25" ht="42.75" x14ac:dyDescent="0.2">
      <c r="A524" s="44"/>
      <c r="B524" s="45" t="str">
        <f>Source!F129</f>
        <v>08.1.02.23-0024</v>
      </c>
      <c r="C524" s="45" t="str">
        <f>Source!G129</f>
        <v>Элементы для сайдинга стального (с покрытием полиэстер): Планка угла со стороной 50 мм</v>
      </c>
      <c r="D524" s="37" t="str">
        <f>Source!H129</f>
        <v>м</v>
      </c>
      <c r="E524" s="38">
        <f>Source!I129</f>
        <v>24.2</v>
      </c>
      <c r="F524" s="39">
        <f>Source!AL129+Source!AM129+Source!AO129</f>
        <v>15.62</v>
      </c>
      <c r="G524" s="41" t="s">
        <v>1385</v>
      </c>
      <c r="H524" s="39">
        <f>ROUND(Source!AC129*Source!I129, 2)+ROUND(Source!AD129*Source!I129, 2)+ROUND(Source!AF129*Source!I129, 2)</f>
        <v>378</v>
      </c>
      <c r="I524" s="40"/>
      <c r="J524" s="40">
        <f>IF(Source!BC129&lt;&gt; 0, Source!BC129, 1)</f>
        <v>9.86</v>
      </c>
      <c r="K524" s="39">
        <f>Source!O129</f>
        <v>3727.12</v>
      </c>
      <c r="R524">
        <f>ROUND((Source!FX129/100)*((ROUND(Source!AF129*Source!I129, 2)+ROUND(Source!AE129*Source!I129, 2))), 2)</f>
        <v>0</v>
      </c>
      <c r="S524">
        <f>Source!X129</f>
        <v>0</v>
      </c>
      <c r="T524">
        <f>ROUND((Source!FY129/100)*((ROUND(Source!AF129*Source!I129, 2)+ROUND(Source!AE129*Source!I129, 2))), 2)</f>
        <v>0</v>
      </c>
      <c r="U524">
        <f>Source!Y129</f>
        <v>0</v>
      </c>
      <c r="V524">
        <f>IF(Source!BI129&lt;=1,H524, 0)</f>
        <v>378</v>
      </c>
      <c r="W524">
        <f>IF(Source!BI129=2,H524, 0)</f>
        <v>0</v>
      </c>
      <c r="X524">
        <f>IF(Source!BI129=3,H524, 0)</f>
        <v>0</v>
      </c>
      <c r="Y524">
        <f>IF(Source!BI129=4,H524, 0)</f>
        <v>0</v>
      </c>
    </row>
    <row r="525" spans="1:25" ht="15" x14ac:dyDescent="0.25">
      <c r="G525" s="76">
        <f>H516+H517+H519+H520+H521+SUM(H523:H524)</f>
        <v>10906.99</v>
      </c>
      <c r="H525" s="76"/>
      <c r="J525" s="76">
        <f>K516+K517+K519+K520+K521+SUM(K523:K524)</f>
        <v>77338.350000000006</v>
      </c>
      <c r="K525" s="76"/>
      <c r="N525" s="28">
        <f>G525</f>
        <v>10906.99</v>
      </c>
      <c r="O525" s="28">
        <f>J525</f>
        <v>77338.350000000006</v>
      </c>
      <c r="P525" s="28" t="e">
        <f>#REF!</f>
        <v>#REF!</v>
      </c>
      <c r="V525">
        <f>IF(Source!BI127&lt;=1,H516+H517+H519+H520+H521, 0)</f>
        <v>5054.25</v>
      </c>
      <c r="W525">
        <f>IF(Source!BI127=2,H516+H517+H519+H520+H521, 0)</f>
        <v>0</v>
      </c>
      <c r="X525">
        <f>IF(Source!BI127=3,H516+H517+H519+H520+H521, 0)</f>
        <v>0</v>
      </c>
      <c r="Y525">
        <f>IF(Source!BI127=4,H516+H517+H519+H520+H521, 0)</f>
        <v>0</v>
      </c>
    </row>
    <row r="526" spans="1:25" ht="103.5" x14ac:dyDescent="0.2">
      <c r="A526" s="20" t="str">
        <f>Source!E130</f>
        <v>50</v>
      </c>
      <c r="B526" s="43" t="s">
        <v>1428</v>
      </c>
      <c r="C526" s="43" t="str">
        <f>Source!G130</f>
        <v>Устройство плинтусов поливинилхлоридных: на винтах самонарезающих</v>
      </c>
      <c r="D526" s="32" t="str">
        <f>Source!H130</f>
        <v>100 м</v>
      </c>
      <c r="E526" s="10">
        <f>Source!I130</f>
        <v>0.13600000000000001</v>
      </c>
      <c r="F526" s="33">
        <f>Source!AL130+Source!AM130+Source!AO130</f>
        <v>216.29</v>
      </c>
      <c r="G526" s="34"/>
      <c r="H526" s="33"/>
      <c r="I526" s="34" t="str">
        <f>Source!BO130</f>
        <v>11-01-040-03</v>
      </c>
      <c r="J526" s="34"/>
      <c r="K526" s="33"/>
      <c r="R526">
        <f>ROUND((Source!FX130/100)*((ROUND(Source!AF130*Source!I130, 2)+ROUND(Source!AE130*Source!I130, 2))), 2)</f>
        <v>14.45</v>
      </c>
      <c r="S526">
        <f>Source!X130</f>
        <v>487.2</v>
      </c>
      <c r="T526">
        <f>ROUND((Source!FY130/100)*((ROUND(Source!AF130*Source!I130, 2)+ROUND(Source!AE130*Source!I130, 2))), 2)</f>
        <v>8.32</v>
      </c>
      <c r="U526">
        <f>Source!Y130</f>
        <v>280.91000000000003</v>
      </c>
    </row>
    <row r="527" spans="1:25" x14ac:dyDescent="0.2">
      <c r="C527" s="27" t="str">
        <f>"Объем: "&amp;Source!I130&amp;"=13,6/"&amp;"100"</f>
        <v>Объем: 0,136=13,6/100</v>
      </c>
    </row>
    <row r="528" spans="1:25" ht="14.25" x14ac:dyDescent="0.2">
      <c r="A528" s="20"/>
      <c r="B528" s="43"/>
      <c r="C528" s="43" t="s">
        <v>1372</v>
      </c>
      <c r="D528" s="32"/>
      <c r="E528" s="10"/>
      <c r="F528" s="33">
        <f>Source!AO130</f>
        <v>61.32</v>
      </c>
      <c r="G528" s="34" t="str">
        <f>Source!DG130</f>
        <v>)*1,35)*1,15</v>
      </c>
      <c r="H528" s="33">
        <f>ROUND(Source!AF130*Source!I130, 2)</f>
        <v>12.95</v>
      </c>
      <c r="I528" s="34"/>
      <c r="J528" s="34">
        <f>IF(Source!BA130&lt;&gt; 0, Source!BA130, 1)</f>
        <v>33.65</v>
      </c>
      <c r="K528" s="33">
        <f>Source!S130</f>
        <v>435.67</v>
      </c>
      <c r="Q528">
        <f>H528</f>
        <v>12.95</v>
      </c>
    </row>
    <row r="529" spans="1:25" ht="14.25" x14ac:dyDescent="0.2">
      <c r="A529" s="20"/>
      <c r="B529" s="43"/>
      <c r="C529" s="43" t="s">
        <v>646</v>
      </c>
      <c r="D529" s="32"/>
      <c r="E529" s="10"/>
      <c r="F529" s="33">
        <f>Source!AM130</f>
        <v>2.13</v>
      </c>
      <c r="G529" s="34" t="str">
        <f>Source!DE130</f>
        <v>)*1,35)*1,25</v>
      </c>
      <c r="H529" s="33">
        <f>ROUND(Source!AD130*Source!I130, 2)</f>
        <v>0.49</v>
      </c>
      <c r="I529" s="34"/>
      <c r="J529" s="34">
        <f>IF(Source!BB130&lt;&gt; 0, Source!BB130, 1)</f>
        <v>12.04</v>
      </c>
      <c r="K529" s="33">
        <f>Source!Q130</f>
        <v>5.89</v>
      </c>
    </row>
    <row r="530" spans="1:25" ht="14.25" x14ac:dyDescent="0.2">
      <c r="A530" s="20"/>
      <c r="B530" s="43"/>
      <c r="C530" s="43" t="s">
        <v>1373</v>
      </c>
      <c r="D530" s="32"/>
      <c r="E530" s="10"/>
      <c r="F530" s="33">
        <f>Source!AN130</f>
        <v>0.42</v>
      </c>
      <c r="G530" s="34" t="str">
        <f>Source!DF130</f>
        <v>)*1,35)*1,25</v>
      </c>
      <c r="H530" s="35">
        <f>ROUND(Source!AE130*Source!I130, 2)</f>
        <v>0.1</v>
      </c>
      <c r="I530" s="34"/>
      <c r="J530" s="34">
        <f>IF(Source!BS130&lt;&gt; 0, Source!BS130, 1)</f>
        <v>33.65</v>
      </c>
      <c r="K530" s="35">
        <f>Source!R130</f>
        <v>3.25</v>
      </c>
      <c r="Q530">
        <f>H530</f>
        <v>0.1</v>
      </c>
    </row>
    <row r="531" spans="1:25" ht="14.25" x14ac:dyDescent="0.2">
      <c r="A531" s="20"/>
      <c r="B531" s="43"/>
      <c r="C531" s="43" t="s">
        <v>1400</v>
      </c>
      <c r="D531" s="32"/>
      <c r="E531" s="10"/>
      <c r="F531" s="33">
        <f>Source!AL130</f>
        <v>152.84</v>
      </c>
      <c r="G531" s="34" t="str">
        <f>Source!DD130</f>
        <v/>
      </c>
      <c r="H531" s="33">
        <f>ROUND(Source!AC130*Source!I130, 2)</f>
        <v>20.79</v>
      </c>
      <c r="I531" s="34"/>
      <c r="J531" s="34">
        <f>IF(Source!BC130&lt;&gt; 0, Source!BC130, 1)</f>
        <v>6.98</v>
      </c>
      <c r="K531" s="33">
        <f>Source!P130</f>
        <v>145.09</v>
      </c>
    </row>
    <row r="532" spans="1:25" ht="14.25" x14ac:dyDescent="0.2">
      <c r="A532" s="20"/>
      <c r="B532" s="43"/>
      <c r="C532" s="43" t="s">
        <v>1374</v>
      </c>
      <c r="D532" s="32" t="s">
        <v>1375</v>
      </c>
      <c r="E532" s="10">
        <f>Source!BZ130</f>
        <v>123</v>
      </c>
      <c r="F532" s="64" t="str">
        <f>CONCATENATE(" )", Source!DL130, Source!FT130, "=", Source!FX130)</f>
        <v xml:space="preserve"> )*0,9=110,7</v>
      </c>
      <c r="G532" s="75"/>
      <c r="H532" s="33">
        <f>SUM(R526:R535)</f>
        <v>14.45</v>
      </c>
      <c r="I532" s="36"/>
      <c r="J532" s="31">
        <f>Source!AT130</f>
        <v>111</v>
      </c>
      <c r="K532" s="33">
        <f>SUM(S526:S535)</f>
        <v>487.2</v>
      </c>
    </row>
    <row r="533" spans="1:25" ht="14.25" x14ac:dyDescent="0.2">
      <c r="A533" s="20"/>
      <c r="B533" s="43"/>
      <c r="C533" s="43" t="s">
        <v>1376</v>
      </c>
      <c r="D533" s="32" t="s">
        <v>1375</v>
      </c>
      <c r="E533" s="10">
        <f>Source!CA130</f>
        <v>75</v>
      </c>
      <c r="F533" s="64" t="str">
        <f>CONCATENATE(" )", Source!DM130, Source!FU130, "=", Source!FY130)</f>
        <v xml:space="preserve"> )*0,85=63,75</v>
      </c>
      <c r="G533" s="75"/>
      <c r="H533" s="33">
        <f>SUM(T526:T535)</f>
        <v>8.32</v>
      </c>
      <c r="I533" s="36"/>
      <c r="J533" s="31">
        <f>Source!AU130</f>
        <v>64</v>
      </c>
      <c r="K533" s="33">
        <f>SUM(U526:U535)</f>
        <v>280.91000000000003</v>
      </c>
    </row>
    <row r="534" spans="1:25" ht="14.25" x14ac:dyDescent="0.2">
      <c r="A534" s="20"/>
      <c r="B534" s="43"/>
      <c r="C534" s="43" t="s">
        <v>1377</v>
      </c>
      <c r="D534" s="32" t="s">
        <v>1378</v>
      </c>
      <c r="E534" s="10">
        <f>Source!AQ130</f>
        <v>6.68</v>
      </c>
      <c r="F534" s="33"/>
      <c r="G534" s="34" t="str">
        <f>Source!DI130</f>
        <v>)*1,35)*1,15</v>
      </c>
      <c r="H534" s="33"/>
      <c r="I534" s="34"/>
      <c r="J534" s="34"/>
      <c r="K534" s="33"/>
    </row>
    <row r="535" spans="1:25" ht="28.5" x14ac:dyDescent="0.2">
      <c r="A535" s="44"/>
      <c r="B535" s="45" t="str">
        <f>Source!F131</f>
        <v>11.3.03.06-0001</v>
      </c>
      <c r="C535" s="45" t="str">
        <f>Source!G131</f>
        <v>Плинтуса для полов из жесткого ПВХ, размер 19x48 мм</v>
      </c>
      <c r="D535" s="37" t="str">
        <f>Source!H131</f>
        <v>м</v>
      </c>
      <c r="E535" s="38">
        <f>Source!I131</f>
        <v>13.736000000000001</v>
      </c>
      <c r="F535" s="39">
        <f>Source!AL131+Source!AM131+Source!AO131</f>
        <v>12.3</v>
      </c>
      <c r="G535" s="41" t="s">
        <v>1385</v>
      </c>
      <c r="H535" s="39">
        <f>ROUND(Source!AC131*Source!I131, 2)+ROUND(Source!AD131*Source!I131, 2)+ROUND(Source!AF131*Source!I131, 2)</f>
        <v>168.95</v>
      </c>
      <c r="I535" s="40"/>
      <c r="J535" s="40">
        <f>IF(Source!BC131&lt;&gt; 0, Source!BC131, 1)</f>
        <v>3.89</v>
      </c>
      <c r="K535" s="39">
        <f>Source!O131</f>
        <v>657.23</v>
      </c>
      <c r="R535">
        <f>ROUND((Source!FX131/100)*((ROUND(Source!AF131*Source!I131, 2)+ROUND(Source!AE131*Source!I131, 2))), 2)</f>
        <v>0</v>
      </c>
      <c r="S535">
        <f>Source!X131</f>
        <v>0</v>
      </c>
      <c r="T535">
        <f>ROUND((Source!FY131/100)*((ROUND(Source!AF131*Source!I131, 2)+ROUND(Source!AE131*Source!I131, 2))), 2)</f>
        <v>0</v>
      </c>
      <c r="U535">
        <f>Source!Y131</f>
        <v>0</v>
      </c>
      <c r="V535">
        <f>IF(Source!BI131&lt;=1,H535, 0)</f>
        <v>168.95</v>
      </c>
      <c r="W535">
        <f>IF(Source!BI131=2,H535, 0)</f>
        <v>0</v>
      </c>
      <c r="X535">
        <f>IF(Source!BI131=3,H535, 0)</f>
        <v>0</v>
      </c>
      <c r="Y535">
        <f>IF(Source!BI131=4,H535, 0)</f>
        <v>0</v>
      </c>
    </row>
    <row r="536" spans="1:25" ht="15" x14ac:dyDescent="0.25">
      <c r="G536" s="76">
        <f>H528+H529+H531+H532+H533+SUM(H535:H535)</f>
        <v>225.95</v>
      </c>
      <c r="H536" s="76"/>
      <c r="J536" s="76">
        <f>K528+K529+K531+K532+K533+SUM(K535:K535)</f>
        <v>2011.99</v>
      </c>
      <c r="K536" s="76"/>
      <c r="N536" s="28">
        <f>G536</f>
        <v>225.95</v>
      </c>
      <c r="O536" s="28">
        <f>J536</f>
        <v>2011.99</v>
      </c>
      <c r="P536" s="28" t="e">
        <f>#REF!</f>
        <v>#REF!</v>
      </c>
      <c r="V536">
        <f>IF(Source!BI130&lt;=1,H528+H529+H531+H532+H533, 0)</f>
        <v>56.999999999999993</v>
      </c>
      <c r="W536">
        <f>IF(Source!BI130=2,H528+H529+H531+H532+H533, 0)</f>
        <v>0</v>
      </c>
      <c r="X536">
        <f>IF(Source!BI130=3,H528+H529+H531+H532+H533, 0)</f>
        <v>0</v>
      </c>
      <c r="Y536">
        <f>IF(Source!BI130=4,H528+H529+H531+H532+H533, 0)</f>
        <v>0</v>
      </c>
    </row>
    <row r="537" spans="1:25" ht="171" x14ac:dyDescent="0.2">
      <c r="A537" s="20" t="str">
        <f>Source!E132</f>
        <v>51</v>
      </c>
      <c r="B537" s="43" t="s">
        <v>1429</v>
      </c>
      <c r="C537" s="43" t="str">
        <f>Source!G132</f>
        <v>Установка входной группы алюминиевой остекленной в пол, двухстворчатой, утепленный профиль глубиной не менее 50мм (2 замка на двери главного входа, ручка-скоба, усиленная петля (3 шт.) с заполнением однокамерным стеклопакетом, RAL 9006) на 90° дверном полотне должна быть больше, либо фактическая ширина дверного проема при открытом равна 900мм (внутренняя) Стеклопакет класс защиты А2.</v>
      </c>
      <c r="D537" s="32" t="str">
        <f>Source!H132</f>
        <v>100 м2</v>
      </c>
      <c r="E537" s="10">
        <f>Source!I132</f>
        <v>4.3999999999999997E-2</v>
      </c>
      <c r="F537" s="33">
        <f>Source!AL132+Source!AM132+Source!AO132</f>
        <v>4010.62</v>
      </c>
      <c r="G537" s="34"/>
      <c r="H537" s="33"/>
      <c r="I537" s="34" t="str">
        <f>Source!BO132</f>
        <v>09-04-010-03</v>
      </c>
      <c r="J537" s="34"/>
      <c r="K537" s="33"/>
      <c r="R537">
        <f>ROUND((Source!FX132/100)*((ROUND(Source!AF132*Source!I132, 2)+ROUND(Source!AE132*Source!I132, 2))), 2)</f>
        <v>193.27</v>
      </c>
      <c r="S537">
        <f>Source!X132</f>
        <v>6503.76</v>
      </c>
      <c r="T537">
        <f>ROUND((Source!FY132/100)*((ROUND(Source!AF132*Source!I132, 2)+ROUND(Source!AE132*Source!I132, 2))), 2)</f>
        <v>172.4</v>
      </c>
      <c r="U537">
        <f>Source!Y132</f>
        <v>5781.12</v>
      </c>
    </row>
    <row r="538" spans="1:25" x14ac:dyDescent="0.2">
      <c r="C538" s="27" t="str">
        <f>"Объем: "&amp;Source!I132&amp;"=4,4/"&amp;"100"</f>
        <v>Объем: 0,044=4,4/100</v>
      </c>
    </row>
    <row r="539" spans="1:25" ht="14.25" x14ac:dyDescent="0.2">
      <c r="A539" s="20"/>
      <c r="B539" s="43"/>
      <c r="C539" s="43" t="s">
        <v>1372</v>
      </c>
      <c r="D539" s="32"/>
      <c r="E539" s="10"/>
      <c r="F539" s="33">
        <f>Source!AO132</f>
        <v>3201.48</v>
      </c>
      <c r="G539" s="34" t="str">
        <f>Source!DG132</f>
        <v>)*1,15)*1,35</v>
      </c>
      <c r="H539" s="33">
        <f>ROUND(Source!AF132*Source!I132, 2)</f>
        <v>218.69</v>
      </c>
      <c r="I539" s="34"/>
      <c r="J539" s="34">
        <f>IF(Source!BA132&lt;&gt; 0, Source!BA132, 1)</f>
        <v>33.65</v>
      </c>
      <c r="K539" s="33">
        <f>Source!S132</f>
        <v>7359.03</v>
      </c>
      <c r="Q539">
        <f>H539</f>
        <v>218.69</v>
      </c>
    </row>
    <row r="540" spans="1:25" ht="14.25" x14ac:dyDescent="0.2">
      <c r="A540" s="20"/>
      <c r="B540" s="43"/>
      <c r="C540" s="43" t="s">
        <v>646</v>
      </c>
      <c r="D540" s="32"/>
      <c r="E540" s="10"/>
      <c r="F540" s="33">
        <f>Source!AM132</f>
        <v>800.1</v>
      </c>
      <c r="G540" s="34" t="str">
        <f>Source!DE132</f>
        <v>)*1,25)*1,35</v>
      </c>
      <c r="H540" s="33">
        <f>ROUND(Source!AD132*Source!I132, 2)</f>
        <v>59.41</v>
      </c>
      <c r="I540" s="34"/>
      <c r="J540" s="34">
        <f>IF(Source!BB132&lt;&gt; 0, Source!BB132, 1)</f>
        <v>13.46</v>
      </c>
      <c r="K540" s="33">
        <f>Source!Q132</f>
        <v>799.62</v>
      </c>
    </row>
    <row r="541" spans="1:25" ht="14.25" x14ac:dyDescent="0.2">
      <c r="A541" s="20"/>
      <c r="B541" s="43"/>
      <c r="C541" s="43" t="s">
        <v>1373</v>
      </c>
      <c r="D541" s="32"/>
      <c r="E541" s="10"/>
      <c r="F541" s="33">
        <f>Source!AN132</f>
        <v>268.27999999999997</v>
      </c>
      <c r="G541" s="34" t="str">
        <f>Source!DF132</f>
        <v>)*1,25)*1,35</v>
      </c>
      <c r="H541" s="35">
        <f>ROUND(Source!AE132*Source!I132, 2)</f>
        <v>19.920000000000002</v>
      </c>
      <c r="I541" s="34"/>
      <c r="J541" s="34">
        <f>IF(Source!BS132&lt;&gt; 0, Source!BS132, 1)</f>
        <v>33.65</v>
      </c>
      <c r="K541" s="35">
        <f>Source!R132</f>
        <v>670.3</v>
      </c>
      <c r="Q541">
        <f>H541</f>
        <v>19.920000000000002</v>
      </c>
    </row>
    <row r="542" spans="1:25" ht="14.25" x14ac:dyDescent="0.2">
      <c r="A542" s="20"/>
      <c r="B542" s="43"/>
      <c r="C542" s="43" t="s">
        <v>1400</v>
      </c>
      <c r="D542" s="32"/>
      <c r="E542" s="10"/>
      <c r="F542" s="33">
        <f>Source!AL132</f>
        <v>9.0399999999999991</v>
      </c>
      <c r="G542" s="34" t="str">
        <f>Source!DD132</f>
        <v/>
      </c>
      <c r="H542" s="33">
        <f>ROUND(Source!AC132*Source!I132, 2)</f>
        <v>0.4</v>
      </c>
      <c r="I542" s="34"/>
      <c r="J542" s="34">
        <f>IF(Source!BC132&lt;&gt; 0, Source!BC132, 1)</f>
        <v>10.39</v>
      </c>
      <c r="K542" s="33">
        <f>Source!P132</f>
        <v>4.13</v>
      </c>
    </row>
    <row r="543" spans="1:25" ht="14.25" x14ac:dyDescent="0.2">
      <c r="A543" s="20"/>
      <c r="B543" s="43"/>
      <c r="C543" s="43" t="s">
        <v>1374</v>
      </c>
      <c r="D543" s="32" t="s">
        <v>1375</v>
      </c>
      <c r="E543" s="10">
        <f>Source!BZ132</f>
        <v>90</v>
      </c>
      <c r="F543" s="64" t="str">
        <f>CONCATENATE(" )", Source!DL132, Source!FT132, "=", Source!FX132)</f>
        <v xml:space="preserve"> )*0,9=81</v>
      </c>
      <c r="G543" s="75"/>
      <c r="H543" s="33">
        <f>SUM(R537:R549)</f>
        <v>193.27</v>
      </c>
      <c r="I543" s="36"/>
      <c r="J543" s="31">
        <f>Source!AT132</f>
        <v>81</v>
      </c>
      <c r="K543" s="33">
        <f>SUM(S537:S549)</f>
        <v>6503.76</v>
      </c>
    </row>
    <row r="544" spans="1:25" ht="14.25" x14ac:dyDescent="0.2">
      <c r="A544" s="20"/>
      <c r="B544" s="43"/>
      <c r="C544" s="43" t="s">
        <v>1376</v>
      </c>
      <c r="D544" s="32" t="s">
        <v>1375</v>
      </c>
      <c r="E544" s="10">
        <f>Source!CA132</f>
        <v>85</v>
      </c>
      <c r="F544" s="64" t="str">
        <f>CONCATENATE(" )", Source!DM132, Source!FU132, "=", Source!FY132)</f>
        <v xml:space="preserve"> )*0,85=72,25</v>
      </c>
      <c r="G544" s="75"/>
      <c r="H544" s="33">
        <f>SUM(T537:T549)</f>
        <v>172.4</v>
      </c>
      <c r="I544" s="36"/>
      <c r="J544" s="31">
        <f>Source!AU132</f>
        <v>72</v>
      </c>
      <c r="K544" s="33">
        <f>SUM(U537:U549)</f>
        <v>5781.12</v>
      </c>
    </row>
    <row r="545" spans="1:25" ht="14.25" x14ac:dyDescent="0.2">
      <c r="A545" s="20"/>
      <c r="B545" s="43"/>
      <c r="C545" s="43" t="s">
        <v>1377</v>
      </c>
      <c r="D545" s="32" t="s">
        <v>1378</v>
      </c>
      <c r="E545" s="10">
        <f>Source!AQ132</f>
        <v>322.73</v>
      </c>
      <c r="F545" s="33"/>
      <c r="G545" s="34" t="str">
        <f>Source!DI132</f>
        <v>)*1,15)*1,35</v>
      </c>
      <c r="H545" s="33"/>
      <c r="I545" s="34"/>
      <c r="J545" s="34"/>
      <c r="K545" s="33"/>
    </row>
    <row r="546" spans="1:25" ht="14.25" x14ac:dyDescent="0.2">
      <c r="A546" s="20"/>
      <c r="B546" s="43" t="str">
        <f>Source!F133</f>
        <v>01.8.02.08-0002</v>
      </c>
      <c r="C546" s="43" t="str">
        <f>Source!G133</f>
        <v>Стеклопакеты однокамерные</v>
      </c>
      <c r="D546" s="32" t="str">
        <f>Source!H133</f>
        <v>м2</v>
      </c>
      <c r="E546" s="10">
        <f>Source!I133</f>
        <v>3.3</v>
      </c>
      <c r="F546" s="33">
        <f>Source!AL133+Source!AM133+Source!AO133</f>
        <v>253.8</v>
      </c>
      <c r="G546" s="42" t="s">
        <v>1385</v>
      </c>
      <c r="H546" s="33">
        <f>ROUND(Source!AC133*Source!I133, 2)+ROUND(Source!AD133*Source!I133, 2)+ROUND(Source!AF133*Source!I133, 2)</f>
        <v>837.54</v>
      </c>
      <c r="I546" s="34"/>
      <c r="J546" s="34">
        <f>IF(Source!BC133&lt;&gt; 0, Source!BC133, 1)</f>
        <v>8.25</v>
      </c>
      <c r="K546" s="33">
        <f>Source!O133</f>
        <v>6909.71</v>
      </c>
      <c r="R546">
        <f>ROUND((Source!FX133/100)*((ROUND(Source!AF133*Source!I133, 2)+ROUND(Source!AE133*Source!I133, 2))), 2)</f>
        <v>0</v>
      </c>
      <c r="S546">
        <f>Source!X133</f>
        <v>0</v>
      </c>
      <c r="T546">
        <f>ROUND((Source!FY133/100)*((ROUND(Source!AF133*Source!I133, 2)+ROUND(Source!AE133*Source!I133, 2))), 2)</f>
        <v>0</v>
      </c>
      <c r="U546">
        <f>Source!Y133</f>
        <v>0</v>
      </c>
      <c r="V546">
        <f>IF(Source!BI133&lt;=1,H546, 0)</f>
        <v>837.54</v>
      </c>
      <c r="W546">
        <f>IF(Source!BI133=2,H546, 0)</f>
        <v>0</v>
      </c>
      <c r="X546">
        <f>IF(Source!BI133=3,H546, 0)</f>
        <v>0</v>
      </c>
      <c r="Y546">
        <f>IF(Source!BI133=4,H546, 0)</f>
        <v>0</v>
      </c>
    </row>
    <row r="547" spans="1:25" ht="71.25" x14ac:dyDescent="0.2">
      <c r="A547" s="20"/>
      <c r="B547" s="43" t="str">
        <f>Source!F134</f>
        <v>09.4.01.01-3061</v>
      </c>
      <c r="C547" s="43" t="str">
        <f>Source!G134</f>
        <v>Блоки дверные для жилых и общественных зданий комбинированные из алюминиевых анодированных сплавов ("теплых" профилей) двухстворчатые</v>
      </c>
      <c r="D547" s="32" t="str">
        <f>Source!H134</f>
        <v>м2</v>
      </c>
      <c r="E547" s="10">
        <f>Source!I134</f>
        <v>4.4000000000000004</v>
      </c>
      <c r="F547" s="33">
        <f>Source!AL134+Source!AM134+Source!AO134</f>
        <v>1793.35</v>
      </c>
      <c r="G547" s="42" t="s">
        <v>1385</v>
      </c>
      <c r="H547" s="33">
        <f>ROUND(Source!AC134*Source!I134, 2)+ROUND(Source!AD134*Source!I134, 2)+ROUND(Source!AF134*Source!I134, 2)</f>
        <v>7890.74</v>
      </c>
      <c r="I547" s="34"/>
      <c r="J547" s="34">
        <f>IF(Source!BC134&lt;&gt; 0, Source!BC134, 1)</f>
        <v>4.18</v>
      </c>
      <c r="K547" s="33">
        <f>Source!O134</f>
        <v>32983.29</v>
      </c>
      <c r="R547">
        <f>ROUND((Source!FX134/100)*((ROUND(Source!AF134*Source!I134, 2)+ROUND(Source!AE134*Source!I134, 2))), 2)</f>
        <v>0</v>
      </c>
      <c r="S547">
        <f>Source!X134</f>
        <v>0</v>
      </c>
      <c r="T547">
        <f>ROUND((Source!FY134/100)*((ROUND(Source!AF134*Source!I134, 2)+ROUND(Source!AE134*Source!I134, 2))), 2)</f>
        <v>0</v>
      </c>
      <c r="U547">
        <f>Source!Y134</f>
        <v>0</v>
      </c>
      <c r="V547">
        <f>IF(Source!BI134&lt;=1,H547, 0)</f>
        <v>7890.74</v>
      </c>
      <c r="W547">
        <f>IF(Source!BI134=2,H547, 0)</f>
        <v>0</v>
      </c>
      <c r="X547">
        <f>IF(Source!BI134=3,H547, 0)</f>
        <v>0</v>
      </c>
      <c r="Y547">
        <f>IF(Source!BI134=4,H547, 0)</f>
        <v>0</v>
      </c>
    </row>
    <row r="548" spans="1:25" ht="14.25" x14ac:dyDescent="0.2">
      <c r="A548" s="20"/>
      <c r="B548" s="43" t="str">
        <f>Source!F135</f>
        <v>01.7.04.04-3020</v>
      </c>
      <c r="C548" s="43" t="str">
        <f>Source!G135</f>
        <v>Замки врезные цилиндровые</v>
      </c>
      <c r="D548" s="32" t="str">
        <f>Source!H135</f>
        <v>ШТ</v>
      </c>
      <c r="E548" s="10">
        <f>Source!I135</f>
        <v>2</v>
      </c>
      <c r="F548" s="33">
        <f>Source!AL135+Source!AM135+Source!AO135</f>
        <v>206.66</v>
      </c>
      <c r="G548" s="42" t="s">
        <v>1385</v>
      </c>
      <c r="H548" s="33">
        <f>ROUND(Source!AC135*Source!I135, 2)+ROUND(Source!AD135*Source!I135, 2)+ROUND(Source!AF135*Source!I135, 2)</f>
        <v>413.32</v>
      </c>
      <c r="I548" s="34"/>
      <c r="J548" s="34">
        <f>IF(Source!BC135&lt;&gt; 0, Source!BC135, 1)</f>
        <v>3.61</v>
      </c>
      <c r="K548" s="33">
        <f>Source!O135</f>
        <v>1492.09</v>
      </c>
      <c r="R548">
        <f>ROUND((Source!FX135/100)*((ROUND(Source!AF135*Source!I135, 2)+ROUND(Source!AE135*Source!I135, 2))), 2)</f>
        <v>0</v>
      </c>
      <c r="S548">
        <f>Source!X135</f>
        <v>0</v>
      </c>
      <c r="T548">
        <f>ROUND((Source!FY135/100)*((ROUND(Source!AF135*Source!I135, 2)+ROUND(Source!AE135*Source!I135, 2))), 2)</f>
        <v>0</v>
      </c>
      <c r="U548">
        <f>Source!Y135</f>
        <v>0</v>
      </c>
      <c r="V548">
        <f>IF(Source!BI135&lt;=1,H548, 0)</f>
        <v>413.32</v>
      </c>
      <c r="W548">
        <f>IF(Source!BI135=2,H548, 0)</f>
        <v>0</v>
      </c>
      <c r="X548">
        <f>IF(Source!BI135=3,H548, 0)</f>
        <v>0</v>
      </c>
      <c r="Y548">
        <f>IF(Source!BI135=4,H548, 0)</f>
        <v>0</v>
      </c>
    </row>
    <row r="549" spans="1:25" ht="14.25" x14ac:dyDescent="0.2">
      <c r="A549" s="44"/>
      <c r="B549" s="45" t="str">
        <f>Source!F136</f>
        <v>01.7.04.09-3074</v>
      </c>
      <c r="C549" s="45" t="str">
        <f>Source!G136</f>
        <v>Петли усиленные</v>
      </c>
      <c r="D549" s="37" t="str">
        <f>Source!H136</f>
        <v>ШТ</v>
      </c>
      <c r="E549" s="38">
        <f>Source!I136</f>
        <v>6</v>
      </c>
      <c r="F549" s="39">
        <f>Source!AL136+Source!AM136+Source!AO136</f>
        <v>90.24</v>
      </c>
      <c r="G549" s="41" t="s">
        <v>1385</v>
      </c>
      <c r="H549" s="39">
        <f>ROUND(Source!AC136*Source!I136, 2)+ROUND(Source!AD136*Source!I136, 2)+ROUND(Source!AF136*Source!I136, 2)</f>
        <v>541.44000000000005</v>
      </c>
      <c r="I549" s="40"/>
      <c r="J549" s="40">
        <f>IF(Source!BC136&lt;&gt; 0, Source!BC136, 1)</f>
        <v>3.83</v>
      </c>
      <c r="K549" s="39">
        <f>Source!O136</f>
        <v>2073.7199999999998</v>
      </c>
      <c r="R549">
        <f>ROUND((Source!FX136/100)*((ROUND(Source!AF136*Source!I136, 2)+ROUND(Source!AE136*Source!I136, 2))), 2)</f>
        <v>0</v>
      </c>
      <c r="S549">
        <f>Source!X136</f>
        <v>0</v>
      </c>
      <c r="T549">
        <f>ROUND((Source!FY136/100)*((ROUND(Source!AF136*Source!I136, 2)+ROUND(Source!AE136*Source!I136, 2))), 2)</f>
        <v>0</v>
      </c>
      <c r="U549">
        <f>Source!Y136</f>
        <v>0</v>
      </c>
      <c r="V549">
        <f>IF(Source!BI136&lt;=1,H549, 0)</f>
        <v>541.44000000000005</v>
      </c>
      <c r="W549">
        <f>IF(Source!BI136=2,H549, 0)</f>
        <v>0</v>
      </c>
      <c r="X549">
        <f>IF(Source!BI136=3,H549, 0)</f>
        <v>0</v>
      </c>
      <c r="Y549">
        <f>IF(Source!BI136=4,H549, 0)</f>
        <v>0</v>
      </c>
    </row>
    <row r="550" spans="1:25" ht="15" x14ac:dyDescent="0.25">
      <c r="G550" s="76">
        <f>H539+H540+H542+H543+H544+SUM(H546:H549)</f>
        <v>10327.209999999999</v>
      </c>
      <c r="H550" s="76"/>
      <c r="J550" s="76">
        <f>K539+K540+K542+K543+K544+SUM(K546:K549)</f>
        <v>63906.47</v>
      </c>
      <c r="K550" s="76"/>
      <c r="N550" s="28">
        <f>G550</f>
        <v>10327.209999999999</v>
      </c>
      <c r="O550" s="28">
        <f>J550</f>
        <v>63906.47</v>
      </c>
      <c r="P550" s="28" t="e">
        <f>#REF!</f>
        <v>#REF!</v>
      </c>
      <c r="V550">
        <f>IF(Source!BI132&lt;=1,H539+H540+H542+H543+H544, 0)</f>
        <v>644.16999999999996</v>
      </c>
      <c r="W550">
        <f>IF(Source!BI132=2,H539+H540+H542+H543+H544, 0)</f>
        <v>0</v>
      </c>
      <c r="X550">
        <f>IF(Source!BI132=3,H539+H540+H542+H543+H544, 0)</f>
        <v>0</v>
      </c>
      <c r="Y550">
        <f>IF(Source!BI132=4,H539+H540+H542+H543+H544, 0)</f>
        <v>0</v>
      </c>
    </row>
    <row r="551" spans="1:25" ht="142.5" x14ac:dyDescent="0.2">
      <c r="A551" s="20" t="str">
        <f>Source!E137</f>
        <v>52</v>
      </c>
      <c r="B551" s="43" t="s">
        <v>1429</v>
      </c>
      <c r="C551" s="43" t="str">
        <f>Source!G137</f>
        <v>Установка двери алюминиевой двухстворчатой остекленной в пол, холодный профиль (1 замок, ручка-скоба, усиленная петля (3 шт.) с заполнением однокамерным стеклопакетом, белый) фактическая ширина дверного проема при открытом на 90° дверном полотне должна быть больше, либо равна 900мм Стеклопакет класс защиты А2.</v>
      </c>
      <c r="D551" s="32" t="str">
        <f>Source!H137</f>
        <v>100 м2</v>
      </c>
      <c r="E551" s="10">
        <f>Source!I137</f>
        <v>4.3999999999999997E-2</v>
      </c>
      <c r="F551" s="33">
        <f>Source!AL137+Source!AM137+Source!AO137</f>
        <v>4010.62</v>
      </c>
      <c r="G551" s="34"/>
      <c r="H551" s="33"/>
      <c r="I551" s="34" t="str">
        <f>Source!BO137</f>
        <v>09-04-010-03</v>
      </c>
      <c r="J551" s="34"/>
      <c r="K551" s="33"/>
      <c r="R551">
        <f>ROUND((Source!FX137/100)*((ROUND(Source!AF137*Source!I137, 2)+ROUND(Source!AE137*Source!I137, 2))), 2)</f>
        <v>193.27</v>
      </c>
      <c r="S551">
        <f>Source!X137</f>
        <v>6503.76</v>
      </c>
      <c r="T551">
        <f>ROUND((Source!FY137/100)*((ROUND(Source!AF137*Source!I137, 2)+ROUND(Source!AE137*Source!I137, 2))), 2)</f>
        <v>172.4</v>
      </c>
      <c r="U551">
        <f>Source!Y137</f>
        <v>5781.12</v>
      </c>
    </row>
    <row r="552" spans="1:25" x14ac:dyDescent="0.2">
      <c r="C552" s="27" t="str">
        <f>"Объем: "&amp;Source!I137&amp;"=4,4/"&amp;"100"</f>
        <v>Объем: 0,044=4,4/100</v>
      </c>
    </row>
    <row r="553" spans="1:25" ht="14.25" x14ac:dyDescent="0.2">
      <c r="A553" s="20"/>
      <c r="B553" s="43"/>
      <c r="C553" s="43" t="s">
        <v>1372</v>
      </c>
      <c r="D553" s="32"/>
      <c r="E553" s="10"/>
      <c r="F553" s="33">
        <f>Source!AO137</f>
        <v>3201.48</v>
      </c>
      <c r="G553" s="34" t="str">
        <f>Source!DG137</f>
        <v>)*1,15)*1,35</v>
      </c>
      <c r="H553" s="33">
        <f>ROUND(Source!AF137*Source!I137, 2)</f>
        <v>218.69</v>
      </c>
      <c r="I553" s="34"/>
      <c r="J553" s="34">
        <f>IF(Source!BA137&lt;&gt; 0, Source!BA137, 1)</f>
        <v>33.65</v>
      </c>
      <c r="K553" s="33">
        <f>Source!S137</f>
        <v>7359.03</v>
      </c>
      <c r="Q553">
        <f>H553</f>
        <v>218.69</v>
      </c>
    </row>
    <row r="554" spans="1:25" ht="14.25" x14ac:dyDescent="0.2">
      <c r="A554" s="20"/>
      <c r="B554" s="43"/>
      <c r="C554" s="43" t="s">
        <v>646</v>
      </c>
      <c r="D554" s="32"/>
      <c r="E554" s="10"/>
      <c r="F554" s="33">
        <f>Source!AM137</f>
        <v>800.1</v>
      </c>
      <c r="G554" s="34" t="str">
        <f>Source!DE137</f>
        <v>)*1,25)*1,35</v>
      </c>
      <c r="H554" s="33">
        <f>ROUND(Source!AD137*Source!I137, 2)</f>
        <v>59.41</v>
      </c>
      <c r="I554" s="34"/>
      <c r="J554" s="34">
        <f>IF(Source!BB137&lt;&gt; 0, Source!BB137, 1)</f>
        <v>13.46</v>
      </c>
      <c r="K554" s="33">
        <f>Source!Q137</f>
        <v>799.62</v>
      </c>
    </row>
    <row r="555" spans="1:25" ht="14.25" x14ac:dyDescent="0.2">
      <c r="A555" s="20"/>
      <c r="B555" s="43"/>
      <c r="C555" s="43" t="s">
        <v>1373</v>
      </c>
      <c r="D555" s="32"/>
      <c r="E555" s="10"/>
      <c r="F555" s="33">
        <f>Source!AN137</f>
        <v>268.27999999999997</v>
      </c>
      <c r="G555" s="34" t="str">
        <f>Source!DF137</f>
        <v>)*1,25)*1,35</v>
      </c>
      <c r="H555" s="35">
        <f>ROUND(Source!AE137*Source!I137, 2)</f>
        <v>19.920000000000002</v>
      </c>
      <c r="I555" s="34"/>
      <c r="J555" s="34">
        <f>IF(Source!BS137&lt;&gt; 0, Source!BS137, 1)</f>
        <v>33.65</v>
      </c>
      <c r="K555" s="35">
        <f>Source!R137</f>
        <v>670.3</v>
      </c>
      <c r="Q555">
        <f>H555</f>
        <v>19.920000000000002</v>
      </c>
    </row>
    <row r="556" spans="1:25" ht="14.25" x14ac:dyDescent="0.2">
      <c r="A556" s="20"/>
      <c r="B556" s="43"/>
      <c r="C556" s="43" t="s">
        <v>1400</v>
      </c>
      <c r="D556" s="32"/>
      <c r="E556" s="10"/>
      <c r="F556" s="33">
        <f>Source!AL137</f>
        <v>9.0399999999999991</v>
      </c>
      <c r="G556" s="34" t="str">
        <f>Source!DD137</f>
        <v/>
      </c>
      <c r="H556" s="33">
        <f>ROUND(Source!AC137*Source!I137, 2)</f>
        <v>0.4</v>
      </c>
      <c r="I556" s="34"/>
      <c r="J556" s="34">
        <f>IF(Source!BC137&lt;&gt; 0, Source!BC137, 1)</f>
        <v>10.39</v>
      </c>
      <c r="K556" s="33">
        <f>Source!P137</f>
        <v>4.13</v>
      </c>
    </row>
    <row r="557" spans="1:25" ht="14.25" x14ac:dyDescent="0.2">
      <c r="A557" s="20"/>
      <c r="B557" s="43"/>
      <c r="C557" s="43" t="s">
        <v>1374</v>
      </c>
      <c r="D557" s="32" t="s">
        <v>1375</v>
      </c>
      <c r="E557" s="10">
        <f>Source!BZ137</f>
        <v>90</v>
      </c>
      <c r="F557" s="64" t="str">
        <f>CONCATENATE(" )", Source!DL137, Source!FT137, "=", Source!FX137)</f>
        <v xml:space="preserve"> )*0,9=81</v>
      </c>
      <c r="G557" s="75"/>
      <c r="H557" s="33">
        <f>SUM(R551:R563)</f>
        <v>193.27</v>
      </c>
      <c r="I557" s="36"/>
      <c r="J557" s="31">
        <f>Source!AT137</f>
        <v>81</v>
      </c>
      <c r="K557" s="33">
        <f>SUM(S551:S563)</f>
        <v>6503.76</v>
      </c>
    </row>
    <row r="558" spans="1:25" ht="14.25" x14ac:dyDescent="0.2">
      <c r="A558" s="20"/>
      <c r="B558" s="43"/>
      <c r="C558" s="43" t="s">
        <v>1376</v>
      </c>
      <c r="D558" s="32" t="s">
        <v>1375</v>
      </c>
      <c r="E558" s="10">
        <f>Source!CA137</f>
        <v>85</v>
      </c>
      <c r="F558" s="64" t="str">
        <f>CONCATENATE(" )", Source!DM137, Source!FU137, "=", Source!FY137)</f>
        <v xml:space="preserve"> )*0,85=72,25</v>
      </c>
      <c r="G558" s="75"/>
      <c r="H558" s="33">
        <f>SUM(T551:T563)</f>
        <v>172.4</v>
      </c>
      <c r="I558" s="36"/>
      <c r="J558" s="31">
        <f>Source!AU137</f>
        <v>72</v>
      </c>
      <c r="K558" s="33">
        <f>SUM(U551:U563)</f>
        <v>5781.12</v>
      </c>
    </row>
    <row r="559" spans="1:25" ht="14.25" x14ac:dyDescent="0.2">
      <c r="A559" s="20"/>
      <c r="B559" s="43"/>
      <c r="C559" s="43" t="s">
        <v>1377</v>
      </c>
      <c r="D559" s="32" t="s">
        <v>1378</v>
      </c>
      <c r="E559" s="10">
        <f>Source!AQ137</f>
        <v>322.73</v>
      </c>
      <c r="F559" s="33"/>
      <c r="G559" s="34" t="str">
        <f>Source!DI137</f>
        <v>)*1,15)*1,35</v>
      </c>
      <c r="H559" s="33"/>
      <c r="I559" s="34"/>
      <c r="J559" s="34"/>
      <c r="K559" s="33"/>
    </row>
    <row r="560" spans="1:25" ht="14.25" x14ac:dyDescent="0.2">
      <c r="A560" s="20"/>
      <c r="B560" s="43" t="str">
        <f>Source!F138</f>
        <v>01.8.02.08-0002</v>
      </c>
      <c r="C560" s="43" t="str">
        <f>Source!G138</f>
        <v>Стеклопакеты однокамерные</v>
      </c>
      <c r="D560" s="32" t="str">
        <f>Source!H138</f>
        <v>м2</v>
      </c>
      <c r="E560" s="10">
        <f>Source!I138</f>
        <v>3.3</v>
      </c>
      <c r="F560" s="33">
        <f>Source!AL138+Source!AM138+Source!AO138</f>
        <v>253.8</v>
      </c>
      <c r="G560" s="42" t="s">
        <v>1385</v>
      </c>
      <c r="H560" s="33">
        <f>ROUND(Source!AC138*Source!I138, 2)+ROUND(Source!AD138*Source!I138, 2)+ROUND(Source!AF138*Source!I138, 2)</f>
        <v>837.54</v>
      </c>
      <c r="I560" s="34"/>
      <c r="J560" s="34">
        <f>IF(Source!BC138&lt;&gt; 0, Source!BC138, 1)</f>
        <v>8.25</v>
      </c>
      <c r="K560" s="33">
        <f>Source!O138</f>
        <v>6909.71</v>
      </c>
      <c r="R560">
        <f>ROUND((Source!FX138/100)*((ROUND(Source!AF138*Source!I138, 2)+ROUND(Source!AE138*Source!I138, 2))), 2)</f>
        <v>0</v>
      </c>
      <c r="S560">
        <f>Source!X138</f>
        <v>0</v>
      </c>
      <c r="T560">
        <f>ROUND((Source!FY138/100)*((ROUND(Source!AF138*Source!I138, 2)+ROUND(Source!AE138*Source!I138, 2))), 2)</f>
        <v>0</v>
      </c>
      <c r="U560">
        <f>Source!Y138</f>
        <v>0</v>
      </c>
      <c r="V560">
        <f>IF(Source!BI138&lt;=1,H560, 0)</f>
        <v>837.54</v>
      </c>
      <c r="W560">
        <f>IF(Source!BI138=2,H560, 0)</f>
        <v>0</v>
      </c>
      <c r="X560">
        <f>IF(Source!BI138=3,H560, 0)</f>
        <v>0</v>
      </c>
      <c r="Y560">
        <f>IF(Source!BI138=4,H560, 0)</f>
        <v>0</v>
      </c>
    </row>
    <row r="561" spans="1:25" ht="42.75" x14ac:dyDescent="0.2">
      <c r="A561" s="20"/>
      <c r="B561" s="43" t="str">
        <f>Source!F139</f>
        <v>09.4.01.01-3011</v>
      </c>
      <c r="C561" s="43" t="str">
        <f>Source!G139</f>
        <v>Блоки дверные из алюминиевых анодированных сплавов ("холодных" профилей) входные</v>
      </c>
      <c r="D561" s="32" t="str">
        <f>Source!H139</f>
        <v>м2</v>
      </c>
      <c r="E561" s="10">
        <f>Source!I139</f>
        <v>4.4000000000000004</v>
      </c>
      <c r="F561" s="33">
        <f>Source!AL139+Source!AM139+Source!AO139</f>
        <v>2375.7399999999998</v>
      </c>
      <c r="G561" s="42" t="s">
        <v>1385</v>
      </c>
      <c r="H561" s="33">
        <f>ROUND(Source!AC139*Source!I139, 2)+ROUND(Source!AD139*Source!I139, 2)+ROUND(Source!AF139*Source!I139, 2)</f>
        <v>10453.26</v>
      </c>
      <c r="I561" s="34"/>
      <c r="J561" s="34">
        <f>IF(Source!BC139&lt;&gt; 0, Source!BC139, 1)</f>
        <v>3.4</v>
      </c>
      <c r="K561" s="33">
        <f>Source!O139</f>
        <v>35541.07</v>
      </c>
      <c r="R561">
        <f>ROUND((Source!FX139/100)*((ROUND(Source!AF139*Source!I139, 2)+ROUND(Source!AE139*Source!I139, 2))), 2)</f>
        <v>0</v>
      </c>
      <c r="S561">
        <f>Source!X139</f>
        <v>0</v>
      </c>
      <c r="T561">
        <f>ROUND((Source!FY139/100)*((ROUND(Source!AF139*Source!I139, 2)+ROUND(Source!AE139*Source!I139, 2))), 2)</f>
        <v>0</v>
      </c>
      <c r="U561">
        <f>Source!Y139</f>
        <v>0</v>
      </c>
      <c r="V561">
        <f>IF(Source!BI139&lt;=1,H561, 0)</f>
        <v>10453.26</v>
      </c>
      <c r="W561">
        <f>IF(Source!BI139=2,H561, 0)</f>
        <v>0</v>
      </c>
      <c r="X561">
        <f>IF(Source!BI139=3,H561, 0)</f>
        <v>0</v>
      </c>
      <c r="Y561">
        <f>IF(Source!BI139=4,H561, 0)</f>
        <v>0</v>
      </c>
    </row>
    <row r="562" spans="1:25" ht="14.25" x14ac:dyDescent="0.2">
      <c r="A562" s="20"/>
      <c r="B562" s="43" t="str">
        <f>Source!F140</f>
        <v>01.7.04.04-3020</v>
      </c>
      <c r="C562" s="43" t="str">
        <f>Source!G140</f>
        <v>Замки врезные цилиндровые</v>
      </c>
      <c r="D562" s="32" t="str">
        <f>Source!H140</f>
        <v>ШТ</v>
      </c>
      <c r="E562" s="10">
        <f>Source!I140</f>
        <v>1</v>
      </c>
      <c r="F562" s="33">
        <f>Source!AL140+Source!AM140+Source!AO140</f>
        <v>206.66</v>
      </c>
      <c r="G562" s="42" t="s">
        <v>1385</v>
      </c>
      <c r="H562" s="33">
        <f>ROUND(Source!AC140*Source!I140, 2)+ROUND(Source!AD140*Source!I140, 2)+ROUND(Source!AF140*Source!I140, 2)</f>
        <v>206.66</v>
      </c>
      <c r="I562" s="34"/>
      <c r="J562" s="34">
        <f>IF(Source!BC140&lt;&gt; 0, Source!BC140, 1)</f>
        <v>3.61</v>
      </c>
      <c r="K562" s="33">
        <f>Source!O140</f>
        <v>746.04</v>
      </c>
      <c r="R562">
        <f>ROUND((Source!FX140/100)*((ROUND(Source!AF140*Source!I140, 2)+ROUND(Source!AE140*Source!I140, 2))), 2)</f>
        <v>0</v>
      </c>
      <c r="S562">
        <f>Source!X140</f>
        <v>0</v>
      </c>
      <c r="T562">
        <f>ROUND((Source!FY140/100)*((ROUND(Source!AF140*Source!I140, 2)+ROUND(Source!AE140*Source!I140, 2))), 2)</f>
        <v>0</v>
      </c>
      <c r="U562">
        <f>Source!Y140</f>
        <v>0</v>
      </c>
      <c r="V562">
        <f>IF(Source!BI140&lt;=1,H562, 0)</f>
        <v>206.66</v>
      </c>
      <c r="W562">
        <f>IF(Source!BI140=2,H562, 0)</f>
        <v>0</v>
      </c>
      <c r="X562">
        <f>IF(Source!BI140=3,H562, 0)</f>
        <v>0</v>
      </c>
      <c r="Y562">
        <f>IF(Source!BI140=4,H562, 0)</f>
        <v>0</v>
      </c>
    </row>
    <row r="563" spans="1:25" ht="14.25" x14ac:dyDescent="0.2">
      <c r="A563" s="44"/>
      <c r="B563" s="45" t="str">
        <f>Source!F141</f>
        <v>01.7.04.09-3074</v>
      </c>
      <c r="C563" s="45" t="str">
        <f>Source!G141</f>
        <v>Петли усиленные</v>
      </c>
      <c r="D563" s="37" t="str">
        <f>Source!H141</f>
        <v>ШТ</v>
      </c>
      <c r="E563" s="38">
        <f>Source!I141</f>
        <v>6</v>
      </c>
      <c r="F563" s="39">
        <f>Source!AL141+Source!AM141+Source!AO141</f>
        <v>90.24</v>
      </c>
      <c r="G563" s="41" t="s">
        <v>1385</v>
      </c>
      <c r="H563" s="39">
        <f>ROUND(Source!AC141*Source!I141, 2)+ROUND(Source!AD141*Source!I141, 2)+ROUND(Source!AF141*Source!I141, 2)</f>
        <v>541.44000000000005</v>
      </c>
      <c r="I563" s="40"/>
      <c r="J563" s="40">
        <f>IF(Source!BC141&lt;&gt; 0, Source!BC141, 1)</f>
        <v>3.83</v>
      </c>
      <c r="K563" s="39">
        <f>Source!O141</f>
        <v>2073.7199999999998</v>
      </c>
      <c r="R563">
        <f>ROUND((Source!FX141/100)*((ROUND(Source!AF141*Source!I141, 2)+ROUND(Source!AE141*Source!I141, 2))), 2)</f>
        <v>0</v>
      </c>
      <c r="S563">
        <f>Source!X141</f>
        <v>0</v>
      </c>
      <c r="T563">
        <f>ROUND((Source!FY141/100)*((ROUND(Source!AF141*Source!I141, 2)+ROUND(Source!AE141*Source!I141, 2))), 2)</f>
        <v>0</v>
      </c>
      <c r="U563">
        <f>Source!Y141</f>
        <v>0</v>
      </c>
      <c r="V563">
        <f>IF(Source!BI141&lt;=1,H563, 0)</f>
        <v>541.44000000000005</v>
      </c>
      <c r="W563">
        <f>IF(Source!BI141=2,H563, 0)</f>
        <v>0</v>
      </c>
      <c r="X563">
        <f>IF(Source!BI141=3,H563, 0)</f>
        <v>0</v>
      </c>
      <c r="Y563">
        <f>IF(Source!BI141=4,H563, 0)</f>
        <v>0</v>
      </c>
    </row>
    <row r="564" spans="1:25" ht="15" x14ac:dyDescent="0.25">
      <c r="G564" s="76">
        <f>H553+H554+H556+H557+H558+SUM(H560:H563)</f>
        <v>12683.07</v>
      </c>
      <c r="H564" s="76"/>
      <c r="J564" s="76">
        <f>K553+K554+K556+K557+K558+SUM(K560:K563)</f>
        <v>65718.2</v>
      </c>
      <c r="K564" s="76"/>
      <c r="N564" s="28">
        <f>G564</f>
        <v>12683.07</v>
      </c>
      <c r="O564" s="28">
        <f>J564</f>
        <v>65718.2</v>
      </c>
      <c r="P564" s="28" t="e">
        <f>#REF!</f>
        <v>#REF!</v>
      </c>
      <c r="V564">
        <f>IF(Source!BI137&lt;=1,H553+H554+H556+H557+H558, 0)</f>
        <v>644.16999999999996</v>
      </c>
      <c r="W564">
        <f>IF(Source!BI137=2,H553+H554+H556+H557+H558, 0)</f>
        <v>0</v>
      </c>
      <c r="X564">
        <f>IF(Source!BI137=3,H553+H554+H556+H557+H558, 0)</f>
        <v>0</v>
      </c>
      <c r="Y564">
        <f>IF(Source!BI137=4,H553+H554+H556+H557+H558, 0)</f>
        <v>0</v>
      </c>
    </row>
    <row r="565" spans="1:25" ht="103.5" x14ac:dyDescent="0.2">
      <c r="A565" s="20" t="str">
        <f>Source!E142</f>
        <v>53</v>
      </c>
      <c r="B565" s="43" t="s">
        <v>1430</v>
      </c>
      <c r="C565" s="43" t="str">
        <f>Source!G142</f>
        <v>Оклейка остекления дверей защитной пленкой класса защиты А2</v>
      </c>
      <c r="D565" s="32" t="str">
        <f>Source!H142</f>
        <v>100 м2</v>
      </c>
      <c r="E565" s="10">
        <f>Source!I142</f>
        <v>6.6000000000000003E-2</v>
      </c>
      <c r="F565" s="33">
        <f>Source!AL142+Source!AM142+Source!AO142</f>
        <v>3527.4</v>
      </c>
      <c r="G565" s="34"/>
      <c r="H565" s="33"/>
      <c r="I565" s="34" t="str">
        <f>Source!BO142</f>
        <v>15-06-003-03</v>
      </c>
      <c r="J565" s="34"/>
      <c r="K565" s="33"/>
      <c r="R565">
        <f>ROUND((Source!FX142/100)*((ROUND(Source!AF142*Source!I142, 2)+ROUND(Source!AE142*Source!I142, 2))), 2)</f>
        <v>61.5</v>
      </c>
      <c r="S565">
        <f>Source!X142</f>
        <v>2080.5100000000002</v>
      </c>
      <c r="T565">
        <f>ROUND((Source!FY142/100)*((ROUND(Source!AF142*Source!I142, 2)+ROUND(Source!AE142*Source!I142, 2))), 2)</f>
        <v>30.42</v>
      </c>
      <c r="U565">
        <f>Source!Y142</f>
        <v>1029.3</v>
      </c>
    </row>
    <row r="566" spans="1:25" x14ac:dyDescent="0.2">
      <c r="C566" s="27" t="str">
        <f>"Объем: "&amp;Source!I142&amp;"=6,6/"&amp;"100"</f>
        <v>Объем: 0,066=6,6/100</v>
      </c>
    </row>
    <row r="567" spans="1:25" ht="14.25" x14ac:dyDescent="0.2">
      <c r="A567" s="20"/>
      <c r="B567" s="43"/>
      <c r="C567" s="43" t="s">
        <v>1372</v>
      </c>
      <c r="D567" s="32"/>
      <c r="E567" s="10"/>
      <c r="F567" s="33">
        <f>Source!AO142</f>
        <v>634.88</v>
      </c>
      <c r="G567" s="34" t="str">
        <f>Source!DG142</f>
        <v>)*1,15)*1,35</v>
      </c>
      <c r="H567" s="33">
        <f>ROUND(Source!AF142*Source!I142, 2)</f>
        <v>65.05</v>
      </c>
      <c r="I567" s="34"/>
      <c r="J567" s="34">
        <f>IF(Source!BA142&lt;&gt; 0, Source!BA142, 1)</f>
        <v>33.65</v>
      </c>
      <c r="K567" s="33">
        <f>Source!S142</f>
        <v>2189.0300000000002</v>
      </c>
      <c r="Q567">
        <f>H567</f>
        <v>65.05</v>
      </c>
    </row>
    <row r="568" spans="1:25" ht="14.25" x14ac:dyDescent="0.2">
      <c r="A568" s="20"/>
      <c r="B568" s="43"/>
      <c r="C568" s="43" t="s">
        <v>646</v>
      </c>
      <c r="D568" s="32"/>
      <c r="E568" s="10"/>
      <c r="F568" s="33">
        <f>Source!AM142</f>
        <v>0.97</v>
      </c>
      <c r="G568" s="34" t="str">
        <f>Source!DE142</f>
        <v>)*1,25)*1,35</v>
      </c>
      <c r="H568" s="33">
        <f>ROUND(Source!AD142*Source!I142, 2)</f>
        <v>0.11</v>
      </c>
      <c r="I568" s="34"/>
      <c r="J568" s="34">
        <f>IF(Source!BB142&lt;&gt; 0, Source!BB142, 1)</f>
        <v>12.8</v>
      </c>
      <c r="K568" s="33">
        <f>Source!Q142</f>
        <v>1.39</v>
      </c>
    </row>
    <row r="569" spans="1:25" ht="14.25" x14ac:dyDescent="0.2">
      <c r="A569" s="20"/>
      <c r="B569" s="43"/>
      <c r="C569" s="43" t="s">
        <v>1373</v>
      </c>
      <c r="D569" s="32"/>
      <c r="E569" s="10"/>
      <c r="F569" s="33">
        <f>Source!AN142</f>
        <v>0.26</v>
      </c>
      <c r="G569" s="34" t="str">
        <f>Source!DF142</f>
        <v>)*1,25)*1,35</v>
      </c>
      <c r="H569" s="35">
        <f>ROUND(Source!AE142*Source!I142, 2)</f>
        <v>0.03</v>
      </c>
      <c r="I569" s="34"/>
      <c r="J569" s="34">
        <f>IF(Source!BS142&lt;&gt; 0, Source!BS142, 1)</f>
        <v>33.65</v>
      </c>
      <c r="K569" s="35">
        <f>Source!R142</f>
        <v>0.98</v>
      </c>
      <c r="Q569">
        <f>H569</f>
        <v>0.03</v>
      </c>
    </row>
    <row r="570" spans="1:25" ht="14.25" x14ac:dyDescent="0.2">
      <c r="A570" s="20"/>
      <c r="B570" s="43"/>
      <c r="C570" s="43" t="s">
        <v>1374</v>
      </c>
      <c r="D570" s="32" t="s">
        <v>1375</v>
      </c>
      <c r="E570" s="10">
        <f>Source!BZ142</f>
        <v>105</v>
      </c>
      <c r="F570" s="64" t="str">
        <f>CONCATENATE(" )", Source!DL142, Source!FT142, "=", Source!FX142)</f>
        <v xml:space="preserve"> )*0,9=94,5</v>
      </c>
      <c r="G570" s="75"/>
      <c r="H570" s="33">
        <f>SUM(R565:R573)</f>
        <v>61.5</v>
      </c>
      <c r="I570" s="36"/>
      <c r="J570" s="31">
        <f>Source!AT142</f>
        <v>95</v>
      </c>
      <c r="K570" s="33">
        <f>SUM(S565:S573)</f>
        <v>2080.5100000000002</v>
      </c>
    </row>
    <row r="571" spans="1:25" ht="14.25" x14ac:dyDescent="0.2">
      <c r="A571" s="20"/>
      <c r="B571" s="43"/>
      <c r="C571" s="43" t="s">
        <v>1376</v>
      </c>
      <c r="D571" s="32" t="s">
        <v>1375</v>
      </c>
      <c r="E571" s="10">
        <f>Source!CA142</f>
        <v>55</v>
      </c>
      <c r="F571" s="64" t="str">
        <f>CONCATENATE(" )", Source!DM142, Source!FU142, "=", Source!FY142)</f>
        <v xml:space="preserve"> )*0,85=46,75</v>
      </c>
      <c r="G571" s="75"/>
      <c r="H571" s="33">
        <f>SUM(T565:T573)</f>
        <v>30.42</v>
      </c>
      <c r="I571" s="36"/>
      <c r="J571" s="31">
        <f>Source!AU142</f>
        <v>47</v>
      </c>
      <c r="K571" s="33">
        <f>SUM(U565:U573)</f>
        <v>1029.3</v>
      </c>
    </row>
    <row r="572" spans="1:25" ht="14.25" x14ac:dyDescent="0.2">
      <c r="A572" s="20"/>
      <c r="B572" s="43"/>
      <c r="C572" s="43" t="s">
        <v>1377</v>
      </c>
      <c r="D572" s="32" t="s">
        <v>1378</v>
      </c>
      <c r="E572" s="10">
        <f>Source!AQ142</f>
        <v>64</v>
      </c>
      <c r="F572" s="33"/>
      <c r="G572" s="34" t="str">
        <f>Source!DI142</f>
        <v>)*1,15)*1,35</v>
      </c>
      <c r="H572" s="33"/>
      <c r="I572" s="34"/>
      <c r="J572" s="34"/>
      <c r="K572" s="33"/>
    </row>
    <row r="573" spans="1:25" ht="16.5" customHeight="1" x14ac:dyDescent="0.2">
      <c r="A573" s="44"/>
      <c r="B573" s="45" t="s">
        <v>1464</v>
      </c>
      <c r="C573" s="45" t="str">
        <f>Source!G143</f>
        <v>Пленка защитная класса А2</v>
      </c>
      <c r="D573" s="37" t="str">
        <f>Source!H143</f>
        <v>м2</v>
      </c>
      <c r="E573" s="38">
        <f>Source!I143</f>
        <v>6.6</v>
      </c>
      <c r="F573" s="39">
        <f>Source!AL143+Source!AM143+Source!AO143</f>
        <v>756</v>
      </c>
      <c r="G573" s="41" t="s">
        <v>1385</v>
      </c>
      <c r="H573" s="39">
        <f>ROUND(Source!AC143*Source!I143, 2)+ROUND(Source!AD143*Source!I143, 2)+ROUND(Source!AF143*Source!I143, 2)</f>
        <v>4989.6000000000004</v>
      </c>
      <c r="I573" s="40"/>
      <c r="J573" s="40">
        <f>IF(Source!BC143&lt;&gt; 0, Source!BC143, 1)</f>
        <v>2.12</v>
      </c>
      <c r="K573" s="39">
        <f>Source!O143</f>
        <v>10577.95</v>
      </c>
      <c r="R573">
        <f>ROUND((Source!FX143/100)*((ROUND(Source!AF143*Source!I143, 2)+ROUND(Source!AE143*Source!I143, 2))), 2)</f>
        <v>0</v>
      </c>
      <c r="S573">
        <f>Source!X143</f>
        <v>0</v>
      </c>
      <c r="T573">
        <f>ROUND((Source!FY143/100)*((ROUND(Source!AF143*Source!I143, 2)+ROUND(Source!AE143*Source!I143, 2))), 2)</f>
        <v>0</v>
      </c>
      <c r="U573">
        <f>Source!Y143</f>
        <v>0</v>
      </c>
      <c r="V573">
        <f>IF(Source!BI143&lt;=1,H573, 0)</f>
        <v>4989.6000000000004</v>
      </c>
      <c r="W573">
        <f>IF(Source!BI143=2,H573, 0)</f>
        <v>0</v>
      </c>
      <c r="X573">
        <f>IF(Source!BI143=3,H573, 0)</f>
        <v>0</v>
      </c>
      <c r="Y573">
        <f>IF(Source!BI143=4,H573, 0)</f>
        <v>0</v>
      </c>
    </row>
    <row r="574" spans="1:25" ht="15" x14ac:dyDescent="0.25">
      <c r="G574" s="76">
        <f>H567+H568+H570+H571+SUM(H573:H573)</f>
        <v>5146.68</v>
      </c>
      <c r="H574" s="76"/>
      <c r="J574" s="76">
        <f>K567+K568+K570+K571+SUM(K573:K573)</f>
        <v>15878.18</v>
      </c>
      <c r="K574" s="76"/>
      <c r="N574" s="28">
        <f>G574</f>
        <v>5146.68</v>
      </c>
      <c r="O574" s="28">
        <f>J574</f>
        <v>15878.18</v>
      </c>
      <c r="P574" s="28" t="e">
        <f>#REF!</f>
        <v>#REF!</v>
      </c>
      <c r="V574">
        <f>IF(Source!BI142&lt;=1,H567+H568+H570+H571, 0)</f>
        <v>157.07999999999998</v>
      </c>
      <c r="W574">
        <f>IF(Source!BI142=2,H567+H568+H570+H571, 0)</f>
        <v>0</v>
      </c>
      <c r="X574">
        <f>IF(Source!BI142=3,H567+H568+H570+H571, 0)</f>
        <v>0</v>
      </c>
      <c r="Y574">
        <f>IF(Source!BI142=4,H567+H568+H570+H571, 0)</f>
        <v>0</v>
      </c>
    </row>
    <row r="575" spans="1:25" ht="65.25" x14ac:dyDescent="0.2">
      <c r="A575" s="20" t="str">
        <f>Source!E144</f>
        <v>54</v>
      </c>
      <c r="B575" s="43" t="s">
        <v>1431</v>
      </c>
      <c r="C575" s="43" t="str">
        <f>Source!G144</f>
        <v>Светильник: местного освещения/Монтаж</v>
      </c>
      <c r="D575" s="32" t="str">
        <f>Source!H144</f>
        <v>100 ШТ</v>
      </c>
      <c r="E575" s="10">
        <f>Source!I144</f>
        <v>0.02</v>
      </c>
      <c r="F575" s="33">
        <f>Source!AL144+Source!AM144+Source!AO144</f>
        <v>1106.93</v>
      </c>
      <c r="G575" s="34"/>
      <c r="H575" s="33"/>
      <c r="I575" s="34" t="str">
        <f>Source!BO144</f>
        <v>м08-03-593-09</v>
      </c>
      <c r="J575" s="34"/>
      <c r="K575" s="33"/>
      <c r="R575">
        <f>ROUND((Source!FX144/100)*((ROUND(Source!AF144*Source!I144, 2)+ROUND(Source!AE144*Source!I144, 2))), 2)</f>
        <v>17.43</v>
      </c>
      <c r="S575">
        <f>Source!X144</f>
        <v>586.44000000000005</v>
      </c>
      <c r="T575">
        <f>ROUND((Source!FY144/100)*((ROUND(Source!AF144*Source!I144, 2)+ROUND(Source!AE144*Source!I144, 2))), 2)</f>
        <v>11.93</v>
      </c>
      <c r="U575">
        <f>Source!Y144</f>
        <v>401.25</v>
      </c>
    </row>
    <row r="576" spans="1:25" x14ac:dyDescent="0.2">
      <c r="C576" s="27" t="str">
        <f>"Объем: "&amp;Source!I144&amp;"=2/"&amp;"100"</f>
        <v>Объем: 0,02=2/100</v>
      </c>
    </row>
    <row r="577" spans="1:25" ht="14.25" x14ac:dyDescent="0.2">
      <c r="A577" s="20"/>
      <c r="B577" s="43"/>
      <c r="C577" s="43" t="s">
        <v>1372</v>
      </c>
      <c r="D577" s="32"/>
      <c r="E577" s="10"/>
      <c r="F577" s="33">
        <f>Source!AO144</f>
        <v>676.94</v>
      </c>
      <c r="G577" s="34" t="str">
        <f>Source!DG144</f>
        <v>)*1,35</v>
      </c>
      <c r="H577" s="33">
        <f>ROUND(Source!AF144*Source!I144, 2)</f>
        <v>18.28</v>
      </c>
      <c r="I577" s="34"/>
      <c r="J577" s="34">
        <f>IF(Source!BA144&lt;&gt; 0, Source!BA144, 1)</f>
        <v>33.65</v>
      </c>
      <c r="K577" s="33">
        <f>Source!S144</f>
        <v>615.03</v>
      </c>
      <c r="Q577">
        <f>H577</f>
        <v>18.28</v>
      </c>
    </row>
    <row r="578" spans="1:25" ht="14.25" x14ac:dyDescent="0.2">
      <c r="A578" s="20"/>
      <c r="B578" s="43"/>
      <c r="C578" s="43" t="s">
        <v>646</v>
      </c>
      <c r="D578" s="32"/>
      <c r="E578" s="10"/>
      <c r="F578" s="33">
        <f>Source!AM144</f>
        <v>18.11</v>
      </c>
      <c r="G578" s="34" t="str">
        <f>Source!DE144</f>
        <v>)*1,35</v>
      </c>
      <c r="H578" s="33">
        <f>ROUND(Source!AD144*Source!I144, 2)</f>
        <v>0.49</v>
      </c>
      <c r="I578" s="34"/>
      <c r="J578" s="34">
        <f>IF(Source!BB144&lt;&gt; 0, Source!BB144, 1)</f>
        <v>10.220000000000001</v>
      </c>
      <c r="K578" s="33">
        <f>Source!Q144</f>
        <v>5</v>
      </c>
    </row>
    <row r="579" spans="1:25" ht="14.25" x14ac:dyDescent="0.2">
      <c r="A579" s="20"/>
      <c r="B579" s="43"/>
      <c r="C579" s="43" t="s">
        <v>1373</v>
      </c>
      <c r="D579" s="32"/>
      <c r="E579" s="10"/>
      <c r="F579" s="33">
        <f>Source!AN144</f>
        <v>2.5099999999999998</v>
      </c>
      <c r="G579" s="34" t="str">
        <f>Source!DF144</f>
        <v>)*1,35</v>
      </c>
      <c r="H579" s="35">
        <f>ROUND(Source!AE144*Source!I144, 2)</f>
        <v>7.0000000000000007E-2</v>
      </c>
      <c r="I579" s="34"/>
      <c r="J579" s="34">
        <f>IF(Source!BS144&lt;&gt; 0, Source!BS144, 1)</f>
        <v>33.65</v>
      </c>
      <c r="K579" s="35">
        <f>Source!R144</f>
        <v>2.2799999999999998</v>
      </c>
      <c r="Q579">
        <f>H579</f>
        <v>7.0000000000000007E-2</v>
      </c>
    </row>
    <row r="580" spans="1:25" ht="14.25" x14ac:dyDescent="0.2">
      <c r="A580" s="20"/>
      <c r="B580" s="43"/>
      <c r="C580" s="43" t="s">
        <v>1400</v>
      </c>
      <c r="D580" s="32"/>
      <c r="E580" s="10"/>
      <c r="F580" s="33">
        <f>Source!AL144</f>
        <v>411.88</v>
      </c>
      <c r="G580" s="34" t="str">
        <f>Source!DD144</f>
        <v/>
      </c>
      <c r="H580" s="33">
        <f>ROUND(Source!AC144*Source!I144, 2)</f>
        <v>8.24</v>
      </c>
      <c r="I580" s="34"/>
      <c r="J580" s="34">
        <f>IF(Source!BC144&lt;&gt; 0, Source!BC144, 1)</f>
        <v>6.27</v>
      </c>
      <c r="K580" s="33">
        <f>Source!P144</f>
        <v>51.65</v>
      </c>
    </row>
    <row r="581" spans="1:25" ht="14.25" x14ac:dyDescent="0.2">
      <c r="A581" s="20"/>
      <c r="B581" s="43"/>
      <c r="C581" s="43" t="s">
        <v>1374</v>
      </c>
      <c r="D581" s="32" t="s">
        <v>1375</v>
      </c>
      <c r="E581" s="10">
        <f>Source!BZ144</f>
        <v>95</v>
      </c>
      <c r="F581" s="46"/>
      <c r="G581" s="34"/>
      <c r="H581" s="33">
        <f>SUM(R575:R584)</f>
        <v>17.43</v>
      </c>
      <c r="I581" s="36"/>
      <c r="J581" s="31">
        <f>Source!AT144</f>
        <v>95</v>
      </c>
      <c r="K581" s="33">
        <f>SUM(S575:S584)</f>
        <v>586.44000000000005</v>
      </c>
    </row>
    <row r="582" spans="1:25" ht="14.25" x14ac:dyDescent="0.2">
      <c r="A582" s="20"/>
      <c r="B582" s="43"/>
      <c r="C582" s="43" t="s">
        <v>1376</v>
      </c>
      <c r="D582" s="32" t="s">
        <v>1375</v>
      </c>
      <c r="E582" s="10">
        <f>Source!CA144</f>
        <v>65</v>
      </c>
      <c r="F582" s="46"/>
      <c r="G582" s="34"/>
      <c r="H582" s="33">
        <f>SUM(T575:T584)</f>
        <v>11.93</v>
      </c>
      <c r="I582" s="36"/>
      <c r="J582" s="31">
        <f>Source!AU144</f>
        <v>65</v>
      </c>
      <c r="K582" s="33">
        <f>SUM(U575:U584)</f>
        <v>401.25</v>
      </c>
    </row>
    <row r="583" spans="1:25" ht="14.25" x14ac:dyDescent="0.2">
      <c r="A583" s="20"/>
      <c r="B583" s="43"/>
      <c r="C583" s="43" t="s">
        <v>1377</v>
      </c>
      <c r="D583" s="32" t="s">
        <v>1378</v>
      </c>
      <c r="E583" s="10">
        <f>Source!AQ144</f>
        <v>68.239999999999995</v>
      </c>
      <c r="F583" s="33"/>
      <c r="G583" s="34" t="str">
        <f>Source!DI144</f>
        <v>)*1,35</v>
      </c>
      <c r="H583" s="33"/>
      <c r="I583" s="34"/>
      <c r="J583" s="34"/>
      <c r="K583" s="33"/>
    </row>
    <row r="584" spans="1:25" ht="142.5" x14ac:dyDescent="0.2">
      <c r="A584" s="44"/>
      <c r="B584" s="45" t="str">
        <f>Source!F145</f>
        <v>20.3.03.04-3040</v>
      </c>
      <c r="C584" s="45" t="str">
        <f>Source!G145</f>
        <v>Светодиодный настенно-потолочный уличный светильник. Высота 42мм; Длина - 638мм; Ширина -73мм; Монтаж: накладной( 220В). Форма плафона: прямоугольный; Тип лампы- встроенные светодиоды 88шт; мощность лампы -  18 Вт; Световой поток: не менее 1200Лм; цветность - холодный белый. Класс защиты IP по ГОСТ 14254-96: не менее IP65.</v>
      </c>
      <c r="D584" s="37" t="str">
        <f>Source!H145</f>
        <v>ШТ</v>
      </c>
      <c r="E584" s="38">
        <f>Source!I145</f>
        <v>2</v>
      </c>
      <c r="F584" s="39">
        <f>Source!AL145+Source!AM145+Source!AO145</f>
        <v>219.64</v>
      </c>
      <c r="G584" s="41" t="s">
        <v>1385</v>
      </c>
      <c r="H584" s="39">
        <f>ROUND(Source!AC145*Source!I145, 2)+ROUND(Source!AD145*Source!I145, 2)+ROUND(Source!AF145*Source!I145, 2)</f>
        <v>439.28</v>
      </c>
      <c r="I584" s="40"/>
      <c r="J584" s="40">
        <f>IF(Source!BC145&lt;&gt; 0, Source!BC145, 1)</f>
        <v>4.32</v>
      </c>
      <c r="K584" s="39">
        <f>Source!O145</f>
        <v>1897.69</v>
      </c>
      <c r="R584">
        <f>ROUND((Source!FX145/100)*((ROUND(Source!AF145*Source!I145, 2)+ROUND(Source!AE145*Source!I145, 2))), 2)</f>
        <v>0</v>
      </c>
      <c r="S584">
        <f>Source!X145</f>
        <v>0</v>
      </c>
      <c r="T584">
        <f>ROUND((Source!FY145/100)*((ROUND(Source!AF145*Source!I145, 2)+ROUND(Source!AE145*Source!I145, 2))), 2)</f>
        <v>0</v>
      </c>
      <c r="U584">
        <f>Source!Y145</f>
        <v>0</v>
      </c>
      <c r="V584">
        <f>IF(Source!BI145&lt;=1,H584, 0)</f>
        <v>0</v>
      </c>
      <c r="W584">
        <f>IF(Source!BI145=2,H584, 0)</f>
        <v>439.28</v>
      </c>
      <c r="X584">
        <f>IF(Source!BI145=3,H584, 0)</f>
        <v>0</v>
      </c>
      <c r="Y584">
        <f>IF(Source!BI145=4,H584, 0)</f>
        <v>0</v>
      </c>
    </row>
    <row r="585" spans="1:25" ht="15" x14ac:dyDescent="0.25">
      <c r="G585" s="76">
        <f>H577+H578+H580+H581+H582+SUM(H584:H584)</f>
        <v>495.65</v>
      </c>
      <c r="H585" s="76"/>
      <c r="J585" s="76">
        <f>K577+K578+K580+K581+K582+SUM(K584:K584)</f>
        <v>3557.06</v>
      </c>
      <c r="K585" s="76"/>
      <c r="N585" s="28">
        <f>G585</f>
        <v>495.65</v>
      </c>
      <c r="O585" s="28">
        <f>J585</f>
        <v>3557.06</v>
      </c>
      <c r="P585" s="28" t="e">
        <f>#REF!</f>
        <v>#REF!</v>
      </c>
      <c r="V585">
        <f>IF(Source!BI144&lt;=1,H577+H578+H580+H581+H582, 0)</f>
        <v>0</v>
      </c>
      <c r="W585">
        <f>IF(Source!BI144=2,H577+H578+H580+H581+H582, 0)</f>
        <v>56.37</v>
      </c>
      <c r="X585">
        <f>IF(Source!BI144=3,H577+H578+H580+H581+H582, 0)</f>
        <v>0</v>
      </c>
      <c r="Y585">
        <f>IF(Source!BI144=4,H577+H578+H580+H581+H582, 0)</f>
        <v>0</v>
      </c>
    </row>
    <row r="586" spans="1:25" ht="65.25" x14ac:dyDescent="0.2">
      <c r="A586" s="20" t="str">
        <f>Source!E146</f>
        <v>55</v>
      </c>
      <c r="B586" s="43" t="s">
        <v>1432</v>
      </c>
      <c r="C586" s="43" t="str">
        <f>Source!G146</f>
        <v>Монтаж табличек "Выход" ранее сохранённых</v>
      </c>
      <c r="D586" s="32" t="str">
        <f>Source!H146</f>
        <v>100 ШТ</v>
      </c>
      <c r="E586" s="10">
        <f>Source!I146</f>
        <v>0.01</v>
      </c>
      <c r="F586" s="33">
        <f>Source!AL146+Source!AM146+Source!AO146</f>
        <v>1335.94</v>
      </c>
      <c r="G586" s="34"/>
      <c r="H586" s="33"/>
      <c r="I586" s="34" t="str">
        <f>Source!BO146</f>
        <v>м08-03-593-10</v>
      </c>
      <c r="J586" s="34"/>
      <c r="K586" s="33"/>
      <c r="R586">
        <f>ROUND((Source!FX146/100)*((ROUND(Source!AF146*Source!I146, 2)+ROUND(Source!AE146*Source!I146, 2))), 2)</f>
        <v>10.06</v>
      </c>
      <c r="S586">
        <f>Source!X146</f>
        <v>338.49</v>
      </c>
      <c r="T586">
        <f>ROUND((Source!FY146/100)*((ROUND(Source!AF146*Source!I146, 2)+ROUND(Source!AE146*Source!I146, 2))), 2)</f>
        <v>6.88</v>
      </c>
      <c r="U586">
        <f>Source!Y146</f>
        <v>231.6</v>
      </c>
    </row>
    <row r="587" spans="1:25" x14ac:dyDescent="0.2">
      <c r="C587" s="27" t="str">
        <f>"Объем: "&amp;Source!I146&amp;"=1/"&amp;"100"</f>
        <v>Объем: 0,01=1/100</v>
      </c>
    </row>
    <row r="588" spans="1:25" ht="14.25" x14ac:dyDescent="0.2">
      <c r="A588" s="20"/>
      <c r="B588" s="43"/>
      <c r="C588" s="43" t="s">
        <v>1372</v>
      </c>
      <c r="D588" s="32"/>
      <c r="E588" s="10"/>
      <c r="F588" s="33">
        <f>Source!AO146</f>
        <v>779.32</v>
      </c>
      <c r="G588" s="34" t="str">
        <f>Source!DG146</f>
        <v>)*1,35</v>
      </c>
      <c r="H588" s="33">
        <f>ROUND(Source!AF146*Source!I146, 2)</f>
        <v>10.52</v>
      </c>
      <c r="I588" s="34"/>
      <c r="J588" s="34">
        <f>IF(Source!BA146&lt;&gt; 0, Source!BA146, 1)</f>
        <v>33.65</v>
      </c>
      <c r="K588" s="33">
        <f>Source!S146</f>
        <v>354.02</v>
      </c>
      <c r="Q588">
        <f>H588</f>
        <v>10.52</v>
      </c>
    </row>
    <row r="589" spans="1:25" ht="14.25" x14ac:dyDescent="0.2">
      <c r="A589" s="20"/>
      <c r="B589" s="43"/>
      <c r="C589" s="43" t="s">
        <v>646</v>
      </c>
      <c r="D589" s="32"/>
      <c r="E589" s="10"/>
      <c r="F589" s="33">
        <f>Source!AM146</f>
        <v>36.22</v>
      </c>
      <c r="G589" s="34" t="str">
        <f>Source!DE146</f>
        <v>)*1,35</v>
      </c>
      <c r="H589" s="33">
        <f>ROUND(Source!AD146*Source!I146, 2)</f>
        <v>0.49</v>
      </c>
      <c r="I589" s="34"/>
      <c r="J589" s="34">
        <f>IF(Source!BB146&lt;&gt; 0, Source!BB146, 1)</f>
        <v>10.220000000000001</v>
      </c>
      <c r="K589" s="33">
        <f>Source!Q146</f>
        <v>5</v>
      </c>
    </row>
    <row r="590" spans="1:25" ht="14.25" x14ac:dyDescent="0.2">
      <c r="A590" s="20"/>
      <c r="B590" s="43"/>
      <c r="C590" s="43" t="s">
        <v>1373</v>
      </c>
      <c r="D590" s="32"/>
      <c r="E590" s="10"/>
      <c r="F590" s="33">
        <f>Source!AN146</f>
        <v>5.0199999999999996</v>
      </c>
      <c r="G590" s="34" t="str">
        <f>Source!DF146</f>
        <v>)*1,35</v>
      </c>
      <c r="H590" s="35">
        <f>ROUND(Source!AE146*Source!I146, 2)</f>
        <v>7.0000000000000007E-2</v>
      </c>
      <c r="I590" s="34"/>
      <c r="J590" s="34">
        <f>IF(Source!BS146&lt;&gt; 0, Source!BS146, 1)</f>
        <v>33.65</v>
      </c>
      <c r="K590" s="35">
        <f>Source!R146</f>
        <v>2.2799999999999998</v>
      </c>
      <c r="Q590">
        <f>H590</f>
        <v>7.0000000000000007E-2</v>
      </c>
    </row>
    <row r="591" spans="1:25" ht="14.25" x14ac:dyDescent="0.2">
      <c r="A591" s="20"/>
      <c r="B591" s="43"/>
      <c r="C591" s="43" t="s">
        <v>1400</v>
      </c>
      <c r="D591" s="32"/>
      <c r="E591" s="10"/>
      <c r="F591" s="33">
        <f>Source!AL146</f>
        <v>520.4</v>
      </c>
      <c r="G591" s="34" t="str">
        <f>Source!DD146</f>
        <v/>
      </c>
      <c r="H591" s="33">
        <f>ROUND(Source!AC146*Source!I146, 2)</f>
        <v>5.2</v>
      </c>
      <c r="I591" s="34"/>
      <c r="J591" s="34">
        <f>IF(Source!BC146&lt;&gt; 0, Source!BC146, 1)</f>
        <v>6.11</v>
      </c>
      <c r="K591" s="33">
        <f>Source!P146</f>
        <v>31.8</v>
      </c>
    </row>
    <row r="592" spans="1:25" ht="14.25" x14ac:dyDescent="0.2">
      <c r="A592" s="20"/>
      <c r="B592" s="43"/>
      <c r="C592" s="43" t="s">
        <v>1374</v>
      </c>
      <c r="D592" s="32" t="s">
        <v>1375</v>
      </c>
      <c r="E592" s="10">
        <f>Source!BZ146</f>
        <v>95</v>
      </c>
      <c r="F592" s="46"/>
      <c r="G592" s="34"/>
      <c r="H592" s="33">
        <f>SUM(R586:R594)</f>
        <v>10.06</v>
      </c>
      <c r="I592" s="36"/>
      <c r="J592" s="31">
        <f>Source!AT146</f>
        <v>95</v>
      </c>
      <c r="K592" s="33">
        <f>SUM(S586:S594)</f>
        <v>338.49</v>
      </c>
    </row>
    <row r="593" spans="1:25" ht="14.25" x14ac:dyDescent="0.2">
      <c r="A593" s="20"/>
      <c r="B593" s="43"/>
      <c r="C593" s="43" t="s">
        <v>1376</v>
      </c>
      <c r="D593" s="32" t="s">
        <v>1375</v>
      </c>
      <c r="E593" s="10">
        <f>Source!CA146</f>
        <v>65</v>
      </c>
      <c r="F593" s="46"/>
      <c r="G593" s="34"/>
      <c r="H593" s="33">
        <f>SUM(T586:T594)</f>
        <v>6.88</v>
      </c>
      <c r="I593" s="36"/>
      <c r="J593" s="31">
        <f>Source!AU146</f>
        <v>65</v>
      </c>
      <c r="K593" s="33">
        <f>SUM(U586:U594)</f>
        <v>231.6</v>
      </c>
    </row>
    <row r="594" spans="1:25" ht="14.25" x14ac:dyDescent="0.2">
      <c r="A594" s="44"/>
      <c r="B594" s="45"/>
      <c r="C594" s="45" t="s">
        <v>1377</v>
      </c>
      <c r="D594" s="37" t="s">
        <v>1378</v>
      </c>
      <c r="E594" s="38">
        <f>Source!AQ146</f>
        <v>78.56</v>
      </c>
      <c r="F594" s="39"/>
      <c r="G594" s="40" t="str">
        <f>Source!DI146</f>
        <v>)*1,35</v>
      </c>
      <c r="H594" s="39"/>
      <c r="I594" s="40"/>
      <c r="J594" s="40"/>
      <c r="K594" s="39"/>
    </row>
    <row r="595" spans="1:25" ht="15" x14ac:dyDescent="0.25">
      <c r="G595" s="76">
        <f>H588+H589+H591+H592+H593</f>
        <v>33.150000000000006</v>
      </c>
      <c r="H595" s="76"/>
      <c r="J595" s="76">
        <f>K588+K589+K591+K592+K593</f>
        <v>960.91</v>
      </c>
      <c r="K595" s="76"/>
      <c r="N595" s="28">
        <f>G595</f>
        <v>33.150000000000006</v>
      </c>
      <c r="O595" s="28">
        <f>J595</f>
        <v>960.91</v>
      </c>
      <c r="P595" s="28" t="e">
        <f>#REF!</f>
        <v>#REF!</v>
      </c>
      <c r="V595">
        <f>IF(Source!BI146&lt;=1,H588+H589+H591+H592+H593, 0)</f>
        <v>0</v>
      </c>
      <c r="W595">
        <f>IF(Source!BI146=2,H588+H589+H591+H592+H593, 0)</f>
        <v>33.150000000000006</v>
      </c>
      <c r="X595">
        <f>IF(Source!BI146=3,H588+H589+H591+H592+H593, 0)</f>
        <v>0</v>
      </c>
      <c r="Y595">
        <f>IF(Source!BI146=4,H588+H589+H591+H592+H593, 0)</f>
        <v>0</v>
      </c>
    </row>
    <row r="596" spans="1:25" ht="65.25" x14ac:dyDescent="0.2">
      <c r="A596" s="20" t="str">
        <f>Source!E147</f>
        <v>56</v>
      </c>
      <c r="B596" s="43" t="s">
        <v>1433</v>
      </c>
      <c r="C596" s="43" t="str">
        <f>Source!G147</f>
        <v>Монтаж датчиков охранных ранее сохранённых</v>
      </c>
      <c r="D596" s="32" t="str">
        <f>Source!H147</f>
        <v>ШТ</v>
      </c>
      <c r="E596" s="10">
        <f>Source!I147</f>
        <v>3</v>
      </c>
      <c r="F596" s="33">
        <f>Source!AL147+Source!AM147+Source!AO147</f>
        <v>9.9600000000000009</v>
      </c>
      <c r="G596" s="34"/>
      <c r="H596" s="33"/>
      <c r="I596" s="34" t="str">
        <f>Source!BO147</f>
        <v>м10-08-002-04</v>
      </c>
      <c r="J596" s="34"/>
      <c r="K596" s="33"/>
      <c r="R596">
        <f>ROUND((Source!FX147/100)*((ROUND(Source!AF147*Source!I147, 2)+ROUND(Source!AE147*Source!I147, 2))), 2)</f>
        <v>26.18</v>
      </c>
      <c r="S596">
        <f>Source!X147</f>
        <v>881.09</v>
      </c>
      <c r="T596">
        <f>ROUND((Source!FY147/100)*((ROUND(Source!AF147*Source!I147, 2)+ROUND(Source!AE147*Source!I147, 2))), 2)</f>
        <v>19.64</v>
      </c>
      <c r="U596">
        <f>Source!Y147</f>
        <v>660.82</v>
      </c>
    </row>
    <row r="597" spans="1:25" ht="14.25" x14ac:dyDescent="0.2">
      <c r="A597" s="20"/>
      <c r="B597" s="43"/>
      <c r="C597" s="43" t="s">
        <v>1372</v>
      </c>
      <c r="D597" s="32"/>
      <c r="E597" s="10"/>
      <c r="F597" s="33">
        <f>Source!AO147</f>
        <v>8.08</v>
      </c>
      <c r="G597" s="34" t="str">
        <f>Source!DG147</f>
        <v>)*1,35</v>
      </c>
      <c r="H597" s="33">
        <f>ROUND(Source!AF147*Source!I147, 2)</f>
        <v>32.729999999999997</v>
      </c>
      <c r="I597" s="34"/>
      <c r="J597" s="34">
        <f>IF(Source!BA147&lt;&gt; 0, Source!BA147, 1)</f>
        <v>33.65</v>
      </c>
      <c r="K597" s="33">
        <f>Source!S147</f>
        <v>1101.3599999999999</v>
      </c>
      <c r="Q597">
        <f>H597</f>
        <v>32.729999999999997</v>
      </c>
    </row>
    <row r="598" spans="1:25" ht="14.25" x14ac:dyDescent="0.2">
      <c r="A598" s="20"/>
      <c r="B598" s="43"/>
      <c r="C598" s="43" t="s">
        <v>1400</v>
      </c>
      <c r="D598" s="32"/>
      <c r="E598" s="10"/>
      <c r="F598" s="33">
        <f>Source!AL147</f>
        <v>1.88</v>
      </c>
      <c r="G598" s="34" t="str">
        <f>Source!DD147</f>
        <v/>
      </c>
      <c r="H598" s="33">
        <f>ROUND(Source!AC147*Source!I147, 2)</f>
        <v>5.64</v>
      </c>
      <c r="I598" s="34"/>
      <c r="J598" s="34">
        <f>IF(Source!BC147&lt;&gt; 0, Source!BC147, 1)</f>
        <v>8.51</v>
      </c>
      <c r="K598" s="33">
        <f>Source!P147</f>
        <v>48</v>
      </c>
    </row>
    <row r="599" spans="1:25" ht="14.25" x14ac:dyDescent="0.2">
      <c r="A599" s="20"/>
      <c r="B599" s="43"/>
      <c r="C599" s="43" t="s">
        <v>1374</v>
      </c>
      <c r="D599" s="32" t="s">
        <v>1375</v>
      </c>
      <c r="E599" s="10">
        <f>Source!BZ147</f>
        <v>80</v>
      </c>
      <c r="F599" s="46"/>
      <c r="G599" s="34"/>
      <c r="H599" s="33">
        <f>SUM(R596:R601)</f>
        <v>26.18</v>
      </c>
      <c r="I599" s="36"/>
      <c r="J599" s="31">
        <f>Source!AT147</f>
        <v>80</v>
      </c>
      <c r="K599" s="33">
        <f>SUM(S596:S601)</f>
        <v>881.09</v>
      </c>
    </row>
    <row r="600" spans="1:25" ht="14.25" x14ac:dyDescent="0.2">
      <c r="A600" s="20"/>
      <c r="B600" s="43"/>
      <c r="C600" s="43" t="s">
        <v>1376</v>
      </c>
      <c r="D600" s="32" t="s">
        <v>1375</v>
      </c>
      <c r="E600" s="10">
        <f>Source!CA147</f>
        <v>60</v>
      </c>
      <c r="F600" s="46"/>
      <c r="G600" s="34"/>
      <c r="H600" s="33">
        <f>SUM(T596:T601)</f>
        <v>19.64</v>
      </c>
      <c r="I600" s="36"/>
      <c r="J600" s="31">
        <f>Source!AU147</f>
        <v>60</v>
      </c>
      <c r="K600" s="33">
        <f>SUM(U596:U601)</f>
        <v>660.82</v>
      </c>
    </row>
    <row r="601" spans="1:25" ht="14.25" x14ac:dyDescent="0.2">
      <c r="A601" s="44"/>
      <c r="B601" s="45"/>
      <c r="C601" s="45" t="s">
        <v>1377</v>
      </c>
      <c r="D601" s="37" t="s">
        <v>1378</v>
      </c>
      <c r="E601" s="38">
        <f>Source!AQ147</f>
        <v>0.84</v>
      </c>
      <c r="F601" s="39"/>
      <c r="G601" s="40" t="str">
        <f>Source!DI147</f>
        <v>)*1,35</v>
      </c>
      <c r="H601" s="39"/>
      <c r="I601" s="40"/>
      <c r="J601" s="40"/>
      <c r="K601" s="39"/>
    </row>
    <row r="602" spans="1:25" ht="15" x14ac:dyDescent="0.25">
      <c r="G602" s="76">
        <f>H597+H598+H599+H600</f>
        <v>84.19</v>
      </c>
      <c r="H602" s="76"/>
      <c r="J602" s="76">
        <f>K597+K598+K599+K600</f>
        <v>2691.27</v>
      </c>
      <c r="K602" s="76"/>
      <c r="N602" s="28">
        <f>G602</f>
        <v>84.19</v>
      </c>
      <c r="O602" s="28">
        <f>J602</f>
        <v>2691.27</v>
      </c>
      <c r="P602" s="28" t="e">
        <f>#REF!</f>
        <v>#REF!</v>
      </c>
      <c r="V602">
        <f>IF(Source!BI147&lt;=1,H597+H598+H599+H600, 0)</f>
        <v>0</v>
      </c>
      <c r="W602">
        <f>IF(Source!BI147=2,H597+H598+H599+H600, 0)</f>
        <v>84.19</v>
      </c>
      <c r="X602">
        <f>IF(Source!BI147=3,H597+H598+H599+H600, 0)</f>
        <v>0</v>
      </c>
      <c r="Y602">
        <f>IF(Source!BI147=4,H597+H598+H599+H600, 0)</f>
        <v>0</v>
      </c>
    </row>
    <row r="603" spans="1:25" ht="103.5" x14ac:dyDescent="0.2">
      <c r="A603" s="20" t="str">
        <f>Source!E148</f>
        <v>57</v>
      </c>
      <c r="B603" s="43" t="s">
        <v>1434</v>
      </c>
      <c r="C603" s="43" t="str">
        <f>Source!G148</f>
        <v>Монтаж урн ранее сохранённых</v>
      </c>
      <c r="D603" s="32" t="str">
        <f>Source!H148</f>
        <v>т</v>
      </c>
      <c r="E603" s="10">
        <f>Source!I148</f>
        <v>7.0000000000000001E-3</v>
      </c>
      <c r="F603" s="33">
        <f>Source!AL148+Source!AM148+Source!AO148</f>
        <v>842.06000000000006</v>
      </c>
      <c r="G603" s="34"/>
      <c r="H603" s="33"/>
      <c r="I603" s="34" t="str">
        <f>Source!BO148</f>
        <v>09-03-039-05</v>
      </c>
      <c r="J603" s="34"/>
      <c r="K603" s="33"/>
      <c r="R603">
        <f>ROUND((Source!FX148/100)*((ROUND(Source!AF148*Source!I148, 2)+ROUND(Source!AE148*Source!I148, 2))), 2)</f>
        <v>1.62</v>
      </c>
      <c r="S603">
        <f>Source!X148</f>
        <v>54.5</v>
      </c>
      <c r="T603">
        <f>ROUND((Source!FY148/100)*((ROUND(Source!AF148*Source!I148, 2)+ROUND(Source!AE148*Source!I148, 2))), 2)</f>
        <v>1.45</v>
      </c>
      <c r="U603">
        <f>Source!Y148</f>
        <v>48.45</v>
      </c>
    </row>
    <row r="604" spans="1:25" ht="14.25" x14ac:dyDescent="0.2">
      <c r="A604" s="20"/>
      <c r="B604" s="43"/>
      <c r="C604" s="43" t="s">
        <v>1372</v>
      </c>
      <c r="D604" s="32"/>
      <c r="E604" s="10"/>
      <c r="F604" s="33">
        <f>Source!AO148</f>
        <v>162.62</v>
      </c>
      <c r="G604" s="34" t="str">
        <f>Source!DG148</f>
        <v>)*1,15)*1,35</v>
      </c>
      <c r="H604" s="33">
        <f>ROUND(Source!AF148*Source!I148, 2)</f>
        <v>1.77</v>
      </c>
      <c r="I604" s="34"/>
      <c r="J604" s="34">
        <f>IF(Source!BA148&lt;&gt; 0, Source!BA148, 1)</f>
        <v>33.65</v>
      </c>
      <c r="K604" s="33">
        <f>Source!S148</f>
        <v>59.47</v>
      </c>
      <c r="Q604">
        <f>H604</f>
        <v>1.77</v>
      </c>
    </row>
    <row r="605" spans="1:25" ht="14.25" x14ac:dyDescent="0.2">
      <c r="A605" s="20"/>
      <c r="B605" s="43"/>
      <c r="C605" s="43" t="s">
        <v>646</v>
      </c>
      <c r="D605" s="32"/>
      <c r="E605" s="10"/>
      <c r="F605" s="33">
        <f>Source!AM148</f>
        <v>228.99</v>
      </c>
      <c r="G605" s="34" t="str">
        <f>Source!DE148</f>
        <v>)*1,25)*1,35</v>
      </c>
      <c r="H605" s="33">
        <f>ROUND(Source!AD148*Source!I148, 2)</f>
        <v>2.7</v>
      </c>
      <c r="I605" s="34"/>
      <c r="J605" s="34">
        <f>IF(Source!BB148&lt;&gt; 0, Source!BB148, 1)</f>
        <v>9.1199999999999992</v>
      </c>
      <c r="K605" s="33">
        <f>Source!Q148</f>
        <v>24.67</v>
      </c>
    </row>
    <row r="606" spans="1:25" ht="14.25" x14ac:dyDescent="0.2">
      <c r="A606" s="20"/>
      <c r="B606" s="43"/>
      <c r="C606" s="43" t="s">
        <v>1373</v>
      </c>
      <c r="D606" s="32"/>
      <c r="E606" s="10"/>
      <c r="F606" s="33">
        <f>Source!AN148</f>
        <v>19.670000000000002</v>
      </c>
      <c r="G606" s="34" t="str">
        <f>Source!DF148</f>
        <v>)*1,25)*1,35</v>
      </c>
      <c r="H606" s="35">
        <f>ROUND(Source!AE148*Source!I148, 2)</f>
        <v>0.23</v>
      </c>
      <c r="I606" s="34"/>
      <c r="J606" s="34">
        <f>IF(Source!BS148&lt;&gt; 0, Source!BS148, 1)</f>
        <v>33.65</v>
      </c>
      <c r="K606" s="35">
        <f>Source!R148</f>
        <v>7.82</v>
      </c>
      <c r="Q606">
        <f>H606</f>
        <v>0.23</v>
      </c>
    </row>
    <row r="607" spans="1:25" ht="14.25" x14ac:dyDescent="0.2">
      <c r="A607" s="20"/>
      <c r="B607" s="43"/>
      <c r="C607" s="43" t="s">
        <v>1400</v>
      </c>
      <c r="D607" s="32"/>
      <c r="E607" s="10"/>
      <c r="F607" s="33">
        <f>Source!AL148</f>
        <v>450.45</v>
      </c>
      <c r="G607" s="34" t="str">
        <f>Source!DD148</f>
        <v/>
      </c>
      <c r="H607" s="33">
        <f>ROUND(Source!AC148*Source!I148, 2)</f>
        <v>3.15</v>
      </c>
      <c r="I607" s="34"/>
      <c r="J607" s="34">
        <f>IF(Source!BC148&lt;&gt; 0, Source!BC148, 1)</f>
        <v>10.1</v>
      </c>
      <c r="K607" s="33">
        <f>Source!P148</f>
        <v>31.85</v>
      </c>
    </row>
    <row r="608" spans="1:25" ht="14.25" x14ac:dyDescent="0.2">
      <c r="A608" s="20"/>
      <c r="B608" s="43"/>
      <c r="C608" s="43" t="s">
        <v>1374</v>
      </c>
      <c r="D608" s="32" t="s">
        <v>1375</v>
      </c>
      <c r="E608" s="10">
        <f>Source!BZ148</f>
        <v>90</v>
      </c>
      <c r="F608" s="64" t="str">
        <f>CONCATENATE(" )", Source!DL148, Source!FT148, "=", Source!FX148)</f>
        <v xml:space="preserve"> )*0,9=81</v>
      </c>
      <c r="G608" s="75"/>
      <c r="H608" s="33">
        <f>SUM(R603:R610)</f>
        <v>1.62</v>
      </c>
      <c r="I608" s="36"/>
      <c r="J608" s="31">
        <f>Source!AT148</f>
        <v>81</v>
      </c>
      <c r="K608" s="33">
        <f>SUM(S603:S610)</f>
        <v>54.5</v>
      </c>
    </row>
    <row r="609" spans="1:25" ht="14.25" x14ac:dyDescent="0.2">
      <c r="A609" s="20"/>
      <c r="B609" s="43"/>
      <c r="C609" s="43" t="s">
        <v>1376</v>
      </c>
      <c r="D609" s="32" t="s">
        <v>1375</v>
      </c>
      <c r="E609" s="10">
        <f>Source!CA148</f>
        <v>85</v>
      </c>
      <c r="F609" s="64" t="str">
        <f>CONCATENATE(" )", Source!DM148, Source!FU148, "=", Source!FY148)</f>
        <v xml:space="preserve"> )*0,85=72,25</v>
      </c>
      <c r="G609" s="75"/>
      <c r="H609" s="33">
        <f>SUM(T603:T610)</f>
        <v>1.45</v>
      </c>
      <c r="I609" s="36"/>
      <c r="J609" s="31">
        <f>Source!AU148</f>
        <v>72</v>
      </c>
      <c r="K609" s="33">
        <f>SUM(U603:U610)</f>
        <v>48.45</v>
      </c>
    </row>
    <row r="610" spans="1:25" ht="14.25" x14ac:dyDescent="0.2">
      <c r="A610" s="44"/>
      <c r="B610" s="45"/>
      <c r="C610" s="45" t="s">
        <v>1377</v>
      </c>
      <c r="D610" s="37" t="s">
        <v>1378</v>
      </c>
      <c r="E610" s="38">
        <f>Source!AQ148</f>
        <v>17.3</v>
      </c>
      <c r="F610" s="39"/>
      <c r="G610" s="40" t="str">
        <f>Source!DI148</f>
        <v>)*1,15)*1,35</v>
      </c>
      <c r="H610" s="39"/>
      <c r="I610" s="40"/>
      <c r="J610" s="40"/>
      <c r="K610" s="39"/>
    </row>
    <row r="611" spans="1:25" ht="15" x14ac:dyDescent="0.25">
      <c r="G611" s="76">
        <f>H604+H605+H607+H608+H609</f>
        <v>10.690000000000001</v>
      </c>
      <c r="H611" s="76"/>
      <c r="J611" s="76">
        <f>K604+K605+K607+K608+K609</f>
        <v>218.94</v>
      </c>
      <c r="K611" s="76"/>
      <c r="N611" s="28">
        <f>G611</f>
        <v>10.690000000000001</v>
      </c>
      <c r="O611" s="28">
        <f>J611</f>
        <v>218.94</v>
      </c>
      <c r="P611" s="28" t="e">
        <f>#REF!</f>
        <v>#REF!</v>
      </c>
      <c r="V611">
        <f>IF(Source!BI148&lt;=1,H604+H605+H607+H608+H609, 0)</f>
        <v>10.690000000000001</v>
      </c>
      <c r="W611">
        <f>IF(Source!BI148=2,H604+H605+H607+H608+H609, 0)</f>
        <v>0</v>
      </c>
      <c r="X611">
        <f>IF(Source!BI148=3,H604+H605+H607+H608+H609, 0)</f>
        <v>0</v>
      </c>
      <c r="Y611">
        <f>IF(Source!BI148=4,H604+H605+H607+H608+H609, 0)</f>
        <v>0</v>
      </c>
    </row>
    <row r="612" spans="1:25" ht="65.25" x14ac:dyDescent="0.2">
      <c r="A612" s="20" t="str">
        <f>Source!E149</f>
        <v>58</v>
      </c>
      <c r="B612" s="43" t="s">
        <v>1435</v>
      </c>
      <c r="C612" s="43" t="str">
        <f>Source!G149</f>
        <v>Светильник отдельно устанавливаемый: на подвесах (штангах) с количеством ламп в светильнике 2/Монтаж</v>
      </c>
      <c r="D612" s="32" t="str">
        <f>Source!H149</f>
        <v>100 ШТ</v>
      </c>
      <c r="E612" s="10">
        <f>Source!I149</f>
        <v>0.01</v>
      </c>
      <c r="F612" s="33">
        <f>Source!AL149+Source!AM149+Source!AO149</f>
        <v>1364.96</v>
      </c>
      <c r="G612" s="34"/>
      <c r="H612" s="33"/>
      <c r="I612" s="34" t="str">
        <f>Source!BO149</f>
        <v>м08-03-594-07</v>
      </c>
      <c r="J612" s="34"/>
      <c r="K612" s="33"/>
      <c r="R612">
        <f>ROUND((Source!FX149/100)*((ROUND(Source!AF149*Source!I149, 2)+ROUND(Source!AE149*Source!I149, 2))), 2)</f>
        <v>15.16</v>
      </c>
      <c r="S612">
        <f>Source!X149</f>
        <v>510.13</v>
      </c>
      <c r="T612">
        <f>ROUND((Source!FY149/100)*((ROUND(Source!AF149*Source!I149, 2)+ROUND(Source!AE149*Source!I149, 2))), 2)</f>
        <v>10.37</v>
      </c>
      <c r="U612">
        <f>Source!Y149</f>
        <v>349.04</v>
      </c>
    </row>
    <row r="613" spans="1:25" x14ac:dyDescent="0.2">
      <c r="C613" s="27" t="str">
        <f>"Объем: "&amp;Source!I149&amp;"=1/"&amp;"100"</f>
        <v>Объем: 0,01=1/100</v>
      </c>
    </row>
    <row r="614" spans="1:25" ht="14.25" x14ac:dyDescent="0.2">
      <c r="A614" s="20"/>
      <c r="B614" s="43"/>
      <c r="C614" s="43" t="s">
        <v>1372</v>
      </c>
      <c r="D614" s="32"/>
      <c r="E614" s="10"/>
      <c r="F614" s="33">
        <f>Source!AO149</f>
        <v>1174.53</v>
      </c>
      <c r="G614" s="34" t="str">
        <f>Source!DG149</f>
        <v>)*1,35</v>
      </c>
      <c r="H614" s="33">
        <f>ROUND(Source!AF149*Source!I149, 2)</f>
        <v>15.86</v>
      </c>
      <c r="I614" s="34"/>
      <c r="J614" s="34">
        <f>IF(Source!BA149&lt;&gt; 0, Source!BA149, 1)</f>
        <v>33.65</v>
      </c>
      <c r="K614" s="33">
        <f>Source!S149</f>
        <v>533.55999999999995</v>
      </c>
      <c r="Q614">
        <f>H614</f>
        <v>15.86</v>
      </c>
    </row>
    <row r="615" spans="1:25" ht="14.25" x14ac:dyDescent="0.2">
      <c r="A615" s="20"/>
      <c r="B615" s="43"/>
      <c r="C615" s="43" t="s">
        <v>646</v>
      </c>
      <c r="D615" s="32"/>
      <c r="E615" s="10"/>
      <c r="F615" s="33">
        <f>Source!AM149</f>
        <v>54.33</v>
      </c>
      <c r="G615" s="34" t="str">
        <f>Source!DE149</f>
        <v>)*1,35</v>
      </c>
      <c r="H615" s="33">
        <f>ROUND(Source!AD149*Source!I149, 2)</f>
        <v>0.73</v>
      </c>
      <c r="I615" s="34"/>
      <c r="J615" s="34">
        <f>IF(Source!BB149&lt;&gt; 0, Source!BB149, 1)</f>
        <v>10.220000000000001</v>
      </c>
      <c r="K615" s="33">
        <f>Source!Q149</f>
        <v>7.5</v>
      </c>
    </row>
    <row r="616" spans="1:25" ht="14.25" x14ac:dyDescent="0.2">
      <c r="A616" s="20"/>
      <c r="B616" s="43"/>
      <c r="C616" s="43" t="s">
        <v>1373</v>
      </c>
      <c r="D616" s="32"/>
      <c r="E616" s="10"/>
      <c r="F616" s="33">
        <f>Source!AN149</f>
        <v>7.53</v>
      </c>
      <c r="G616" s="34" t="str">
        <f>Source!DF149</f>
        <v>)*1,35</v>
      </c>
      <c r="H616" s="35">
        <f>ROUND(Source!AE149*Source!I149, 2)</f>
        <v>0.1</v>
      </c>
      <c r="I616" s="34"/>
      <c r="J616" s="34">
        <f>IF(Source!BS149&lt;&gt; 0, Source!BS149, 1)</f>
        <v>33.65</v>
      </c>
      <c r="K616" s="35">
        <f>Source!R149</f>
        <v>3.42</v>
      </c>
      <c r="Q616">
        <f>H616</f>
        <v>0.1</v>
      </c>
    </row>
    <row r="617" spans="1:25" ht="14.25" x14ac:dyDescent="0.2">
      <c r="A617" s="20"/>
      <c r="B617" s="43"/>
      <c r="C617" s="43" t="s">
        <v>1400</v>
      </c>
      <c r="D617" s="32"/>
      <c r="E617" s="10"/>
      <c r="F617" s="33">
        <f>Source!AL149</f>
        <v>136.1</v>
      </c>
      <c r="G617" s="34" t="str">
        <f>Source!DD149</f>
        <v/>
      </c>
      <c r="H617" s="33">
        <f>ROUND(Source!AC149*Source!I149, 2)</f>
        <v>1.36</v>
      </c>
      <c r="I617" s="34"/>
      <c r="J617" s="34">
        <f>IF(Source!BC149&lt;&gt; 0, Source!BC149, 1)</f>
        <v>8.11</v>
      </c>
      <c r="K617" s="33">
        <f>Source!P149</f>
        <v>11.04</v>
      </c>
    </row>
    <row r="618" spans="1:25" ht="14.25" x14ac:dyDescent="0.2">
      <c r="A618" s="20"/>
      <c r="B618" s="43"/>
      <c r="C618" s="43" t="s">
        <v>1374</v>
      </c>
      <c r="D618" s="32" t="s">
        <v>1375</v>
      </c>
      <c r="E618" s="10">
        <f>Source!BZ149</f>
        <v>95</v>
      </c>
      <c r="F618" s="46"/>
      <c r="G618" s="34"/>
      <c r="H618" s="33">
        <f>SUM(R612:R621)</f>
        <v>15.16</v>
      </c>
      <c r="I618" s="36"/>
      <c r="J618" s="31">
        <f>Source!AT149</f>
        <v>95</v>
      </c>
      <c r="K618" s="33">
        <f>SUM(S612:S621)</f>
        <v>510.13</v>
      </c>
    </row>
    <row r="619" spans="1:25" ht="14.25" x14ac:dyDescent="0.2">
      <c r="A619" s="20"/>
      <c r="B619" s="43"/>
      <c r="C619" s="43" t="s">
        <v>1376</v>
      </c>
      <c r="D619" s="32" t="s">
        <v>1375</v>
      </c>
      <c r="E619" s="10">
        <f>Source!CA149</f>
        <v>65</v>
      </c>
      <c r="F619" s="46"/>
      <c r="G619" s="34"/>
      <c r="H619" s="33">
        <f>SUM(T612:T621)</f>
        <v>10.37</v>
      </c>
      <c r="I619" s="36"/>
      <c r="J619" s="31">
        <f>Source!AU149</f>
        <v>65</v>
      </c>
      <c r="K619" s="33">
        <f>SUM(U612:U621)</f>
        <v>349.04</v>
      </c>
    </row>
    <row r="620" spans="1:25" ht="14.25" x14ac:dyDescent="0.2">
      <c r="A620" s="20"/>
      <c r="B620" s="43"/>
      <c r="C620" s="43" t="s">
        <v>1377</v>
      </c>
      <c r="D620" s="32" t="s">
        <v>1378</v>
      </c>
      <c r="E620" s="10">
        <f>Source!AQ149</f>
        <v>118.4</v>
      </c>
      <c r="F620" s="33"/>
      <c r="G620" s="34" t="str">
        <f>Source!DI149</f>
        <v>)*1,35</v>
      </c>
      <c r="H620" s="33"/>
      <c r="I620" s="34"/>
      <c r="J620" s="34"/>
      <c r="K620" s="33"/>
    </row>
    <row r="621" spans="1:25" ht="128.25" x14ac:dyDescent="0.2">
      <c r="A621" s="44"/>
      <c r="B621" s="45" t="str">
        <f>Source!F150</f>
        <v>20.3.03.04-3471</v>
      </c>
      <c r="C621" s="45" t="str">
        <f>Source!G150</f>
        <v>Потолочный подвесной светодиодный светильник; Мощность: 30W; Световой поток: не менее 3900Lm; Размер: 937*66*65 мм, Класс защиты IP по ГОСТ 14254-96: не менее IP 44; Коэффициент пульсации: &lt; 1%; Индекс цветопередачи, Ra- &gt;80;  Коэффициент мощности (PF): &gt;0,9; Угол излучения 120°</v>
      </c>
      <c r="D621" s="37" t="str">
        <f>Source!H150</f>
        <v>ШТ</v>
      </c>
      <c r="E621" s="38">
        <f>Source!I150</f>
        <v>1</v>
      </c>
      <c r="F621" s="39">
        <f>Source!AL150+Source!AM150+Source!AO150</f>
        <v>182.57</v>
      </c>
      <c r="G621" s="41" t="s">
        <v>1385</v>
      </c>
      <c r="H621" s="39">
        <f>ROUND(Source!AC150*Source!I150, 2)+ROUND(Source!AD150*Source!I150, 2)+ROUND(Source!AF150*Source!I150, 2)</f>
        <v>182.57</v>
      </c>
      <c r="I621" s="40"/>
      <c r="J621" s="40">
        <f>IF(Source!BC150&lt;&gt; 0, Source!BC150, 1)</f>
        <v>9.5500000000000007</v>
      </c>
      <c r="K621" s="39">
        <f>Source!O150</f>
        <v>1743.54</v>
      </c>
      <c r="R621">
        <f>ROUND((Source!FX150/100)*((ROUND(Source!AF150*Source!I150, 2)+ROUND(Source!AE150*Source!I150, 2))), 2)</f>
        <v>0</v>
      </c>
      <c r="S621">
        <f>Source!X150</f>
        <v>0</v>
      </c>
      <c r="T621">
        <f>ROUND((Source!FY150/100)*((ROUND(Source!AF150*Source!I150, 2)+ROUND(Source!AE150*Source!I150, 2))), 2)</f>
        <v>0</v>
      </c>
      <c r="U621">
        <f>Source!Y150</f>
        <v>0</v>
      </c>
      <c r="V621">
        <f>IF(Source!BI150&lt;=1,H621, 0)</f>
        <v>0</v>
      </c>
      <c r="W621">
        <f>IF(Source!BI150=2,H621, 0)</f>
        <v>182.57</v>
      </c>
      <c r="X621">
        <f>IF(Source!BI150=3,H621, 0)</f>
        <v>0</v>
      </c>
      <c r="Y621">
        <f>IF(Source!BI150=4,H621, 0)</f>
        <v>0</v>
      </c>
    </row>
    <row r="622" spans="1:25" ht="15" x14ac:dyDescent="0.25">
      <c r="G622" s="76">
        <f>H614+H615+H617+H618+H619+SUM(H621:H621)</f>
        <v>226.04999999999998</v>
      </c>
      <c r="H622" s="76"/>
      <c r="J622" s="76">
        <f>K614+K615+K617+K618+K619+SUM(K621:K621)</f>
        <v>3154.81</v>
      </c>
      <c r="K622" s="76"/>
      <c r="N622" s="28">
        <f>G622</f>
        <v>226.04999999999998</v>
      </c>
      <c r="O622" s="28">
        <f>J622</f>
        <v>3154.81</v>
      </c>
      <c r="P622" s="28" t="e">
        <f>#REF!</f>
        <v>#REF!</v>
      </c>
      <c r="V622">
        <f>IF(Source!BI149&lt;=1,H614+H615+H617+H618+H619, 0)</f>
        <v>0</v>
      </c>
      <c r="W622">
        <f>IF(Source!BI149=2,H614+H615+H617+H618+H619, 0)</f>
        <v>43.48</v>
      </c>
      <c r="X622">
        <f>IF(Source!BI149=3,H614+H615+H617+H618+H619, 0)</f>
        <v>0</v>
      </c>
      <c r="Y622">
        <f>IF(Source!BI149=4,H614+H615+H617+H618+H619, 0)</f>
        <v>0</v>
      </c>
    </row>
    <row r="623" spans="1:25" ht="65.25" x14ac:dyDescent="0.2">
      <c r="A623" s="20" t="str">
        <f>Source!E151</f>
        <v>59</v>
      </c>
      <c r="B623" s="43" t="s">
        <v>1436</v>
      </c>
      <c r="C623" s="43" t="str">
        <f>Source!G151</f>
        <v>Коробка ответвительная на стене/Монтаж</v>
      </c>
      <c r="D623" s="32" t="str">
        <f>Source!H151</f>
        <v>ШТ</v>
      </c>
      <c r="E623" s="10">
        <f>Source!I151</f>
        <v>3</v>
      </c>
      <c r="F623" s="33">
        <f>Source!AL151+Source!AM151+Source!AO151</f>
        <v>5.29</v>
      </c>
      <c r="G623" s="34"/>
      <c r="H623" s="33"/>
      <c r="I623" s="34" t="str">
        <f>Source!BO151</f>
        <v>м10-08-019-01</v>
      </c>
      <c r="J623" s="34"/>
      <c r="K623" s="33"/>
      <c r="R623">
        <f>ROUND((Source!FX151/100)*((ROUND(Source!AF151*Source!I151, 2)+ROUND(Source!AE151*Source!I151, 2))), 2)</f>
        <v>15.82</v>
      </c>
      <c r="S623">
        <f>Source!X151</f>
        <v>532.21</v>
      </c>
      <c r="T623">
        <f>ROUND((Source!FY151/100)*((ROUND(Source!AF151*Source!I151, 2)+ROUND(Source!AE151*Source!I151, 2))), 2)</f>
        <v>11.86</v>
      </c>
      <c r="U623">
        <f>Source!Y151</f>
        <v>399.16</v>
      </c>
    </row>
    <row r="624" spans="1:25" ht="14.25" x14ac:dyDescent="0.2">
      <c r="A624" s="20"/>
      <c r="B624" s="43"/>
      <c r="C624" s="43" t="s">
        <v>1372</v>
      </c>
      <c r="D624" s="32"/>
      <c r="E624" s="10"/>
      <c r="F624" s="33">
        <f>Source!AO151</f>
        <v>4.88</v>
      </c>
      <c r="G624" s="34" t="str">
        <f>Source!DG151</f>
        <v>)*1,35</v>
      </c>
      <c r="H624" s="33">
        <f>ROUND(Source!AF151*Source!I151, 2)</f>
        <v>19.77</v>
      </c>
      <c r="I624" s="34"/>
      <c r="J624" s="34">
        <f>IF(Source!BA151&lt;&gt; 0, Source!BA151, 1)</f>
        <v>33.65</v>
      </c>
      <c r="K624" s="33">
        <f>Source!S151</f>
        <v>665.26</v>
      </c>
      <c r="Q624">
        <f>H624</f>
        <v>19.77</v>
      </c>
    </row>
    <row r="625" spans="1:25" ht="14.25" x14ac:dyDescent="0.2">
      <c r="A625" s="20"/>
      <c r="B625" s="43"/>
      <c r="C625" s="43" t="s">
        <v>1400</v>
      </c>
      <c r="D625" s="32"/>
      <c r="E625" s="10"/>
      <c r="F625" s="33">
        <f>Source!AL151</f>
        <v>0.41</v>
      </c>
      <c r="G625" s="34" t="str">
        <f>Source!DD151</f>
        <v/>
      </c>
      <c r="H625" s="33">
        <f>ROUND(Source!AC151*Source!I151, 2)</f>
        <v>1.23</v>
      </c>
      <c r="I625" s="34"/>
      <c r="J625" s="34">
        <f>IF(Source!BC151&lt;&gt; 0, Source!BC151, 1)</f>
        <v>12.1</v>
      </c>
      <c r="K625" s="33">
        <f>Source!P151</f>
        <v>14.88</v>
      </c>
    </row>
    <row r="626" spans="1:25" ht="14.25" x14ac:dyDescent="0.2">
      <c r="A626" s="20"/>
      <c r="B626" s="43"/>
      <c r="C626" s="43" t="s">
        <v>1374</v>
      </c>
      <c r="D626" s="32" t="s">
        <v>1375</v>
      </c>
      <c r="E626" s="10">
        <f>Source!BZ151</f>
        <v>80</v>
      </c>
      <c r="F626" s="46"/>
      <c r="G626" s="34"/>
      <c r="H626" s="33">
        <f>SUM(R623:R629)</f>
        <v>15.82</v>
      </c>
      <c r="I626" s="36"/>
      <c r="J626" s="31">
        <f>Source!AT151</f>
        <v>80</v>
      </c>
      <c r="K626" s="33">
        <f>SUM(S623:S629)</f>
        <v>532.21</v>
      </c>
    </row>
    <row r="627" spans="1:25" ht="14.25" x14ac:dyDescent="0.2">
      <c r="A627" s="20"/>
      <c r="B627" s="43"/>
      <c r="C627" s="43" t="s">
        <v>1376</v>
      </c>
      <c r="D627" s="32" t="s">
        <v>1375</v>
      </c>
      <c r="E627" s="10">
        <f>Source!CA151</f>
        <v>60</v>
      </c>
      <c r="F627" s="46"/>
      <c r="G627" s="34"/>
      <c r="H627" s="33">
        <f>SUM(T623:T629)</f>
        <v>11.86</v>
      </c>
      <c r="I627" s="36"/>
      <c r="J627" s="31">
        <f>Source!AU151</f>
        <v>60</v>
      </c>
      <c r="K627" s="33">
        <f>SUM(U623:U629)</f>
        <v>399.16</v>
      </c>
    </row>
    <row r="628" spans="1:25" ht="14.25" x14ac:dyDescent="0.2">
      <c r="A628" s="20"/>
      <c r="B628" s="43"/>
      <c r="C628" s="43" t="s">
        <v>1377</v>
      </c>
      <c r="D628" s="32" t="s">
        <v>1378</v>
      </c>
      <c r="E628" s="10">
        <f>Source!AQ151</f>
        <v>0.5</v>
      </c>
      <c r="F628" s="33"/>
      <c r="G628" s="34" t="str">
        <f>Source!DI151</f>
        <v>)*1,35</v>
      </c>
      <c r="H628" s="33"/>
      <c r="I628" s="34"/>
      <c r="J628" s="34"/>
      <c r="K628" s="33"/>
    </row>
    <row r="629" spans="1:25" ht="28.5" x14ac:dyDescent="0.2">
      <c r="A629" s="44"/>
      <c r="B629" s="45" t="str">
        <f>Source!F152</f>
        <v>20.5.02.04-0001</v>
      </c>
      <c r="C629" s="45" t="str">
        <f>Source!G152</f>
        <v>Коробки ответвительные размером 100х100х50 мм</v>
      </c>
      <c r="D629" s="37" t="str">
        <f>Source!H152</f>
        <v>ШТ</v>
      </c>
      <c r="E629" s="38">
        <f>Source!I152</f>
        <v>3</v>
      </c>
      <c r="F629" s="39">
        <f>Source!AL152+Source!AM152+Source!AO152</f>
        <v>20.7</v>
      </c>
      <c r="G629" s="41" t="s">
        <v>1385</v>
      </c>
      <c r="H629" s="39">
        <f>ROUND(Source!AC152*Source!I152, 2)+ROUND(Source!AD152*Source!I152, 2)+ROUND(Source!AF152*Source!I152, 2)</f>
        <v>62.1</v>
      </c>
      <c r="I629" s="40"/>
      <c r="J629" s="40">
        <f>IF(Source!BC152&lt;&gt; 0, Source!BC152, 1)</f>
        <v>6.68</v>
      </c>
      <c r="K629" s="39">
        <f>Source!O152</f>
        <v>414.83</v>
      </c>
      <c r="R629">
        <f>ROUND((Source!FX152/100)*((ROUND(Source!AF152*Source!I152, 2)+ROUND(Source!AE152*Source!I152, 2))), 2)</f>
        <v>0</v>
      </c>
      <c r="S629">
        <f>Source!X152</f>
        <v>0</v>
      </c>
      <c r="T629">
        <f>ROUND((Source!FY152/100)*((ROUND(Source!AF152*Source!I152, 2)+ROUND(Source!AE152*Source!I152, 2))), 2)</f>
        <v>0</v>
      </c>
      <c r="U629">
        <f>Source!Y152</f>
        <v>0</v>
      </c>
      <c r="V629">
        <f>IF(Source!BI152&lt;=1,H629, 0)</f>
        <v>0</v>
      </c>
      <c r="W629">
        <f>IF(Source!BI152=2,H629, 0)</f>
        <v>62.1</v>
      </c>
      <c r="X629">
        <f>IF(Source!BI152=3,H629, 0)</f>
        <v>0</v>
      </c>
      <c r="Y629">
        <f>IF(Source!BI152=4,H629, 0)</f>
        <v>0</v>
      </c>
    </row>
    <row r="630" spans="1:25" ht="15" x14ac:dyDescent="0.25">
      <c r="G630" s="76">
        <f>H624+H625+H626+H627+SUM(H629:H629)</f>
        <v>110.78</v>
      </c>
      <c r="H630" s="76"/>
      <c r="J630" s="76">
        <f>K624+K625+K626+K627+SUM(K629:K629)</f>
        <v>2026.34</v>
      </c>
      <c r="K630" s="76"/>
      <c r="N630" s="28">
        <f>G630</f>
        <v>110.78</v>
      </c>
      <c r="O630" s="28">
        <f>J630</f>
        <v>2026.34</v>
      </c>
      <c r="P630" s="28" t="e">
        <f>#REF!</f>
        <v>#REF!</v>
      </c>
      <c r="V630">
        <f>IF(Source!BI151&lt;=1,H624+H625+H626+H627, 0)</f>
        <v>0</v>
      </c>
      <c r="W630">
        <f>IF(Source!BI151=2,H624+H625+H626+H627, 0)</f>
        <v>48.68</v>
      </c>
      <c r="X630">
        <f>IF(Source!BI151=3,H624+H625+H626+H627, 0)</f>
        <v>0</v>
      </c>
      <c r="Y630">
        <f>IF(Source!BI151=4,H624+H625+H626+H627, 0)</f>
        <v>0</v>
      </c>
    </row>
    <row r="631" spans="1:25" ht="65.25" x14ac:dyDescent="0.2">
      <c r="A631" s="20" t="str">
        <f>Source!E153</f>
        <v>60</v>
      </c>
      <c r="B631" s="43" t="s">
        <v>1437</v>
      </c>
      <c r="C631" s="43" t="str">
        <f>Source!G153</f>
        <v>Выключатель: одноклавишный неутопленного типа при открытой проводке/Монтаж</v>
      </c>
      <c r="D631" s="32" t="str">
        <f>Source!H153</f>
        <v>100 ШТ</v>
      </c>
      <c r="E631" s="10">
        <f>Source!I153</f>
        <v>0.03</v>
      </c>
      <c r="F631" s="33">
        <f>Source!AL153+Source!AM153+Source!AO153</f>
        <v>424.07000000000005</v>
      </c>
      <c r="G631" s="34"/>
      <c r="H631" s="33"/>
      <c r="I631" s="34" t="str">
        <f>Source!BO153</f>
        <v>м08-03-591-01</v>
      </c>
      <c r="J631" s="34"/>
      <c r="K631" s="33"/>
      <c r="R631">
        <f>ROUND((Source!FX153/100)*((ROUND(Source!AF153*Source!I153, 2)+ROUND(Source!AE153*Source!I153, 2))), 2)</f>
        <v>12.09</v>
      </c>
      <c r="S631">
        <f>Source!X153</f>
        <v>406.67</v>
      </c>
      <c r="T631">
        <f>ROUND((Source!FY153/100)*((ROUND(Source!AF153*Source!I153, 2)+ROUND(Source!AE153*Source!I153, 2))), 2)</f>
        <v>8.27</v>
      </c>
      <c r="U631">
        <f>Source!Y153</f>
        <v>278.25</v>
      </c>
    </row>
    <row r="632" spans="1:25" x14ac:dyDescent="0.2">
      <c r="C632" s="27" t="str">
        <f>"Объем: "&amp;Source!I153&amp;"=3/"&amp;"100"</f>
        <v>Объем: 0,03=3/100</v>
      </c>
    </row>
    <row r="633" spans="1:25" ht="14.25" x14ac:dyDescent="0.2">
      <c r="A633" s="20"/>
      <c r="B633" s="43"/>
      <c r="C633" s="43" t="s">
        <v>1372</v>
      </c>
      <c r="D633" s="32"/>
      <c r="E633" s="10"/>
      <c r="F633" s="33">
        <f>Source!AO153</f>
        <v>313.47000000000003</v>
      </c>
      <c r="G633" s="34" t="str">
        <f>Source!DG153</f>
        <v>)*1,35</v>
      </c>
      <c r="H633" s="33">
        <f>ROUND(Source!AF153*Source!I153, 2)</f>
        <v>12.7</v>
      </c>
      <c r="I633" s="34"/>
      <c r="J633" s="34">
        <f>IF(Source!BA153&lt;&gt; 0, Source!BA153, 1)</f>
        <v>33.65</v>
      </c>
      <c r="K633" s="33">
        <f>Source!S153</f>
        <v>427.2</v>
      </c>
      <c r="Q633">
        <f>H633</f>
        <v>12.7</v>
      </c>
    </row>
    <row r="634" spans="1:25" ht="14.25" x14ac:dyDescent="0.2">
      <c r="A634" s="20"/>
      <c r="B634" s="43"/>
      <c r="C634" s="43" t="s">
        <v>646</v>
      </c>
      <c r="D634" s="32"/>
      <c r="E634" s="10"/>
      <c r="F634" s="33">
        <f>Source!AM153</f>
        <v>4.7699999999999996</v>
      </c>
      <c r="G634" s="34" t="str">
        <f>Source!DE153</f>
        <v>)*1,35</v>
      </c>
      <c r="H634" s="33">
        <f>ROUND(Source!AD153*Source!I153, 2)</f>
        <v>0.19</v>
      </c>
      <c r="I634" s="34"/>
      <c r="J634" s="34">
        <f>IF(Source!BB153&lt;&gt; 0, Source!BB153, 1)</f>
        <v>10</v>
      </c>
      <c r="K634" s="33">
        <f>Source!Q153</f>
        <v>1.93</v>
      </c>
    </row>
    <row r="635" spans="1:25" ht="14.25" x14ac:dyDescent="0.2">
      <c r="A635" s="20"/>
      <c r="B635" s="43"/>
      <c r="C635" s="43" t="s">
        <v>1373</v>
      </c>
      <c r="D635" s="32"/>
      <c r="E635" s="10"/>
      <c r="F635" s="33">
        <f>Source!AN153</f>
        <v>0.64</v>
      </c>
      <c r="G635" s="34" t="str">
        <f>Source!DF153</f>
        <v>)*1,35</v>
      </c>
      <c r="H635" s="35">
        <f>ROUND(Source!AE153*Source!I153, 2)</f>
        <v>0.03</v>
      </c>
      <c r="I635" s="34"/>
      <c r="J635" s="34">
        <f>IF(Source!BS153&lt;&gt; 0, Source!BS153, 1)</f>
        <v>33.65</v>
      </c>
      <c r="K635" s="35">
        <f>Source!R153</f>
        <v>0.87</v>
      </c>
      <c r="Q635">
        <f>H635</f>
        <v>0.03</v>
      </c>
    </row>
    <row r="636" spans="1:25" ht="14.25" x14ac:dyDescent="0.2">
      <c r="A636" s="20"/>
      <c r="B636" s="43"/>
      <c r="C636" s="43" t="s">
        <v>1400</v>
      </c>
      <c r="D636" s="32"/>
      <c r="E636" s="10"/>
      <c r="F636" s="33">
        <f>Source!AL153</f>
        <v>105.83</v>
      </c>
      <c r="G636" s="34" t="str">
        <f>Source!DD153</f>
        <v/>
      </c>
      <c r="H636" s="33">
        <f>ROUND(Source!AC153*Source!I153, 2)</f>
        <v>3.17</v>
      </c>
      <c r="I636" s="34"/>
      <c r="J636" s="34">
        <f>IF(Source!BC153&lt;&gt; 0, Source!BC153, 1)</f>
        <v>6.85</v>
      </c>
      <c r="K636" s="33">
        <f>Source!P153</f>
        <v>21.75</v>
      </c>
    </row>
    <row r="637" spans="1:25" ht="14.25" x14ac:dyDescent="0.2">
      <c r="A637" s="20"/>
      <c r="B637" s="43"/>
      <c r="C637" s="43" t="s">
        <v>1374</v>
      </c>
      <c r="D637" s="32" t="s">
        <v>1375</v>
      </c>
      <c r="E637" s="10">
        <f>Source!BZ153</f>
        <v>95</v>
      </c>
      <c r="F637" s="46"/>
      <c r="G637" s="34"/>
      <c r="H637" s="33">
        <f>SUM(R631:R640)</f>
        <v>12.09</v>
      </c>
      <c r="I637" s="36"/>
      <c r="J637" s="31">
        <f>Source!AT153</f>
        <v>95</v>
      </c>
      <c r="K637" s="33">
        <f>SUM(S631:S640)</f>
        <v>406.67</v>
      </c>
    </row>
    <row r="638" spans="1:25" ht="14.25" x14ac:dyDescent="0.2">
      <c r="A638" s="20"/>
      <c r="B638" s="43"/>
      <c r="C638" s="43" t="s">
        <v>1376</v>
      </c>
      <c r="D638" s="32" t="s">
        <v>1375</v>
      </c>
      <c r="E638" s="10">
        <f>Source!CA153</f>
        <v>65</v>
      </c>
      <c r="F638" s="46"/>
      <c r="G638" s="34"/>
      <c r="H638" s="33">
        <f>SUM(T631:T640)</f>
        <v>8.27</v>
      </c>
      <c r="I638" s="36"/>
      <c r="J638" s="31">
        <f>Source!AU153</f>
        <v>65</v>
      </c>
      <c r="K638" s="33">
        <f>SUM(U631:U640)</f>
        <v>278.25</v>
      </c>
    </row>
    <row r="639" spans="1:25" ht="14.25" x14ac:dyDescent="0.2">
      <c r="A639" s="20"/>
      <c r="B639" s="43"/>
      <c r="C639" s="43" t="s">
        <v>1377</v>
      </c>
      <c r="D639" s="32" t="s">
        <v>1378</v>
      </c>
      <c r="E639" s="10">
        <f>Source!AQ153</f>
        <v>31.6</v>
      </c>
      <c r="F639" s="33"/>
      <c r="G639" s="34" t="str">
        <f>Source!DI153</f>
        <v>)*1,35</v>
      </c>
      <c r="H639" s="33"/>
      <c r="I639" s="34"/>
      <c r="J639" s="34"/>
      <c r="K639" s="33"/>
    </row>
    <row r="640" spans="1:25" ht="14.25" x14ac:dyDescent="0.2">
      <c r="A640" s="44"/>
      <c r="B640" s="45" t="str">
        <f>Source!F154</f>
        <v>62.3.02.03-3439</v>
      </c>
      <c r="C640" s="45" t="str">
        <f>Source!G154</f>
        <v>Выключатель одноклавишный</v>
      </c>
      <c r="D640" s="37" t="str">
        <f>Source!H154</f>
        <v>ШТ</v>
      </c>
      <c r="E640" s="38">
        <f>Source!I154</f>
        <v>3</v>
      </c>
      <c r="F640" s="39">
        <f>Source!AL154+Source!AM154+Source!AO154</f>
        <v>51.2</v>
      </c>
      <c r="G640" s="41" t="s">
        <v>1385</v>
      </c>
      <c r="H640" s="39">
        <f>ROUND(Source!AC154*Source!I154, 2)+ROUND(Source!AD154*Source!I154, 2)+ROUND(Source!AF154*Source!I154, 2)</f>
        <v>153.6</v>
      </c>
      <c r="I640" s="40"/>
      <c r="J640" s="40">
        <f>IF(Source!BC154&lt;&gt; 0, Source!BC154, 1)</f>
        <v>6.79</v>
      </c>
      <c r="K640" s="39">
        <f>Source!O154</f>
        <v>1042.94</v>
      </c>
      <c r="R640">
        <f>ROUND((Source!FX154/100)*((ROUND(Source!AF154*Source!I154, 2)+ROUND(Source!AE154*Source!I154, 2))), 2)</f>
        <v>0</v>
      </c>
      <c r="S640">
        <f>Source!X154</f>
        <v>0</v>
      </c>
      <c r="T640">
        <f>ROUND((Source!FY154/100)*((ROUND(Source!AF154*Source!I154, 2)+ROUND(Source!AE154*Source!I154, 2))), 2)</f>
        <v>0</v>
      </c>
      <c r="U640">
        <f>Source!Y154</f>
        <v>0</v>
      </c>
      <c r="V640">
        <f>IF(Source!BI154&lt;=1,H640, 0)</f>
        <v>0</v>
      </c>
      <c r="W640">
        <f>IF(Source!BI154=2,H640, 0)</f>
        <v>153.6</v>
      </c>
      <c r="X640">
        <f>IF(Source!BI154=3,H640, 0)</f>
        <v>0</v>
      </c>
      <c r="Y640">
        <f>IF(Source!BI154=4,H640, 0)</f>
        <v>0</v>
      </c>
    </row>
    <row r="641" spans="1:25" ht="15" x14ac:dyDescent="0.25">
      <c r="G641" s="76">
        <f>H633+H634+H636+H637+H638+SUM(H640:H640)</f>
        <v>190.01999999999998</v>
      </c>
      <c r="H641" s="76"/>
      <c r="J641" s="76">
        <f>K633+K634+K636+K637+K638+SUM(K640:K640)</f>
        <v>2178.7399999999998</v>
      </c>
      <c r="K641" s="76"/>
      <c r="N641" s="28">
        <f>G641</f>
        <v>190.01999999999998</v>
      </c>
      <c r="O641" s="28">
        <f>J641</f>
        <v>2178.7399999999998</v>
      </c>
      <c r="P641" s="28" t="e">
        <f>#REF!</f>
        <v>#REF!</v>
      </c>
      <c r="V641">
        <f>IF(Source!BI153&lt;=1,H633+H634+H636+H637+H638, 0)</f>
        <v>0</v>
      </c>
      <c r="W641">
        <f>IF(Source!BI153=2,H633+H634+H636+H637+H638, 0)</f>
        <v>36.42</v>
      </c>
      <c r="X641">
        <f>IF(Source!BI153=3,H633+H634+H636+H637+H638, 0)</f>
        <v>0</v>
      </c>
      <c r="Y641">
        <f>IF(Source!BI153=4,H633+H634+H636+H637+H638, 0)</f>
        <v>0</v>
      </c>
    </row>
    <row r="642" spans="1:25" ht="65.25" x14ac:dyDescent="0.2">
      <c r="A642" s="20" t="str">
        <f>Source!E155</f>
        <v>61</v>
      </c>
      <c r="B642" s="43" t="s">
        <v>1438</v>
      </c>
      <c r="C642" s="43" t="str">
        <f>Source!G155</f>
        <v>Монтаж тепловой завесы 3-х фазной 6 кВт с настенным пультом (в тамбуре)</v>
      </c>
      <c r="D642" s="32" t="str">
        <f>Source!H155</f>
        <v>ШТ</v>
      </c>
      <c r="E642" s="10">
        <f>Source!I155</f>
        <v>1</v>
      </c>
      <c r="F642" s="33">
        <f>Source!AL155+Source!AM155+Source!AO155</f>
        <v>19.690000000000001</v>
      </c>
      <c r="G642" s="34"/>
      <c r="H642" s="33"/>
      <c r="I642" s="34" t="str">
        <f>Source!BO155</f>
        <v>м08-03-605-01</v>
      </c>
      <c r="J642" s="34"/>
      <c r="K642" s="33"/>
      <c r="R642">
        <f>ROUND((Source!FX155/100)*((ROUND(Source!AF155*Source!I155, 2)+ROUND(Source!AE155*Source!I155, 2))), 2)</f>
        <v>14.21</v>
      </c>
      <c r="S642">
        <f>Source!X155</f>
        <v>478.24</v>
      </c>
      <c r="T642">
        <f>ROUND((Source!FY155/100)*((ROUND(Source!AF155*Source!I155, 2)+ROUND(Source!AE155*Source!I155, 2))), 2)</f>
        <v>9.7200000000000006</v>
      </c>
      <c r="U642">
        <f>Source!Y155</f>
        <v>327.22000000000003</v>
      </c>
    </row>
    <row r="643" spans="1:25" ht="14.25" x14ac:dyDescent="0.2">
      <c r="A643" s="20"/>
      <c r="B643" s="43"/>
      <c r="C643" s="43" t="s">
        <v>1372</v>
      </c>
      <c r="D643" s="32"/>
      <c r="E643" s="10"/>
      <c r="F643" s="33">
        <f>Source!AO155</f>
        <v>9.82</v>
      </c>
      <c r="G643" s="34" t="str">
        <f>Source!DG155</f>
        <v>)*1,35</v>
      </c>
      <c r="H643" s="33">
        <f>ROUND(Source!AF155*Source!I155, 2)</f>
        <v>13.26</v>
      </c>
      <c r="I643" s="34"/>
      <c r="J643" s="34">
        <f>IF(Source!BA155&lt;&gt; 0, Source!BA155, 1)</f>
        <v>33.65</v>
      </c>
      <c r="K643" s="33">
        <f>Source!S155</f>
        <v>446.2</v>
      </c>
      <c r="Q643">
        <f>H643</f>
        <v>13.26</v>
      </c>
    </row>
    <row r="644" spans="1:25" ht="14.25" x14ac:dyDescent="0.2">
      <c r="A644" s="20"/>
      <c r="B644" s="43"/>
      <c r="C644" s="43" t="s">
        <v>646</v>
      </c>
      <c r="D644" s="32"/>
      <c r="E644" s="10"/>
      <c r="F644" s="33">
        <f>Source!AM155</f>
        <v>9.06</v>
      </c>
      <c r="G644" s="34" t="str">
        <f>Source!DE155</f>
        <v>)*1,35</v>
      </c>
      <c r="H644" s="33">
        <f>ROUND(Source!AD155*Source!I155, 2)</f>
        <v>12.23</v>
      </c>
      <c r="I644" s="34"/>
      <c r="J644" s="34">
        <f>IF(Source!BB155&lt;&gt; 0, Source!BB155, 1)</f>
        <v>10.220000000000001</v>
      </c>
      <c r="K644" s="33">
        <f>Source!Q155</f>
        <v>124.99</v>
      </c>
    </row>
    <row r="645" spans="1:25" ht="14.25" x14ac:dyDescent="0.2">
      <c r="A645" s="20"/>
      <c r="B645" s="43"/>
      <c r="C645" s="43" t="s">
        <v>1373</v>
      </c>
      <c r="D645" s="32"/>
      <c r="E645" s="10"/>
      <c r="F645" s="33">
        <f>Source!AN155</f>
        <v>1.26</v>
      </c>
      <c r="G645" s="34" t="str">
        <f>Source!DF155</f>
        <v>)*1,35</v>
      </c>
      <c r="H645" s="35">
        <f>ROUND(Source!AE155*Source!I155, 2)</f>
        <v>1.7</v>
      </c>
      <c r="I645" s="34"/>
      <c r="J645" s="34">
        <f>IF(Source!BS155&lt;&gt; 0, Source!BS155, 1)</f>
        <v>33.65</v>
      </c>
      <c r="K645" s="35">
        <f>Source!R155</f>
        <v>57.21</v>
      </c>
      <c r="Q645">
        <f>H645</f>
        <v>1.7</v>
      </c>
    </row>
    <row r="646" spans="1:25" ht="14.25" x14ac:dyDescent="0.2">
      <c r="A646" s="20"/>
      <c r="B646" s="43"/>
      <c r="C646" s="43" t="s">
        <v>1400</v>
      </c>
      <c r="D646" s="32"/>
      <c r="E646" s="10"/>
      <c r="F646" s="33">
        <f>Source!AL155</f>
        <v>0.81</v>
      </c>
      <c r="G646" s="34" t="str">
        <f>Source!DD155</f>
        <v/>
      </c>
      <c r="H646" s="33">
        <f>ROUND(Source!AC155*Source!I155, 2)</f>
        <v>0.81</v>
      </c>
      <c r="I646" s="34"/>
      <c r="J646" s="34">
        <f>IF(Source!BC155&lt;&gt; 0, Source!BC155, 1)</f>
        <v>14.2</v>
      </c>
      <c r="K646" s="33">
        <f>Source!P155</f>
        <v>11.5</v>
      </c>
    </row>
    <row r="647" spans="1:25" ht="14.25" x14ac:dyDescent="0.2">
      <c r="A647" s="20"/>
      <c r="B647" s="43"/>
      <c r="C647" s="43" t="s">
        <v>1374</v>
      </c>
      <c r="D647" s="32" t="s">
        <v>1375</v>
      </c>
      <c r="E647" s="10">
        <f>Source!BZ155</f>
        <v>95</v>
      </c>
      <c r="F647" s="46"/>
      <c r="G647" s="34"/>
      <c r="H647" s="33">
        <f>SUM(R642:R650)</f>
        <v>14.21</v>
      </c>
      <c r="I647" s="36"/>
      <c r="J647" s="31">
        <f>Source!AT155</f>
        <v>95</v>
      </c>
      <c r="K647" s="33">
        <f>SUM(S642:S650)</f>
        <v>478.24</v>
      </c>
    </row>
    <row r="648" spans="1:25" ht="14.25" x14ac:dyDescent="0.2">
      <c r="A648" s="20"/>
      <c r="B648" s="43"/>
      <c r="C648" s="43" t="s">
        <v>1376</v>
      </c>
      <c r="D648" s="32" t="s">
        <v>1375</v>
      </c>
      <c r="E648" s="10">
        <f>Source!CA155</f>
        <v>65</v>
      </c>
      <c r="F648" s="46"/>
      <c r="G648" s="34"/>
      <c r="H648" s="33">
        <f>SUM(T642:T650)</f>
        <v>9.7200000000000006</v>
      </c>
      <c r="I648" s="36"/>
      <c r="J648" s="31">
        <f>Source!AU155</f>
        <v>65</v>
      </c>
      <c r="K648" s="33">
        <f>SUM(U642:U650)</f>
        <v>327.22000000000003</v>
      </c>
    </row>
    <row r="649" spans="1:25" ht="14.25" x14ac:dyDescent="0.2">
      <c r="A649" s="20"/>
      <c r="B649" s="43"/>
      <c r="C649" s="43" t="s">
        <v>1377</v>
      </c>
      <c r="D649" s="32" t="s">
        <v>1378</v>
      </c>
      <c r="E649" s="10">
        <f>Source!AQ155</f>
        <v>0.99</v>
      </c>
      <c r="F649" s="33"/>
      <c r="G649" s="34" t="str">
        <f>Source!DI155</f>
        <v>)*1,35</v>
      </c>
      <c r="H649" s="33"/>
      <c r="I649" s="34"/>
      <c r="J649" s="34"/>
      <c r="K649" s="33"/>
    </row>
    <row r="650" spans="1:25" ht="72.75" customHeight="1" x14ac:dyDescent="0.2">
      <c r="A650" s="44"/>
      <c r="B650" s="45" t="str">
        <f>Source!F156</f>
        <v>64.5.01.02-0006</v>
      </c>
      <c r="C650" s="45" t="str">
        <f>Source!G156</f>
        <v>Завесы воздушные электрические для горизонтальной и вертикальной установки напряжением 220/380 В, мощностью 3/6 кВт, расходом воздуха 1500 м3/час, подогревом воздуха 12-15°</v>
      </c>
      <c r="D650" s="37" t="str">
        <f>Source!H156</f>
        <v>ШТ</v>
      </c>
      <c r="E650" s="38">
        <f>Source!I156</f>
        <v>1</v>
      </c>
      <c r="F650" s="39">
        <f>Source!AL156+Source!AM156+Source!AO156</f>
        <v>1855.62</v>
      </c>
      <c r="G650" s="41" t="s">
        <v>1385</v>
      </c>
      <c r="H650" s="39">
        <f>ROUND(Source!AC156*Source!I156, 2)+ROUND(Source!AD156*Source!I156, 2)+ROUND(Source!AF156*Source!I156, 2)</f>
        <v>1855.62</v>
      </c>
      <c r="I650" s="40"/>
      <c r="J650" s="40">
        <f>IF(Source!BC156&lt;&gt; 0, Source!BC156, 1)</f>
        <v>5.85</v>
      </c>
      <c r="K650" s="39">
        <f>Source!O156</f>
        <v>10855.38</v>
      </c>
      <c r="R650">
        <f>ROUND((Source!FX156/100)*((ROUND(Source!AF156*Source!I156, 2)+ROUND(Source!AE156*Source!I156, 2))), 2)</f>
        <v>0</v>
      </c>
      <c r="S650">
        <f>Source!X156</f>
        <v>0</v>
      </c>
      <c r="T650">
        <f>ROUND((Source!FY156/100)*((ROUND(Source!AF156*Source!I156, 2)+ROUND(Source!AE156*Source!I156, 2))), 2)</f>
        <v>0</v>
      </c>
      <c r="U650">
        <f>Source!Y156</f>
        <v>0</v>
      </c>
      <c r="V650">
        <f>IF(Source!BI156&lt;=1,H650, 0)</f>
        <v>0</v>
      </c>
      <c r="W650">
        <f>IF(Source!BI156=2,H650, 0)</f>
        <v>1855.62</v>
      </c>
      <c r="X650">
        <f>IF(Source!BI156=3,H650, 0)</f>
        <v>0</v>
      </c>
      <c r="Y650">
        <f>IF(Source!BI156=4,H650, 0)</f>
        <v>0</v>
      </c>
    </row>
    <row r="651" spans="1:25" ht="15" x14ac:dyDescent="0.25">
      <c r="G651" s="76">
        <f>H643+H644+H646+H647+H648+SUM(H650:H650)</f>
        <v>1905.85</v>
      </c>
      <c r="H651" s="76"/>
      <c r="J651" s="76">
        <f>K643+K644+K646+K647+K648+SUM(K650:K650)</f>
        <v>12243.529999999999</v>
      </c>
      <c r="K651" s="76"/>
      <c r="N651" s="28">
        <f>G651</f>
        <v>1905.85</v>
      </c>
      <c r="O651" s="28">
        <f>J651</f>
        <v>12243.529999999999</v>
      </c>
      <c r="P651" s="28" t="e">
        <f>#REF!</f>
        <v>#REF!</v>
      </c>
      <c r="V651">
        <f>IF(Source!BI155&lt;=1,H643+H644+H646+H647+H648, 0)</f>
        <v>0</v>
      </c>
      <c r="W651">
        <f>IF(Source!BI155=2,H643+H644+H646+H647+H648, 0)</f>
        <v>50.230000000000004</v>
      </c>
      <c r="X651">
        <f>IF(Source!BI155=3,H643+H644+H646+H647+H648, 0)</f>
        <v>0</v>
      </c>
      <c r="Y651">
        <f>IF(Source!BI155=4,H643+H644+H646+H647+H648, 0)</f>
        <v>0</v>
      </c>
    </row>
    <row r="652" spans="1:25" ht="65.25" x14ac:dyDescent="0.2">
      <c r="A652" s="20" t="str">
        <f>Source!E157</f>
        <v>62</v>
      </c>
      <c r="B652" s="43" t="s">
        <v>1439</v>
      </c>
      <c r="C652" s="43" t="str">
        <f>Source!G157</f>
        <v>Труба гофрированная ПВХ для защиты проводов и кабелей по установленным конструкциям, по стенам, колоннам, потолкам, основанию пола/Монтаж</v>
      </c>
      <c r="D652" s="32" t="str">
        <f>Source!H157</f>
        <v>100 м</v>
      </c>
      <c r="E652" s="10">
        <f>Source!I157</f>
        <v>1.22</v>
      </c>
      <c r="F652" s="33">
        <f>Source!AL157+Source!AM157+Source!AO157</f>
        <v>156.32999999999998</v>
      </c>
      <c r="G652" s="34"/>
      <c r="H652" s="33"/>
      <c r="I652" s="34" t="str">
        <f>Source!BO157</f>
        <v>м08-02-409-09</v>
      </c>
      <c r="J652" s="34"/>
      <c r="K652" s="33"/>
      <c r="R652">
        <f>ROUND((Source!FX157/100)*((ROUND(Source!AF157*Source!I157, 2)+ROUND(Source!AE157*Source!I157, 2))), 2)</f>
        <v>218.33</v>
      </c>
      <c r="S652">
        <f>Source!X157</f>
        <v>7346.88</v>
      </c>
      <c r="T652">
        <f>ROUND((Source!FY157/100)*((ROUND(Source!AF157*Source!I157, 2)+ROUND(Source!AE157*Source!I157, 2))), 2)</f>
        <v>149.38</v>
      </c>
      <c r="U652">
        <f>Source!Y157</f>
        <v>5026.8100000000004</v>
      </c>
    </row>
    <row r="653" spans="1:25" x14ac:dyDescent="0.2">
      <c r="C653" s="27" t="str">
        <f>"Объем: "&amp;Source!I157&amp;"=122/"&amp;"100"</f>
        <v>Объем: 1,22=122/100</v>
      </c>
    </row>
    <row r="654" spans="1:25" ht="14.25" x14ac:dyDescent="0.2">
      <c r="A654" s="20"/>
      <c r="B654" s="43"/>
      <c r="C654" s="43" t="s">
        <v>1372</v>
      </c>
      <c r="D654" s="32"/>
      <c r="E654" s="10"/>
      <c r="F654" s="33">
        <f>Source!AO157</f>
        <v>139.54</v>
      </c>
      <c r="G654" s="34" t="str">
        <f>Source!DG157</f>
        <v>)*1,35</v>
      </c>
      <c r="H654" s="33">
        <f>ROUND(Source!AF157*Source!I157, 2)</f>
        <v>229.82</v>
      </c>
      <c r="I654" s="34"/>
      <c r="J654" s="34">
        <f>IF(Source!BA157&lt;&gt; 0, Source!BA157, 1)</f>
        <v>33.65</v>
      </c>
      <c r="K654" s="33">
        <f>Source!S157</f>
        <v>7733.56</v>
      </c>
      <c r="Q654">
        <f>H654</f>
        <v>229.82</v>
      </c>
    </row>
    <row r="655" spans="1:25" ht="14.25" x14ac:dyDescent="0.2">
      <c r="A655" s="20"/>
      <c r="B655" s="43"/>
      <c r="C655" s="43" t="s">
        <v>1400</v>
      </c>
      <c r="D655" s="32"/>
      <c r="E655" s="10"/>
      <c r="F655" s="33">
        <f>Source!AL157</f>
        <v>16.79</v>
      </c>
      <c r="G655" s="34" t="str">
        <f>Source!DD157</f>
        <v/>
      </c>
      <c r="H655" s="33">
        <f>ROUND(Source!AC157*Source!I157, 2)</f>
        <v>20.48</v>
      </c>
      <c r="I655" s="34"/>
      <c r="J655" s="34">
        <f>IF(Source!BC157&lt;&gt; 0, Source!BC157, 1)</f>
        <v>16.43</v>
      </c>
      <c r="K655" s="33">
        <f>Source!P157</f>
        <v>336.55</v>
      </c>
    </row>
    <row r="656" spans="1:25" ht="14.25" x14ac:dyDescent="0.2">
      <c r="A656" s="20"/>
      <c r="B656" s="43"/>
      <c r="C656" s="43" t="s">
        <v>1374</v>
      </c>
      <c r="D656" s="32" t="s">
        <v>1375</v>
      </c>
      <c r="E656" s="10">
        <f>Source!BZ157</f>
        <v>95</v>
      </c>
      <c r="F656" s="46"/>
      <c r="G656" s="34"/>
      <c r="H656" s="33">
        <f>SUM(R652:R660)</f>
        <v>218.33</v>
      </c>
      <c r="I656" s="36"/>
      <c r="J656" s="31">
        <f>Source!AT157</f>
        <v>95</v>
      </c>
      <c r="K656" s="33">
        <f>SUM(S652:S660)</f>
        <v>7346.88</v>
      </c>
    </row>
    <row r="657" spans="1:25" ht="14.25" x14ac:dyDescent="0.2">
      <c r="A657" s="20"/>
      <c r="B657" s="43"/>
      <c r="C657" s="43" t="s">
        <v>1376</v>
      </c>
      <c r="D657" s="32" t="s">
        <v>1375</v>
      </c>
      <c r="E657" s="10">
        <f>Source!CA157</f>
        <v>65</v>
      </c>
      <c r="F657" s="46"/>
      <c r="G657" s="34"/>
      <c r="H657" s="33">
        <f>SUM(T652:T660)</f>
        <v>149.38</v>
      </c>
      <c r="I657" s="36"/>
      <c r="J657" s="31">
        <f>Source!AU157</f>
        <v>65</v>
      </c>
      <c r="K657" s="33">
        <f>SUM(U652:U660)</f>
        <v>5026.8100000000004</v>
      </c>
    </row>
    <row r="658" spans="1:25" ht="14.25" x14ac:dyDescent="0.2">
      <c r="A658" s="20"/>
      <c r="B658" s="43"/>
      <c r="C658" s="43" t="s">
        <v>1377</v>
      </c>
      <c r="D658" s="32" t="s">
        <v>1378</v>
      </c>
      <c r="E658" s="10">
        <f>Source!AQ157</f>
        <v>15.2</v>
      </c>
      <c r="F658" s="33"/>
      <c r="G658" s="34" t="str">
        <f>Source!DI157</f>
        <v>)*1,35</v>
      </c>
      <c r="H658" s="33"/>
      <c r="I658" s="34"/>
      <c r="J658" s="34"/>
      <c r="K658" s="33"/>
    </row>
    <row r="659" spans="1:25" ht="28.5" x14ac:dyDescent="0.2">
      <c r="A659" s="20"/>
      <c r="B659" s="43" t="str">
        <f>Source!F158</f>
        <v>20.2.05.02-0011</v>
      </c>
      <c r="C659" s="43" t="str">
        <f>Source!G158</f>
        <v>Держатель пластмассовый с защелкой для труб диаметром 25 мм</v>
      </c>
      <c r="D659" s="32" t="str">
        <f>Source!H158</f>
        <v>100 ШТ</v>
      </c>
      <c r="E659" s="10">
        <f>Source!I158</f>
        <v>1.22</v>
      </c>
      <c r="F659" s="33">
        <f>Source!AL158+Source!AM158+Source!AO158</f>
        <v>38</v>
      </c>
      <c r="G659" s="42" t="s">
        <v>1385</v>
      </c>
      <c r="H659" s="33">
        <f>ROUND(Source!AC158*Source!I158, 2)+ROUND(Source!AD158*Source!I158, 2)+ROUND(Source!AF158*Source!I158, 2)</f>
        <v>46.36</v>
      </c>
      <c r="I659" s="34"/>
      <c r="J659" s="34">
        <f>IF(Source!BC158&lt;&gt; 0, Source!BC158, 1)</f>
        <v>11.13</v>
      </c>
      <c r="K659" s="33">
        <f>Source!O158</f>
        <v>515.99</v>
      </c>
      <c r="R659">
        <f>ROUND((Source!FX158/100)*((ROUND(Source!AF158*Source!I158, 2)+ROUND(Source!AE158*Source!I158, 2))), 2)</f>
        <v>0</v>
      </c>
      <c r="S659">
        <f>Source!X158</f>
        <v>0</v>
      </c>
      <c r="T659">
        <f>ROUND((Source!FY158/100)*((ROUND(Source!AF158*Source!I158, 2)+ROUND(Source!AE158*Source!I158, 2))), 2)</f>
        <v>0</v>
      </c>
      <c r="U659">
        <f>Source!Y158</f>
        <v>0</v>
      </c>
      <c r="V659">
        <f>IF(Source!BI158&lt;=1,H659, 0)</f>
        <v>0</v>
      </c>
      <c r="W659">
        <f>IF(Source!BI158=2,H659, 0)</f>
        <v>46.36</v>
      </c>
      <c r="X659">
        <f>IF(Source!BI158=3,H659, 0)</f>
        <v>0</v>
      </c>
      <c r="Y659">
        <f>IF(Source!BI158=4,H659, 0)</f>
        <v>0</v>
      </c>
    </row>
    <row r="660" spans="1:25" ht="28.5" x14ac:dyDescent="0.2">
      <c r="A660" s="44"/>
      <c r="B660" s="45" t="str">
        <f>Source!F159</f>
        <v>20.2.12.03-0011</v>
      </c>
      <c r="C660" s="45" t="str">
        <f>Source!G159</f>
        <v>Трубы для электропроводки из ПВХ гофрированные гибкие, диаметр 20 мм</v>
      </c>
      <c r="D660" s="37" t="str">
        <f>Source!H159</f>
        <v>м</v>
      </c>
      <c r="E660" s="38">
        <f>Source!I159</f>
        <v>122</v>
      </c>
      <c r="F660" s="39">
        <f>Source!AL159+Source!AM159+Source!AO159</f>
        <v>1.24</v>
      </c>
      <c r="G660" s="41" t="s">
        <v>1385</v>
      </c>
      <c r="H660" s="39">
        <f>ROUND(Source!AC159*Source!I159, 2)+ROUND(Source!AD159*Source!I159, 2)+ROUND(Source!AF159*Source!I159, 2)</f>
        <v>151.28</v>
      </c>
      <c r="I660" s="40"/>
      <c r="J660" s="40">
        <f>IF(Source!BC159&lt;&gt; 0, Source!BC159, 1)</f>
        <v>8.0299999999999994</v>
      </c>
      <c r="K660" s="39">
        <f>Source!O159</f>
        <v>1214.78</v>
      </c>
      <c r="R660">
        <f>ROUND((Source!FX159/100)*((ROUND(Source!AF159*Source!I159, 2)+ROUND(Source!AE159*Source!I159, 2))), 2)</f>
        <v>0</v>
      </c>
      <c r="S660">
        <f>Source!X159</f>
        <v>0</v>
      </c>
      <c r="T660">
        <f>ROUND((Source!FY159/100)*((ROUND(Source!AF159*Source!I159, 2)+ROUND(Source!AE159*Source!I159, 2))), 2)</f>
        <v>0</v>
      </c>
      <c r="U660">
        <f>Source!Y159</f>
        <v>0</v>
      </c>
      <c r="V660">
        <f>IF(Source!BI159&lt;=1,H660, 0)</f>
        <v>0</v>
      </c>
      <c r="W660">
        <f>IF(Source!BI159=2,H660, 0)</f>
        <v>151.28</v>
      </c>
      <c r="X660">
        <f>IF(Source!BI159=3,H660, 0)</f>
        <v>0</v>
      </c>
      <c r="Y660">
        <f>IF(Source!BI159=4,H660, 0)</f>
        <v>0</v>
      </c>
    </row>
    <row r="661" spans="1:25" ht="15" x14ac:dyDescent="0.25">
      <c r="G661" s="76">
        <f>H654+H655+H656+H657+SUM(H659:H660)</f>
        <v>815.65</v>
      </c>
      <c r="H661" s="76"/>
      <c r="J661" s="76">
        <f>K654+K655+K656+K657+SUM(K659:K660)</f>
        <v>22174.570000000003</v>
      </c>
      <c r="K661" s="76"/>
      <c r="N661" s="28">
        <f>G661</f>
        <v>815.65</v>
      </c>
      <c r="O661" s="28">
        <f>J661</f>
        <v>22174.570000000003</v>
      </c>
      <c r="P661" s="28" t="e">
        <f>#REF!</f>
        <v>#REF!</v>
      </c>
      <c r="V661">
        <f>IF(Source!BI157&lt;=1,H654+H655+H656+H657, 0)</f>
        <v>0</v>
      </c>
      <c r="W661">
        <f>IF(Source!BI157=2,H654+H655+H656+H657, 0)</f>
        <v>618.01</v>
      </c>
      <c r="X661">
        <f>IF(Source!BI157=3,H654+H655+H656+H657, 0)</f>
        <v>0</v>
      </c>
      <c r="Y661">
        <f>IF(Source!BI157=4,H654+H655+H656+H657, 0)</f>
        <v>0</v>
      </c>
    </row>
    <row r="662" spans="1:25" ht="71.25" x14ac:dyDescent="0.2">
      <c r="A662" s="20" t="str">
        <f>Source!E160</f>
        <v>63</v>
      </c>
      <c r="B662" s="43" t="s">
        <v>1440</v>
      </c>
      <c r="C662" s="43" t="str">
        <f>Source!G160</f>
        <v>Затягивание провода в проложенные трубы и металлические рукава первого одножильного или многожильного в общей оплетке, суммарное сечение: до 16 мм2</v>
      </c>
      <c r="D662" s="32" t="str">
        <f>Source!H160</f>
        <v>100 м</v>
      </c>
      <c r="E662" s="10">
        <f>Source!I160</f>
        <v>1.22</v>
      </c>
      <c r="F662" s="33">
        <f>Source!AL160+Source!AM160+Source!AO160</f>
        <v>87.25</v>
      </c>
      <c r="G662" s="34"/>
      <c r="H662" s="33"/>
      <c r="I662" s="34" t="str">
        <f>Source!BO160</f>
        <v>м08-02-412-03</v>
      </c>
      <c r="J662" s="34"/>
      <c r="K662" s="33"/>
      <c r="R662">
        <f>ROUND((Source!FX160/100)*((ROUND(Source!AF160*Source!I160, 2)+ROUND(Source!AE160*Source!I160, 2))), 2)</f>
        <v>93.72</v>
      </c>
      <c r="S662">
        <f>Source!X160</f>
        <v>3153.56</v>
      </c>
      <c r="T662">
        <f>ROUND((Source!FY160/100)*((ROUND(Source!AF160*Source!I160, 2)+ROUND(Source!AE160*Source!I160, 2))), 2)</f>
        <v>64.12</v>
      </c>
      <c r="U662">
        <f>Source!Y160</f>
        <v>2157.6999999999998</v>
      </c>
    </row>
    <row r="663" spans="1:25" x14ac:dyDescent="0.2">
      <c r="C663" s="27" t="str">
        <f>"Объем: "&amp;Source!I160&amp;"=122/"&amp;"100"</f>
        <v>Объем: 1,22=122/100</v>
      </c>
    </row>
    <row r="664" spans="1:25" ht="14.25" x14ac:dyDescent="0.2">
      <c r="A664" s="20"/>
      <c r="B664" s="43"/>
      <c r="C664" s="43" t="s">
        <v>1372</v>
      </c>
      <c r="D664" s="32"/>
      <c r="E664" s="10"/>
      <c r="F664" s="33">
        <f>Source!AO160</f>
        <v>59.13</v>
      </c>
      <c r="G664" s="34" t="str">
        <f>Source!DG160</f>
        <v>)*1,35</v>
      </c>
      <c r="H664" s="33">
        <f>ROUND(Source!AF160*Source!I160, 2)</f>
        <v>97.39</v>
      </c>
      <c r="I664" s="34"/>
      <c r="J664" s="34">
        <f>IF(Source!BA160&lt;&gt; 0, Source!BA160, 1)</f>
        <v>33.65</v>
      </c>
      <c r="K664" s="33">
        <f>Source!S160</f>
        <v>3277.26</v>
      </c>
      <c r="Q664">
        <f>H664</f>
        <v>97.39</v>
      </c>
    </row>
    <row r="665" spans="1:25" ht="14.25" x14ac:dyDescent="0.2">
      <c r="A665" s="20"/>
      <c r="B665" s="43"/>
      <c r="C665" s="43" t="s">
        <v>646</v>
      </c>
      <c r="D665" s="32"/>
      <c r="E665" s="10"/>
      <c r="F665" s="33">
        <f>Source!AM160</f>
        <v>5.43</v>
      </c>
      <c r="G665" s="34" t="str">
        <f>Source!DE160</f>
        <v>)*1,35</v>
      </c>
      <c r="H665" s="33">
        <f>ROUND(Source!AD160*Source!I160, 2)</f>
        <v>8.94</v>
      </c>
      <c r="I665" s="34"/>
      <c r="J665" s="34">
        <f>IF(Source!BB160&lt;&gt; 0, Source!BB160, 1)</f>
        <v>10.220000000000001</v>
      </c>
      <c r="K665" s="33">
        <f>Source!Q160</f>
        <v>91.39</v>
      </c>
    </row>
    <row r="666" spans="1:25" ht="14.25" x14ac:dyDescent="0.2">
      <c r="A666" s="20"/>
      <c r="B666" s="43"/>
      <c r="C666" s="43" t="s">
        <v>1373</v>
      </c>
      <c r="D666" s="32"/>
      <c r="E666" s="10"/>
      <c r="F666" s="33">
        <f>Source!AN160</f>
        <v>0.76</v>
      </c>
      <c r="G666" s="34" t="str">
        <f>Source!DF160</f>
        <v>)*1,35</v>
      </c>
      <c r="H666" s="35">
        <f>ROUND(Source!AE160*Source!I160, 2)</f>
        <v>1.26</v>
      </c>
      <c r="I666" s="34"/>
      <c r="J666" s="34">
        <f>IF(Source!BS160&lt;&gt; 0, Source!BS160, 1)</f>
        <v>33.65</v>
      </c>
      <c r="K666" s="35">
        <f>Source!R160</f>
        <v>42.28</v>
      </c>
      <c r="Q666">
        <f>H666</f>
        <v>1.26</v>
      </c>
    </row>
    <row r="667" spans="1:25" ht="14.25" x14ac:dyDescent="0.2">
      <c r="A667" s="20"/>
      <c r="B667" s="43"/>
      <c r="C667" s="43" t="s">
        <v>1400</v>
      </c>
      <c r="D667" s="32"/>
      <c r="E667" s="10"/>
      <c r="F667" s="33">
        <f>Source!AL160</f>
        <v>22.69</v>
      </c>
      <c r="G667" s="34" t="str">
        <f>Source!DD160</f>
        <v/>
      </c>
      <c r="H667" s="33">
        <f>ROUND(Source!AC160*Source!I160, 2)</f>
        <v>27.68</v>
      </c>
      <c r="I667" s="34"/>
      <c r="J667" s="34">
        <f>IF(Source!BC160&lt;&gt; 0, Source!BC160, 1)</f>
        <v>9.35</v>
      </c>
      <c r="K667" s="33">
        <f>Source!P160</f>
        <v>258.82</v>
      </c>
    </row>
    <row r="668" spans="1:25" ht="14.25" x14ac:dyDescent="0.2">
      <c r="A668" s="20"/>
      <c r="B668" s="43"/>
      <c r="C668" s="43" t="s">
        <v>1374</v>
      </c>
      <c r="D668" s="32" t="s">
        <v>1375</v>
      </c>
      <c r="E668" s="10">
        <f>Source!BZ160</f>
        <v>95</v>
      </c>
      <c r="F668" s="46"/>
      <c r="G668" s="34"/>
      <c r="H668" s="33">
        <f>SUM(R662:R671)</f>
        <v>93.72</v>
      </c>
      <c r="I668" s="36"/>
      <c r="J668" s="31">
        <f>Source!AT160</f>
        <v>95</v>
      </c>
      <c r="K668" s="33">
        <f>SUM(S662:S671)</f>
        <v>3153.56</v>
      </c>
    </row>
    <row r="669" spans="1:25" ht="14.25" x14ac:dyDescent="0.2">
      <c r="A669" s="20"/>
      <c r="B669" s="43"/>
      <c r="C669" s="43" t="s">
        <v>1376</v>
      </c>
      <c r="D669" s="32" t="s">
        <v>1375</v>
      </c>
      <c r="E669" s="10">
        <f>Source!CA160</f>
        <v>65</v>
      </c>
      <c r="F669" s="46"/>
      <c r="G669" s="34"/>
      <c r="H669" s="33">
        <f>SUM(T662:T671)</f>
        <v>64.12</v>
      </c>
      <c r="I669" s="36"/>
      <c r="J669" s="31">
        <f>Source!AU160</f>
        <v>65</v>
      </c>
      <c r="K669" s="33">
        <f>SUM(U662:U671)</f>
        <v>2157.6999999999998</v>
      </c>
    </row>
    <row r="670" spans="1:25" ht="14.25" x14ac:dyDescent="0.2">
      <c r="A670" s="20"/>
      <c r="B670" s="43"/>
      <c r="C670" s="43" t="s">
        <v>1377</v>
      </c>
      <c r="D670" s="32" t="s">
        <v>1378</v>
      </c>
      <c r="E670" s="10">
        <f>Source!AQ160</f>
        <v>6.29</v>
      </c>
      <c r="F670" s="33"/>
      <c r="G670" s="34" t="str">
        <f>Source!DI160</f>
        <v>)*1,35</v>
      </c>
      <c r="H670" s="33"/>
      <c r="I670" s="34"/>
      <c r="J670" s="34"/>
      <c r="K670" s="33"/>
    </row>
    <row r="671" spans="1:25" ht="100.5" customHeight="1" x14ac:dyDescent="0.2">
      <c r="A671" s="44"/>
      <c r="B671" s="45" t="str">
        <f>Source!F161</f>
        <v>21.1.06.09-0176</v>
      </c>
      <c r="C671" s="45" t="str">
        <f>Source!G161</f>
        <v>Кабели силовые с медными жилами, в изоляции и оболочке из ПВХ пластиката, без брони и наружного покрова, не распространяющие горение, с низким дымо-газовыделением, на напряжение 0,66 кВ, марка ВВГнг(A)-LS, число жил и сечение 5х2,5 мм2</v>
      </c>
      <c r="D671" s="37" t="str">
        <f>Source!H161</f>
        <v>1000 м</v>
      </c>
      <c r="E671" s="38">
        <f>Source!I161</f>
        <v>0.122</v>
      </c>
      <c r="F671" s="39">
        <f>Source!AL161+Source!AM161+Source!AO161</f>
        <v>11836.8</v>
      </c>
      <c r="G671" s="41" t="s">
        <v>1385</v>
      </c>
      <c r="H671" s="39">
        <f>ROUND(Source!AC161*Source!I161, 2)+ROUND(Source!AD161*Source!I161, 2)+ROUND(Source!AF161*Source!I161, 2)</f>
        <v>1444.09</v>
      </c>
      <c r="I671" s="40"/>
      <c r="J671" s="40">
        <f>IF(Source!BC161&lt;&gt; 0, Source!BC161, 1)</f>
        <v>8.06</v>
      </c>
      <c r="K671" s="39">
        <f>Source!O161</f>
        <v>11639.36</v>
      </c>
      <c r="R671">
        <f>ROUND((Source!FX161/100)*((ROUND(Source!AF161*Source!I161, 2)+ROUND(Source!AE161*Source!I161, 2))), 2)</f>
        <v>0</v>
      </c>
      <c r="S671">
        <f>Source!X161</f>
        <v>0</v>
      </c>
      <c r="T671">
        <f>ROUND((Source!FY161/100)*((ROUND(Source!AF161*Source!I161, 2)+ROUND(Source!AE161*Source!I161, 2))), 2)</f>
        <v>0</v>
      </c>
      <c r="U671">
        <f>Source!Y161</f>
        <v>0</v>
      </c>
      <c r="V671">
        <f>IF(Source!BI161&lt;=1,H671, 0)</f>
        <v>0</v>
      </c>
      <c r="W671">
        <f>IF(Source!BI161=2,H671, 0)</f>
        <v>1444.09</v>
      </c>
      <c r="X671">
        <f>IF(Source!BI161=3,H671, 0)</f>
        <v>0</v>
      </c>
      <c r="Y671">
        <f>IF(Source!BI161=4,H671, 0)</f>
        <v>0</v>
      </c>
    </row>
    <row r="672" spans="1:25" ht="15" x14ac:dyDescent="0.25">
      <c r="G672" s="76">
        <f>H664+H665+H667+H668+H669+SUM(H671:H671)</f>
        <v>1735.94</v>
      </c>
      <c r="H672" s="76"/>
      <c r="J672" s="76">
        <f>K664+K665+K667+K668+K669+SUM(K671:K671)</f>
        <v>20578.09</v>
      </c>
      <c r="K672" s="76"/>
      <c r="N672" s="28">
        <f>G672</f>
        <v>1735.94</v>
      </c>
      <c r="O672" s="28">
        <f>J672</f>
        <v>20578.09</v>
      </c>
      <c r="P672" s="28" t="e">
        <f>#REF!</f>
        <v>#REF!</v>
      </c>
      <c r="V672">
        <f>IF(Source!BI160&lt;=1,H664+H665+H667+H668+H669, 0)</f>
        <v>0</v>
      </c>
      <c r="W672">
        <f>IF(Source!BI160=2,H664+H665+H667+H668+H669, 0)</f>
        <v>291.85000000000002</v>
      </c>
      <c r="X672">
        <f>IF(Source!BI160=3,H664+H665+H667+H668+H669, 0)</f>
        <v>0</v>
      </c>
      <c r="Y672">
        <f>IF(Source!BI160=4,H664+H665+H667+H668+H669, 0)</f>
        <v>0</v>
      </c>
    </row>
    <row r="673" spans="1:25" ht="65.25" x14ac:dyDescent="0.2">
      <c r="A673" s="20" t="str">
        <f>Source!E162</f>
        <v>64</v>
      </c>
      <c r="B673" s="43" t="s">
        <v>1441</v>
      </c>
      <c r="C673" s="43" t="str">
        <f>Source!G162</f>
        <v>Установка АВДТ в щитовой на din-рейку</v>
      </c>
      <c r="D673" s="32" t="str">
        <f>Source!H162</f>
        <v>ШТ</v>
      </c>
      <c r="E673" s="10">
        <f>Source!I162</f>
        <v>1</v>
      </c>
      <c r="F673" s="33">
        <f>Source!AL162+Source!AM162+Source!AO162</f>
        <v>10.600000000000001</v>
      </c>
      <c r="G673" s="34"/>
      <c r="H673" s="33"/>
      <c r="I673" s="34" t="str">
        <f>Source!BO162</f>
        <v>м08-03-575-01</v>
      </c>
      <c r="J673" s="34"/>
      <c r="K673" s="33"/>
      <c r="R673">
        <f>ROUND((Source!FX162/100)*((ROUND(Source!AF162*Source!I162, 2)+ROUND(Source!AE162*Source!I162, 2))), 2)</f>
        <v>13.11</v>
      </c>
      <c r="S673">
        <f>Source!X162</f>
        <v>441.15</v>
      </c>
      <c r="T673">
        <f>ROUND((Source!FY162/100)*((ROUND(Source!AF162*Source!I162, 2)+ROUND(Source!AE162*Source!I162, 2))), 2)</f>
        <v>8.9700000000000006</v>
      </c>
      <c r="U673">
        <f>Source!Y162</f>
        <v>301.83999999999997</v>
      </c>
    </row>
    <row r="674" spans="1:25" ht="14.25" x14ac:dyDescent="0.2">
      <c r="A674" s="20"/>
      <c r="B674" s="43"/>
      <c r="C674" s="43" t="s">
        <v>1372</v>
      </c>
      <c r="D674" s="32"/>
      <c r="E674" s="10"/>
      <c r="F674" s="33">
        <f>Source!AO162</f>
        <v>10.220000000000001</v>
      </c>
      <c r="G674" s="34" t="str">
        <f>Source!DG162</f>
        <v>)*1,35</v>
      </c>
      <c r="H674" s="33">
        <f>ROUND(Source!AF162*Source!I162, 2)</f>
        <v>13.8</v>
      </c>
      <c r="I674" s="34"/>
      <c r="J674" s="34">
        <f>IF(Source!BA162&lt;&gt; 0, Source!BA162, 1)</f>
        <v>33.65</v>
      </c>
      <c r="K674" s="33">
        <f>Source!S162</f>
        <v>464.37</v>
      </c>
      <c r="Q674">
        <f>H674</f>
        <v>13.8</v>
      </c>
    </row>
    <row r="675" spans="1:25" ht="14.25" x14ac:dyDescent="0.2">
      <c r="A675" s="20"/>
      <c r="B675" s="43"/>
      <c r="C675" s="43" t="s">
        <v>1400</v>
      </c>
      <c r="D675" s="32"/>
      <c r="E675" s="10"/>
      <c r="F675" s="33">
        <f>Source!AL162</f>
        <v>0.38</v>
      </c>
      <c r="G675" s="34" t="str">
        <f>Source!DD162</f>
        <v/>
      </c>
      <c r="H675" s="33">
        <f>ROUND(Source!AC162*Source!I162, 2)</f>
        <v>0.38</v>
      </c>
      <c r="I675" s="34"/>
      <c r="J675" s="34">
        <f>IF(Source!BC162&lt;&gt; 0, Source!BC162, 1)</f>
        <v>22.73</v>
      </c>
      <c r="K675" s="33">
        <f>Source!P162</f>
        <v>8.64</v>
      </c>
    </row>
    <row r="676" spans="1:25" ht="14.25" x14ac:dyDescent="0.2">
      <c r="A676" s="20"/>
      <c r="B676" s="43"/>
      <c r="C676" s="43" t="s">
        <v>1374</v>
      </c>
      <c r="D676" s="32" t="s">
        <v>1375</v>
      </c>
      <c r="E676" s="10">
        <f>Source!BZ162</f>
        <v>95</v>
      </c>
      <c r="F676" s="46"/>
      <c r="G676" s="34"/>
      <c r="H676" s="33">
        <f>SUM(R673:R679)</f>
        <v>13.11</v>
      </c>
      <c r="I676" s="36"/>
      <c r="J676" s="31">
        <f>Source!AT162</f>
        <v>95</v>
      </c>
      <c r="K676" s="33">
        <f>SUM(S673:S679)</f>
        <v>441.15</v>
      </c>
    </row>
    <row r="677" spans="1:25" ht="14.25" x14ac:dyDescent="0.2">
      <c r="A677" s="20"/>
      <c r="B677" s="43"/>
      <c r="C677" s="43" t="s">
        <v>1376</v>
      </c>
      <c r="D677" s="32" t="s">
        <v>1375</v>
      </c>
      <c r="E677" s="10">
        <f>Source!CA162</f>
        <v>65</v>
      </c>
      <c r="F677" s="46"/>
      <c r="G677" s="34"/>
      <c r="H677" s="33">
        <f>SUM(T673:T679)</f>
        <v>8.9700000000000006</v>
      </c>
      <c r="I677" s="36"/>
      <c r="J677" s="31">
        <f>Source!AU162</f>
        <v>65</v>
      </c>
      <c r="K677" s="33">
        <f>SUM(U673:U679)</f>
        <v>301.83999999999997</v>
      </c>
    </row>
    <row r="678" spans="1:25" ht="14.25" x14ac:dyDescent="0.2">
      <c r="A678" s="20"/>
      <c r="B678" s="43"/>
      <c r="C678" s="43" t="s">
        <v>1377</v>
      </c>
      <c r="D678" s="32" t="s">
        <v>1378</v>
      </c>
      <c r="E678" s="10">
        <f>Source!AQ162</f>
        <v>1.03</v>
      </c>
      <c r="F678" s="33"/>
      <c r="G678" s="34" t="str">
        <f>Source!DI162</f>
        <v>)*1,35</v>
      </c>
      <c r="H678" s="33"/>
      <c r="I678" s="34"/>
      <c r="J678" s="34"/>
      <c r="K678" s="33"/>
    </row>
    <row r="679" spans="1:25" ht="28.5" x14ac:dyDescent="0.2">
      <c r="A679" s="44"/>
      <c r="B679" s="45" t="str">
        <f>Source!F163</f>
        <v>62.1.05.03-0024</v>
      </c>
      <c r="C679" s="45" t="str">
        <f>Source!G163</f>
        <v>АВДТ: 25А-30мА, четырехполюсное, блок утечки</v>
      </c>
      <c r="D679" s="37" t="str">
        <f>Source!H163</f>
        <v>ШТ</v>
      </c>
      <c r="E679" s="38">
        <f>Source!I163</f>
        <v>1</v>
      </c>
      <c r="F679" s="39">
        <f>Source!AL163+Source!AM163+Source!AO163</f>
        <v>922.79</v>
      </c>
      <c r="G679" s="41" t="s">
        <v>1385</v>
      </c>
      <c r="H679" s="39">
        <f>ROUND(Source!AC163*Source!I163, 2)+ROUND(Source!AD163*Source!I163, 2)+ROUND(Source!AF163*Source!I163, 2)</f>
        <v>922.79</v>
      </c>
      <c r="I679" s="40"/>
      <c r="J679" s="40">
        <f>IF(Source!BC163&lt;&gt; 0, Source!BC163, 1)</f>
        <v>5</v>
      </c>
      <c r="K679" s="39">
        <f>Source!O163</f>
        <v>4613.95</v>
      </c>
      <c r="R679">
        <f>ROUND((Source!FX163/100)*((ROUND(Source!AF163*Source!I163, 2)+ROUND(Source!AE163*Source!I163, 2))), 2)</f>
        <v>0</v>
      </c>
      <c r="S679">
        <f>Source!X163</f>
        <v>0</v>
      </c>
      <c r="T679">
        <f>ROUND((Source!FY163/100)*((ROUND(Source!AF163*Source!I163, 2)+ROUND(Source!AE163*Source!I163, 2))), 2)</f>
        <v>0</v>
      </c>
      <c r="U679">
        <f>Source!Y163</f>
        <v>0</v>
      </c>
      <c r="V679">
        <f>IF(Source!BI163&lt;=1,H679, 0)</f>
        <v>0</v>
      </c>
      <c r="W679">
        <f>IF(Source!BI163=2,H679, 0)</f>
        <v>922.79</v>
      </c>
      <c r="X679">
        <f>IF(Source!BI163=3,H679, 0)</f>
        <v>0</v>
      </c>
      <c r="Y679">
        <f>IF(Source!BI163=4,H679, 0)</f>
        <v>0</v>
      </c>
    </row>
    <row r="680" spans="1:25" ht="15" x14ac:dyDescent="0.25">
      <c r="G680" s="76">
        <f>H674+H675+H676+H677+SUM(H679:H679)</f>
        <v>959.05</v>
      </c>
      <c r="H680" s="76"/>
      <c r="J680" s="76">
        <f>K674+K675+K676+K677+SUM(K679:K679)</f>
        <v>5829.95</v>
      </c>
      <c r="K680" s="76"/>
      <c r="N680" s="28">
        <f>G680</f>
        <v>959.05</v>
      </c>
      <c r="O680" s="28">
        <f>J680</f>
        <v>5829.95</v>
      </c>
      <c r="P680" s="28" t="e">
        <f>#REF!</f>
        <v>#REF!</v>
      </c>
      <c r="V680">
        <f>IF(Source!BI162&lt;=1,H674+H675+H676+H677, 0)</f>
        <v>0</v>
      </c>
      <c r="W680">
        <f>IF(Source!BI162=2,H674+H675+H676+H677, 0)</f>
        <v>36.26</v>
      </c>
      <c r="X680">
        <f>IF(Source!BI162=3,H674+H675+H676+H677, 0)</f>
        <v>0</v>
      </c>
      <c r="Y680">
        <f>IF(Source!BI162=4,H674+H675+H676+H677, 0)</f>
        <v>0</v>
      </c>
    </row>
    <row r="681" spans="1:25" ht="65.25" x14ac:dyDescent="0.2">
      <c r="A681" s="20" t="str">
        <f>Source!E164</f>
        <v>65</v>
      </c>
      <c r="B681" s="43" t="s">
        <v>1439</v>
      </c>
      <c r="C681" s="43" t="str">
        <f>Source!G164</f>
        <v>Труба гофрированная ПВХ для защиты проводов и кабелей по установленным конструкциям, по стенам, колоннам, потолкам, основанию пола/Монтаж</v>
      </c>
      <c r="D681" s="32" t="str">
        <f>Source!H164</f>
        <v>100 м</v>
      </c>
      <c r="E681" s="10">
        <f>Source!I164</f>
        <v>0.1</v>
      </c>
      <c r="F681" s="33">
        <f>Source!AL164+Source!AM164+Source!AO164</f>
        <v>156.32999999999998</v>
      </c>
      <c r="G681" s="34"/>
      <c r="H681" s="33"/>
      <c r="I681" s="34" t="str">
        <f>Source!BO164</f>
        <v>м08-02-409-09</v>
      </c>
      <c r="J681" s="34"/>
      <c r="K681" s="33"/>
      <c r="R681">
        <f>ROUND((Source!FX164/100)*((ROUND(Source!AF164*Source!I164, 2)+ROUND(Source!AE164*Source!I164, 2))), 2)</f>
        <v>17.899999999999999</v>
      </c>
      <c r="S681">
        <f>Source!X164</f>
        <v>602.21</v>
      </c>
      <c r="T681">
        <f>ROUND((Source!FY164/100)*((ROUND(Source!AF164*Source!I164, 2)+ROUND(Source!AE164*Source!I164, 2))), 2)</f>
        <v>12.25</v>
      </c>
      <c r="U681">
        <f>Source!Y164</f>
        <v>412.04</v>
      </c>
    </row>
    <row r="682" spans="1:25" x14ac:dyDescent="0.2">
      <c r="C682" s="27" t="str">
        <f>"Объем: "&amp;Source!I164&amp;"=10/"&amp;"100"</f>
        <v>Объем: 0,1=10/100</v>
      </c>
    </row>
    <row r="683" spans="1:25" ht="14.25" x14ac:dyDescent="0.2">
      <c r="A683" s="20"/>
      <c r="B683" s="43"/>
      <c r="C683" s="43" t="s">
        <v>1372</v>
      </c>
      <c r="D683" s="32"/>
      <c r="E683" s="10"/>
      <c r="F683" s="33">
        <f>Source!AO164</f>
        <v>139.54</v>
      </c>
      <c r="G683" s="34" t="str">
        <f>Source!DG164</f>
        <v>)*1,35</v>
      </c>
      <c r="H683" s="33">
        <f>ROUND(Source!AF164*Source!I164, 2)</f>
        <v>18.84</v>
      </c>
      <c r="I683" s="34"/>
      <c r="J683" s="34">
        <f>IF(Source!BA164&lt;&gt; 0, Source!BA164, 1)</f>
        <v>33.65</v>
      </c>
      <c r="K683" s="33">
        <f>Source!S164</f>
        <v>633.9</v>
      </c>
      <c r="Q683">
        <f>H683</f>
        <v>18.84</v>
      </c>
    </row>
    <row r="684" spans="1:25" ht="14.25" x14ac:dyDescent="0.2">
      <c r="A684" s="20"/>
      <c r="B684" s="43"/>
      <c r="C684" s="43" t="s">
        <v>1400</v>
      </c>
      <c r="D684" s="32"/>
      <c r="E684" s="10"/>
      <c r="F684" s="33">
        <f>Source!AL164</f>
        <v>16.79</v>
      </c>
      <c r="G684" s="34" t="str">
        <f>Source!DD164</f>
        <v/>
      </c>
      <c r="H684" s="33">
        <f>ROUND(Source!AC164*Source!I164, 2)</f>
        <v>1.68</v>
      </c>
      <c r="I684" s="34"/>
      <c r="J684" s="34">
        <f>IF(Source!BC164&lt;&gt; 0, Source!BC164, 1)</f>
        <v>16.43</v>
      </c>
      <c r="K684" s="33">
        <f>Source!P164</f>
        <v>27.59</v>
      </c>
    </row>
    <row r="685" spans="1:25" ht="14.25" x14ac:dyDescent="0.2">
      <c r="A685" s="20"/>
      <c r="B685" s="43"/>
      <c r="C685" s="43" t="s">
        <v>1374</v>
      </c>
      <c r="D685" s="32" t="s">
        <v>1375</v>
      </c>
      <c r="E685" s="10">
        <f>Source!BZ164</f>
        <v>95</v>
      </c>
      <c r="F685" s="46"/>
      <c r="G685" s="34"/>
      <c r="H685" s="33">
        <f>SUM(R681:R689)</f>
        <v>17.899999999999999</v>
      </c>
      <c r="I685" s="36"/>
      <c r="J685" s="31">
        <f>Source!AT164</f>
        <v>95</v>
      </c>
      <c r="K685" s="33">
        <f>SUM(S681:S689)</f>
        <v>602.21</v>
      </c>
    </row>
    <row r="686" spans="1:25" ht="14.25" x14ac:dyDescent="0.2">
      <c r="A686" s="20"/>
      <c r="B686" s="43"/>
      <c r="C686" s="43" t="s">
        <v>1376</v>
      </c>
      <c r="D686" s="32" t="s">
        <v>1375</v>
      </c>
      <c r="E686" s="10">
        <f>Source!CA164</f>
        <v>65</v>
      </c>
      <c r="F686" s="46"/>
      <c r="G686" s="34"/>
      <c r="H686" s="33">
        <f>SUM(T681:T689)</f>
        <v>12.25</v>
      </c>
      <c r="I686" s="36"/>
      <c r="J686" s="31">
        <f>Source!AU164</f>
        <v>65</v>
      </c>
      <c r="K686" s="33">
        <f>SUM(U681:U689)</f>
        <v>412.04</v>
      </c>
    </row>
    <row r="687" spans="1:25" ht="14.25" x14ac:dyDescent="0.2">
      <c r="A687" s="20"/>
      <c r="B687" s="43"/>
      <c r="C687" s="43" t="s">
        <v>1377</v>
      </c>
      <c r="D687" s="32" t="s">
        <v>1378</v>
      </c>
      <c r="E687" s="10">
        <f>Source!AQ164</f>
        <v>15.2</v>
      </c>
      <c r="F687" s="33"/>
      <c r="G687" s="34" t="str">
        <f>Source!DI164</f>
        <v>)*1,35</v>
      </c>
      <c r="H687" s="33"/>
      <c r="I687" s="34"/>
      <c r="J687" s="34"/>
      <c r="K687" s="33"/>
    </row>
    <row r="688" spans="1:25" ht="28.5" x14ac:dyDescent="0.2">
      <c r="A688" s="20"/>
      <c r="B688" s="43" t="str">
        <f>Source!F165</f>
        <v>20.2.05.02-0011</v>
      </c>
      <c r="C688" s="43" t="str">
        <f>Source!G165</f>
        <v>Держатель пластмассовый с защелкой для труб диаметром 25 мм</v>
      </c>
      <c r="D688" s="32" t="str">
        <f>Source!H165</f>
        <v>100 ШТ</v>
      </c>
      <c r="E688" s="10">
        <f>Source!I165</f>
        <v>0.1</v>
      </c>
      <c r="F688" s="33">
        <f>Source!AL165+Source!AM165+Source!AO165</f>
        <v>38</v>
      </c>
      <c r="G688" s="42" t="s">
        <v>1385</v>
      </c>
      <c r="H688" s="33">
        <f>ROUND(Source!AC165*Source!I165, 2)+ROUND(Source!AD165*Source!I165, 2)+ROUND(Source!AF165*Source!I165, 2)</f>
        <v>3.8</v>
      </c>
      <c r="I688" s="34"/>
      <c r="J688" s="34">
        <f>IF(Source!BC165&lt;&gt; 0, Source!BC165, 1)</f>
        <v>11.13</v>
      </c>
      <c r="K688" s="33">
        <f>Source!O165</f>
        <v>42.29</v>
      </c>
      <c r="R688">
        <f>ROUND((Source!FX165/100)*((ROUND(Source!AF165*Source!I165, 2)+ROUND(Source!AE165*Source!I165, 2))), 2)</f>
        <v>0</v>
      </c>
      <c r="S688">
        <f>Source!X165</f>
        <v>0</v>
      </c>
      <c r="T688">
        <f>ROUND((Source!FY165/100)*((ROUND(Source!AF165*Source!I165, 2)+ROUND(Source!AE165*Source!I165, 2))), 2)</f>
        <v>0</v>
      </c>
      <c r="U688">
        <f>Source!Y165</f>
        <v>0</v>
      </c>
      <c r="V688">
        <f>IF(Source!BI165&lt;=1,H688, 0)</f>
        <v>0</v>
      </c>
      <c r="W688">
        <f>IF(Source!BI165=2,H688, 0)</f>
        <v>3.8</v>
      </c>
      <c r="X688">
        <f>IF(Source!BI165=3,H688, 0)</f>
        <v>0</v>
      </c>
      <c r="Y688">
        <f>IF(Source!BI165=4,H688, 0)</f>
        <v>0</v>
      </c>
    </row>
    <row r="689" spans="1:25" ht="28.5" x14ac:dyDescent="0.2">
      <c r="A689" s="44"/>
      <c r="B689" s="45" t="str">
        <f>Source!F166</f>
        <v>20.2.12.03-0011</v>
      </c>
      <c r="C689" s="45" t="str">
        <f>Source!G166</f>
        <v>Трубы для электропроводки из ПВХ гофрированные гибкие, диаметр 20 мм</v>
      </c>
      <c r="D689" s="37" t="str">
        <f>Source!H166</f>
        <v>м</v>
      </c>
      <c r="E689" s="38">
        <f>Source!I166</f>
        <v>10</v>
      </c>
      <c r="F689" s="39">
        <f>Source!AL166+Source!AM166+Source!AO166</f>
        <v>1.24</v>
      </c>
      <c r="G689" s="41" t="s">
        <v>1385</v>
      </c>
      <c r="H689" s="39">
        <f>ROUND(Source!AC166*Source!I166, 2)+ROUND(Source!AD166*Source!I166, 2)+ROUND(Source!AF166*Source!I166, 2)</f>
        <v>12.4</v>
      </c>
      <c r="I689" s="40"/>
      <c r="J689" s="40">
        <f>IF(Source!BC166&lt;&gt; 0, Source!BC166, 1)</f>
        <v>8.0299999999999994</v>
      </c>
      <c r="K689" s="39">
        <f>Source!O166</f>
        <v>99.57</v>
      </c>
      <c r="R689">
        <f>ROUND((Source!FX166/100)*((ROUND(Source!AF166*Source!I166, 2)+ROUND(Source!AE166*Source!I166, 2))), 2)</f>
        <v>0</v>
      </c>
      <c r="S689">
        <f>Source!X166</f>
        <v>0</v>
      </c>
      <c r="T689">
        <f>ROUND((Source!FY166/100)*((ROUND(Source!AF166*Source!I166, 2)+ROUND(Source!AE166*Source!I166, 2))), 2)</f>
        <v>0</v>
      </c>
      <c r="U689">
        <f>Source!Y166</f>
        <v>0</v>
      </c>
      <c r="V689">
        <f>IF(Source!BI166&lt;=1,H689, 0)</f>
        <v>0</v>
      </c>
      <c r="W689">
        <f>IF(Source!BI166=2,H689, 0)</f>
        <v>12.4</v>
      </c>
      <c r="X689">
        <f>IF(Source!BI166=3,H689, 0)</f>
        <v>0</v>
      </c>
      <c r="Y689">
        <f>IF(Source!BI166=4,H689, 0)</f>
        <v>0</v>
      </c>
    </row>
    <row r="690" spans="1:25" ht="15" x14ac:dyDescent="0.25">
      <c r="G690" s="76">
        <f>H683+H684+H685+H686+SUM(H688:H689)</f>
        <v>66.87</v>
      </c>
      <c r="H690" s="76"/>
      <c r="J690" s="76">
        <f>K683+K684+K685+K686+SUM(K688:K689)</f>
        <v>1817.6</v>
      </c>
      <c r="K690" s="76"/>
      <c r="N690" s="28">
        <f>G690</f>
        <v>66.87</v>
      </c>
      <c r="O690" s="28">
        <f>J690</f>
        <v>1817.6</v>
      </c>
      <c r="P690" s="28" t="e">
        <f>#REF!</f>
        <v>#REF!</v>
      </c>
      <c r="V690">
        <f>IF(Source!BI164&lt;=1,H683+H684+H685+H686, 0)</f>
        <v>0</v>
      </c>
      <c r="W690">
        <f>IF(Source!BI164=2,H683+H684+H685+H686, 0)</f>
        <v>50.67</v>
      </c>
      <c r="X690">
        <f>IF(Source!BI164=3,H683+H684+H685+H686, 0)</f>
        <v>0</v>
      </c>
      <c r="Y690">
        <f>IF(Source!BI164=4,H683+H684+H685+H686, 0)</f>
        <v>0</v>
      </c>
    </row>
    <row r="691" spans="1:25" ht="71.25" x14ac:dyDescent="0.2">
      <c r="A691" s="20" t="str">
        <f>Source!E167</f>
        <v>66</v>
      </c>
      <c r="B691" s="43" t="s">
        <v>1442</v>
      </c>
      <c r="C691" s="43" t="str">
        <f>Source!G167</f>
        <v>Затягивание провода в проложенные трубы и металлические рукава первого одножильного или многожильного в общей оплетке, суммарное сечение: до 6 мм2</v>
      </c>
      <c r="D691" s="32" t="str">
        <f>Source!H167</f>
        <v>100 м</v>
      </c>
      <c r="E691" s="10">
        <f>Source!I167</f>
        <v>0.1</v>
      </c>
      <c r="F691" s="33">
        <f>Source!AL167+Source!AM167+Source!AO167</f>
        <v>68.77000000000001</v>
      </c>
      <c r="G691" s="34"/>
      <c r="H691" s="33"/>
      <c r="I691" s="34" t="str">
        <f>Source!BO167</f>
        <v>м08-02-412-02</v>
      </c>
      <c r="J691" s="34"/>
      <c r="K691" s="33"/>
      <c r="R691">
        <f>ROUND((Source!FX167/100)*((ROUND(Source!AF167*Source!I167, 2)+ROUND(Source!AE167*Source!I167, 2))), 2)</f>
        <v>6.56</v>
      </c>
      <c r="S691">
        <f>Source!X167</f>
        <v>220.84</v>
      </c>
      <c r="T691">
        <f>ROUND((Source!FY167/100)*((ROUND(Source!AF167*Source!I167, 2)+ROUND(Source!AE167*Source!I167, 2))), 2)</f>
        <v>4.49</v>
      </c>
      <c r="U691">
        <f>Source!Y167</f>
        <v>151.1</v>
      </c>
    </row>
    <row r="692" spans="1:25" x14ac:dyDescent="0.2">
      <c r="C692" s="27" t="str">
        <f>"Объем: "&amp;Source!I167&amp;"=10/"&amp;"100"</f>
        <v>Объем: 0,1=10/100</v>
      </c>
    </row>
    <row r="693" spans="1:25" ht="14.25" x14ac:dyDescent="0.2">
      <c r="A693" s="20"/>
      <c r="B693" s="43"/>
      <c r="C693" s="43" t="s">
        <v>1372</v>
      </c>
      <c r="D693" s="32"/>
      <c r="E693" s="10"/>
      <c r="F693" s="33">
        <f>Source!AO167</f>
        <v>50.67</v>
      </c>
      <c r="G693" s="34" t="str">
        <f>Source!DG167</f>
        <v>)*1,35</v>
      </c>
      <c r="H693" s="33">
        <f>ROUND(Source!AF167*Source!I167, 2)</f>
        <v>6.84</v>
      </c>
      <c r="I693" s="34"/>
      <c r="J693" s="34">
        <f>IF(Source!BA167&lt;&gt; 0, Source!BA167, 1)</f>
        <v>33.65</v>
      </c>
      <c r="K693" s="33">
        <f>Source!S167</f>
        <v>230.17</v>
      </c>
      <c r="Q693">
        <f>H693</f>
        <v>6.84</v>
      </c>
    </row>
    <row r="694" spans="1:25" ht="14.25" x14ac:dyDescent="0.2">
      <c r="A694" s="20"/>
      <c r="B694" s="43"/>
      <c r="C694" s="43" t="s">
        <v>646</v>
      </c>
      <c r="D694" s="32"/>
      <c r="E694" s="10"/>
      <c r="F694" s="33">
        <f>Source!AM167</f>
        <v>3.62</v>
      </c>
      <c r="G694" s="34" t="str">
        <f>Source!DE167</f>
        <v>)*1,35</v>
      </c>
      <c r="H694" s="33">
        <f>ROUND(Source!AD167*Source!I167, 2)</f>
        <v>0.49</v>
      </c>
      <c r="I694" s="34"/>
      <c r="J694" s="34">
        <f>IF(Source!BB167&lt;&gt; 0, Source!BB167, 1)</f>
        <v>10.220000000000001</v>
      </c>
      <c r="K694" s="33">
        <f>Source!Q167</f>
        <v>5</v>
      </c>
    </row>
    <row r="695" spans="1:25" ht="14.25" x14ac:dyDescent="0.2">
      <c r="A695" s="20"/>
      <c r="B695" s="43"/>
      <c r="C695" s="43" t="s">
        <v>1373</v>
      </c>
      <c r="D695" s="32"/>
      <c r="E695" s="10"/>
      <c r="F695" s="33">
        <f>Source!AN167</f>
        <v>0.5</v>
      </c>
      <c r="G695" s="34" t="str">
        <f>Source!DF167</f>
        <v>)*1,35</v>
      </c>
      <c r="H695" s="35">
        <f>ROUND(Source!AE167*Source!I167, 2)</f>
        <v>7.0000000000000007E-2</v>
      </c>
      <c r="I695" s="34"/>
      <c r="J695" s="34">
        <f>IF(Source!BS167&lt;&gt; 0, Source!BS167, 1)</f>
        <v>33.65</v>
      </c>
      <c r="K695" s="35">
        <f>Source!R167</f>
        <v>2.29</v>
      </c>
      <c r="Q695">
        <f>H695</f>
        <v>7.0000000000000007E-2</v>
      </c>
    </row>
    <row r="696" spans="1:25" ht="14.25" x14ac:dyDescent="0.2">
      <c r="A696" s="20"/>
      <c r="B696" s="43"/>
      <c r="C696" s="43" t="s">
        <v>1400</v>
      </c>
      <c r="D696" s="32"/>
      <c r="E696" s="10"/>
      <c r="F696" s="33">
        <f>Source!AL167</f>
        <v>14.48</v>
      </c>
      <c r="G696" s="34" t="str">
        <f>Source!DD167</f>
        <v/>
      </c>
      <c r="H696" s="33">
        <f>ROUND(Source!AC167*Source!I167, 2)</f>
        <v>1.45</v>
      </c>
      <c r="I696" s="34"/>
      <c r="J696" s="34">
        <f>IF(Source!BC167&lt;&gt; 0, Source!BC167, 1)</f>
        <v>8.56</v>
      </c>
      <c r="K696" s="33">
        <f>Source!P167</f>
        <v>12.39</v>
      </c>
    </row>
    <row r="697" spans="1:25" ht="14.25" x14ac:dyDescent="0.2">
      <c r="A697" s="20"/>
      <c r="B697" s="43"/>
      <c r="C697" s="43" t="s">
        <v>1374</v>
      </c>
      <c r="D697" s="32" t="s">
        <v>1375</v>
      </c>
      <c r="E697" s="10">
        <f>Source!BZ167</f>
        <v>95</v>
      </c>
      <c r="F697" s="46"/>
      <c r="G697" s="34"/>
      <c r="H697" s="33">
        <f>SUM(R691:R700)</f>
        <v>6.56</v>
      </c>
      <c r="I697" s="36"/>
      <c r="J697" s="31">
        <f>Source!AT167</f>
        <v>95</v>
      </c>
      <c r="K697" s="33">
        <f>SUM(S691:S700)</f>
        <v>220.84</v>
      </c>
    </row>
    <row r="698" spans="1:25" ht="14.25" x14ac:dyDescent="0.2">
      <c r="A698" s="20"/>
      <c r="B698" s="43"/>
      <c r="C698" s="43" t="s">
        <v>1376</v>
      </c>
      <c r="D698" s="32" t="s">
        <v>1375</v>
      </c>
      <c r="E698" s="10">
        <f>Source!CA167</f>
        <v>65</v>
      </c>
      <c r="F698" s="46"/>
      <c r="G698" s="34"/>
      <c r="H698" s="33">
        <f>SUM(T691:T700)</f>
        <v>4.49</v>
      </c>
      <c r="I698" s="36"/>
      <c r="J698" s="31">
        <f>Source!AU167</f>
        <v>65</v>
      </c>
      <c r="K698" s="33">
        <f>SUM(U691:U700)</f>
        <v>151.1</v>
      </c>
    </row>
    <row r="699" spans="1:25" ht="14.25" x14ac:dyDescent="0.2">
      <c r="A699" s="20"/>
      <c r="B699" s="43"/>
      <c r="C699" s="43" t="s">
        <v>1377</v>
      </c>
      <c r="D699" s="32" t="s">
        <v>1378</v>
      </c>
      <c r="E699" s="10">
        <f>Source!AQ167</f>
        <v>5.39</v>
      </c>
      <c r="F699" s="33"/>
      <c r="G699" s="34" t="str">
        <f>Source!DI167</f>
        <v>)*1,35</v>
      </c>
      <c r="H699" s="33"/>
      <c r="I699" s="34"/>
      <c r="J699" s="34"/>
      <c r="K699" s="33"/>
    </row>
    <row r="700" spans="1:25" ht="102.75" customHeight="1" x14ac:dyDescent="0.2">
      <c r="A700" s="44"/>
      <c r="B700" s="45" t="str">
        <f>Source!F168</f>
        <v>21.1.06.09-0151</v>
      </c>
      <c r="C700" s="45" t="str">
        <f>Source!G168</f>
        <v>Кабели силовые с медными жилами, в изоляции и оболочке из ПВХ пластиката, без брони и наружного покрова, не распространяющие горение, с низким дымо-газовыделением, на напряжение 0,66 кВ, марка ВВГнг(A)-LS, число жил и сечение 3х1,5 мм2</v>
      </c>
      <c r="D700" s="37" t="str">
        <f>Source!H168</f>
        <v>1000 м</v>
      </c>
      <c r="E700" s="38">
        <f>Source!I168</f>
        <v>0.01</v>
      </c>
      <c r="F700" s="39">
        <f>Source!AL168+Source!AM168+Source!AO168</f>
        <v>4832.12</v>
      </c>
      <c r="G700" s="41" t="s">
        <v>1385</v>
      </c>
      <c r="H700" s="39">
        <f>ROUND(Source!AC168*Source!I168, 2)+ROUND(Source!AD168*Source!I168, 2)+ROUND(Source!AF168*Source!I168, 2)</f>
        <v>48.32</v>
      </c>
      <c r="I700" s="40"/>
      <c r="J700" s="40">
        <f>IF(Source!BC168&lt;&gt; 0, Source!BC168, 1)</f>
        <v>10.07</v>
      </c>
      <c r="K700" s="39">
        <f>Source!O168</f>
        <v>486.59</v>
      </c>
      <c r="R700">
        <f>ROUND((Source!FX168/100)*((ROUND(Source!AF168*Source!I168, 2)+ROUND(Source!AE168*Source!I168, 2))), 2)</f>
        <v>0</v>
      </c>
      <c r="S700">
        <f>Source!X168</f>
        <v>0</v>
      </c>
      <c r="T700">
        <f>ROUND((Source!FY168/100)*((ROUND(Source!AF168*Source!I168, 2)+ROUND(Source!AE168*Source!I168, 2))), 2)</f>
        <v>0</v>
      </c>
      <c r="U700">
        <f>Source!Y168</f>
        <v>0</v>
      </c>
      <c r="V700">
        <f>IF(Source!BI168&lt;=1,H700, 0)</f>
        <v>0</v>
      </c>
      <c r="W700">
        <f>IF(Source!BI168=2,H700, 0)</f>
        <v>48.32</v>
      </c>
      <c r="X700">
        <f>IF(Source!BI168=3,H700, 0)</f>
        <v>0</v>
      </c>
      <c r="Y700">
        <f>IF(Source!BI168=4,H700, 0)</f>
        <v>0</v>
      </c>
    </row>
    <row r="701" spans="1:25" ht="15" x14ac:dyDescent="0.25">
      <c r="G701" s="76">
        <f>H693+H694+H696+H697+H698+SUM(H700:H700)</f>
        <v>68.150000000000006</v>
      </c>
      <c r="H701" s="76"/>
      <c r="J701" s="76">
        <f>K693+K694+K696+K697+K698+SUM(K700:K700)</f>
        <v>1106.0899999999999</v>
      </c>
      <c r="K701" s="76"/>
      <c r="N701" s="28">
        <f>G701</f>
        <v>68.150000000000006</v>
      </c>
      <c r="O701" s="28">
        <f>J701</f>
        <v>1106.0899999999999</v>
      </c>
      <c r="P701" s="28" t="e">
        <f>#REF!</f>
        <v>#REF!</v>
      </c>
      <c r="V701">
        <f>IF(Source!BI167&lt;=1,H693+H694+H696+H697+H698, 0)</f>
        <v>0</v>
      </c>
      <c r="W701">
        <f>IF(Source!BI167=2,H693+H694+H696+H697+H698, 0)</f>
        <v>19.829999999999998</v>
      </c>
      <c r="X701">
        <f>IF(Source!BI167=3,H693+H694+H696+H697+H698, 0)</f>
        <v>0</v>
      </c>
      <c r="Y701">
        <f>IF(Source!BI167=4,H693+H694+H696+H697+H698, 0)</f>
        <v>0</v>
      </c>
    </row>
    <row r="702" spans="1:25" ht="65.25" x14ac:dyDescent="0.2">
      <c r="A702" s="20" t="str">
        <f>Source!E169</f>
        <v>67</v>
      </c>
      <c r="B702" s="43" t="s">
        <v>1443</v>
      </c>
      <c r="C702" s="43" t="str">
        <f>Source!G169</f>
        <v>Короба пластмассовые: шириной до 40 мм/Монтаж</v>
      </c>
      <c r="D702" s="32" t="str">
        <f>Source!H169</f>
        <v>100 м</v>
      </c>
      <c r="E702" s="10">
        <f>Source!I169</f>
        <v>0.72</v>
      </c>
      <c r="F702" s="33">
        <f>Source!AL169+Source!AM169+Source!AO169</f>
        <v>206.76</v>
      </c>
      <c r="G702" s="34"/>
      <c r="H702" s="33"/>
      <c r="I702" s="34" t="str">
        <f>Source!BO169</f>
        <v>м08-02-390-01</v>
      </c>
      <c r="J702" s="34"/>
      <c r="K702" s="33"/>
      <c r="R702">
        <f>ROUND((Source!FX169/100)*((ROUND(Source!AF169*Source!I169, 2)+ROUND(Source!AE169*Source!I169, 2))), 2)</f>
        <v>143.18</v>
      </c>
      <c r="S702">
        <f>Source!X169</f>
        <v>4818.0600000000004</v>
      </c>
      <c r="T702">
        <f>ROUND((Source!FY169/100)*((ROUND(Source!AF169*Source!I169, 2)+ROUND(Source!AE169*Source!I169, 2))), 2)</f>
        <v>97.97</v>
      </c>
      <c r="U702">
        <f>Source!Y169</f>
        <v>3296.57</v>
      </c>
    </row>
    <row r="703" spans="1:25" x14ac:dyDescent="0.2">
      <c r="C703" s="27" t="str">
        <f>"Объем: "&amp;Source!I169&amp;"=72/"&amp;"100"</f>
        <v>Объем: 0,72=72/100</v>
      </c>
    </row>
    <row r="704" spans="1:25" ht="14.25" x14ac:dyDescent="0.2">
      <c r="A704" s="20"/>
      <c r="B704" s="43"/>
      <c r="C704" s="43" t="s">
        <v>1372</v>
      </c>
      <c r="D704" s="32"/>
      <c r="E704" s="10"/>
      <c r="F704" s="33">
        <f>Source!AO169</f>
        <v>154.91999999999999</v>
      </c>
      <c r="G704" s="34" t="str">
        <f>Source!DG169</f>
        <v>)*1,35</v>
      </c>
      <c r="H704" s="33">
        <f>ROUND(Source!AF169*Source!I169, 2)</f>
        <v>150.58000000000001</v>
      </c>
      <c r="I704" s="34"/>
      <c r="J704" s="34">
        <f>IF(Source!BA169&lt;&gt; 0, Source!BA169, 1)</f>
        <v>33.65</v>
      </c>
      <c r="K704" s="33">
        <f>Source!S169</f>
        <v>5067.04</v>
      </c>
      <c r="Q704">
        <f>H704</f>
        <v>150.58000000000001</v>
      </c>
    </row>
    <row r="705" spans="1:25" ht="14.25" x14ac:dyDescent="0.2">
      <c r="A705" s="20"/>
      <c r="B705" s="43"/>
      <c r="C705" s="43" t="s">
        <v>646</v>
      </c>
      <c r="D705" s="32"/>
      <c r="E705" s="10"/>
      <c r="F705" s="33">
        <f>Source!AM169</f>
        <v>0.31</v>
      </c>
      <c r="G705" s="34" t="str">
        <f>Source!DE169</f>
        <v>)*1,35</v>
      </c>
      <c r="H705" s="33">
        <f>ROUND(Source!AD169*Source!I169, 2)</f>
        <v>0.3</v>
      </c>
      <c r="I705" s="34"/>
      <c r="J705" s="34">
        <f>IF(Source!BB169&lt;&gt; 0, Source!BB169, 1)</f>
        <v>14.88</v>
      </c>
      <c r="K705" s="33">
        <f>Source!Q169</f>
        <v>4.5</v>
      </c>
    </row>
    <row r="706" spans="1:25" ht="14.25" x14ac:dyDescent="0.2">
      <c r="A706" s="20"/>
      <c r="B706" s="43"/>
      <c r="C706" s="43" t="s">
        <v>1373</v>
      </c>
      <c r="D706" s="32"/>
      <c r="E706" s="10"/>
      <c r="F706" s="33">
        <f>Source!AN169</f>
        <v>0.14000000000000001</v>
      </c>
      <c r="G706" s="34" t="str">
        <f>Source!DF169</f>
        <v>)*1,35</v>
      </c>
      <c r="H706" s="35">
        <f>ROUND(Source!AE169*Source!I169, 2)</f>
        <v>0.14000000000000001</v>
      </c>
      <c r="I706" s="34"/>
      <c r="J706" s="34">
        <f>IF(Source!BS169&lt;&gt; 0, Source!BS169, 1)</f>
        <v>33.65</v>
      </c>
      <c r="K706" s="35">
        <f>Source!R169</f>
        <v>4.5999999999999996</v>
      </c>
      <c r="Q706">
        <f>H706</f>
        <v>0.14000000000000001</v>
      </c>
    </row>
    <row r="707" spans="1:25" ht="14.25" x14ac:dyDescent="0.2">
      <c r="A707" s="20"/>
      <c r="B707" s="43"/>
      <c r="C707" s="43" t="s">
        <v>1400</v>
      </c>
      <c r="D707" s="32"/>
      <c r="E707" s="10"/>
      <c r="F707" s="33">
        <f>Source!AL169</f>
        <v>51.53</v>
      </c>
      <c r="G707" s="34" t="str">
        <f>Source!DD169</f>
        <v/>
      </c>
      <c r="H707" s="33">
        <f>ROUND(Source!AC169*Source!I169, 2)</f>
        <v>37.1</v>
      </c>
      <c r="I707" s="34"/>
      <c r="J707" s="34">
        <f>IF(Source!BC169&lt;&gt; 0, Source!BC169, 1)</f>
        <v>7.93</v>
      </c>
      <c r="K707" s="33">
        <f>Source!P169</f>
        <v>294.22000000000003</v>
      </c>
    </row>
    <row r="708" spans="1:25" ht="14.25" x14ac:dyDescent="0.2">
      <c r="A708" s="20"/>
      <c r="B708" s="43"/>
      <c r="C708" s="43" t="s">
        <v>1374</v>
      </c>
      <c r="D708" s="32" t="s">
        <v>1375</v>
      </c>
      <c r="E708" s="10">
        <f>Source!BZ169</f>
        <v>95</v>
      </c>
      <c r="F708" s="46"/>
      <c r="G708" s="34"/>
      <c r="H708" s="33">
        <f>SUM(R702:R711)</f>
        <v>143.18</v>
      </c>
      <c r="I708" s="36"/>
      <c r="J708" s="31">
        <f>Source!AT169</f>
        <v>95</v>
      </c>
      <c r="K708" s="33">
        <f>SUM(S702:S711)</f>
        <v>4818.0600000000004</v>
      </c>
    </row>
    <row r="709" spans="1:25" ht="14.25" x14ac:dyDescent="0.2">
      <c r="A709" s="20"/>
      <c r="B709" s="43"/>
      <c r="C709" s="43" t="s">
        <v>1376</v>
      </c>
      <c r="D709" s="32" t="s">
        <v>1375</v>
      </c>
      <c r="E709" s="10">
        <f>Source!CA169</f>
        <v>65</v>
      </c>
      <c r="F709" s="46"/>
      <c r="G709" s="34"/>
      <c r="H709" s="33">
        <f>SUM(T702:T711)</f>
        <v>97.97</v>
      </c>
      <c r="I709" s="36"/>
      <c r="J709" s="31">
        <f>Source!AU169</f>
        <v>65</v>
      </c>
      <c r="K709" s="33">
        <f>SUM(U702:U711)</f>
        <v>3296.57</v>
      </c>
    </row>
    <row r="710" spans="1:25" ht="14.25" x14ac:dyDescent="0.2">
      <c r="A710" s="20"/>
      <c r="B710" s="43"/>
      <c r="C710" s="43" t="s">
        <v>1377</v>
      </c>
      <c r="D710" s="32" t="s">
        <v>1378</v>
      </c>
      <c r="E710" s="10">
        <f>Source!AQ169</f>
        <v>16.29</v>
      </c>
      <c r="F710" s="33"/>
      <c r="G710" s="34" t="str">
        <f>Source!DI169</f>
        <v>)*1,35</v>
      </c>
      <c r="H710" s="33"/>
      <c r="I710" s="34"/>
      <c r="J710" s="34"/>
      <c r="K710" s="33"/>
    </row>
    <row r="711" spans="1:25" ht="29.25" customHeight="1" x14ac:dyDescent="0.2">
      <c r="A711" s="44"/>
      <c r="B711" s="45" t="str">
        <f>Source!F170</f>
        <v>20.2.05.04-0011</v>
      </c>
      <c r="C711" s="45" t="str">
        <f>Source!G170</f>
        <v>Короба электротехнические для прокладки проводов, размер 20x12,5 мм</v>
      </c>
      <c r="D711" s="37" t="str">
        <f>Source!H170</f>
        <v>м</v>
      </c>
      <c r="E711" s="38">
        <f>Source!I170</f>
        <v>72</v>
      </c>
      <c r="F711" s="39">
        <f>Source!AL170+Source!AM170+Source!AO170</f>
        <v>7.15</v>
      </c>
      <c r="G711" s="41" t="s">
        <v>1385</v>
      </c>
      <c r="H711" s="39">
        <f>ROUND(Source!AC170*Source!I170, 2)+ROUND(Source!AD170*Source!I170, 2)+ROUND(Source!AF170*Source!I170, 2)</f>
        <v>514.79999999999995</v>
      </c>
      <c r="I711" s="40"/>
      <c r="J711" s="40">
        <f>IF(Source!BC170&lt;&gt; 0, Source!BC170, 1)</f>
        <v>8.85</v>
      </c>
      <c r="K711" s="39">
        <f>Source!O170</f>
        <v>4555.9799999999996</v>
      </c>
      <c r="R711">
        <f>ROUND((Source!FX170/100)*((ROUND(Source!AF170*Source!I170, 2)+ROUND(Source!AE170*Source!I170, 2))), 2)</f>
        <v>0</v>
      </c>
      <c r="S711">
        <f>Source!X170</f>
        <v>0</v>
      </c>
      <c r="T711">
        <f>ROUND((Source!FY170/100)*((ROUND(Source!AF170*Source!I170, 2)+ROUND(Source!AE170*Source!I170, 2))), 2)</f>
        <v>0</v>
      </c>
      <c r="U711">
        <f>Source!Y170</f>
        <v>0</v>
      </c>
      <c r="V711">
        <f>IF(Source!BI170&lt;=1,H711, 0)</f>
        <v>0</v>
      </c>
      <c r="W711">
        <f>IF(Source!BI170=2,H711, 0)</f>
        <v>514.79999999999995</v>
      </c>
      <c r="X711">
        <f>IF(Source!BI170=3,H711, 0)</f>
        <v>0</v>
      </c>
      <c r="Y711">
        <f>IF(Source!BI170=4,H711, 0)</f>
        <v>0</v>
      </c>
    </row>
    <row r="712" spans="1:25" ht="15" x14ac:dyDescent="0.25">
      <c r="G712" s="76">
        <f>H704+H705+H707+H708+H709+SUM(H711:H711)</f>
        <v>943.93</v>
      </c>
      <c r="H712" s="76"/>
      <c r="J712" s="76">
        <f>K704+K705+K707+K708+K709+SUM(K711:K711)</f>
        <v>18036.37</v>
      </c>
      <c r="K712" s="76"/>
      <c r="N712" s="28">
        <f>G712</f>
        <v>943.93</v>
      </c>
      <c r="O712" s="28">
        <f>J712</f>
        <v>18036.37</v>
      </c>
      <c r="P712" s="28" t="e">
        <f>#REF!</f>
        <v>#REF!</v>
      </c>
      <c r="V712">
        <f>IF(Source!BI169&lt;=1,H704+H705+H707+H708+H709, 0)</f>
        <v>0</v>
      </c>
      <c r="W712">
        <f>IF(Source!BI169=2,H704+H705+H707+H708+H709, 0)</f>
        <v>429.13</v>
      </c>
      <c r="X712">
        <f>IF(Source!BI169=3,H704+H705+H707+H708+H709, 0)</f>
        <v>0</v>
      </c>
      <c r="Y712">
        <f>IF(Source!BI169=4,H704+H705+H707+H708+H709, 0)</f>
        <v>0</v>
      </c>
    </row>
    <row r="713" spans="1:25" ht="65.25" x14ac:dyDescent="0.2">
      <c r="A713" s="20" t="str">
        <f>Source!E171</f>
        <v>68</v>
      </c>
      <c r="B713" s="43" t="s">
        <v>1444</v>
      </c>
      <c r="C713" s="43" t="str">
        <f>Source!G171</f>
        <v>Провод в коробах, сечением: до 6 мм2/Монтаж</v>
      </c>
      <c r="D713" s="32" t="str">
        <f>Source!H171</f>
        <v>100 м</v>
      </c>
      <c r="E713" s="10">
        <f>Source!I171</f>
        <v>0.72</v>
      </c>
      <c r="F713" s="33">
        <f>Source!AL171+Source!AM171+Source!AO171</f>
        <v>38.590000000000003</v>
      </c>
      <c r="G713" s="34"/>
      <c r="H713" s="33"/>
      <c r="I713" s="34" t="str">
        <f>Source!BO171</f>
        <v>м08-02-399-01</v>
      </c>
      <c r="J713" s="34"/>
      <c r="K713" s="33"/>
      <c r="R713">
        <f>ROUND((Source!FX171/100)*((ROUND(Source!AF171*Source!I171, 2)+ROUND(Source!AE171*Source!I171, 2))), 2)</f>
        <v>24.72</v>
      </c>
      <c r="S713">
        <f>Source!X171</f>
        <v>831.82</v>
      </c>
      <c r="T713">
        <f>ROUND((Source!FY171/100)*((ROUND(Source!AF171*Source!I171, 2)+ROUND(Source!AE171*Source!I171, 2))), 2)</f>
        <v>16.91</v>
      </c>
      <c r="U713">
        <f>Source!Y171</f>
        <v>569.14</v>
      </c>
    </row>
    <row r="714" spans="1:25" x14ac:dyDescent="0.2">
      <c r="C714" s="27" t="str">
        <f>"Объем: "&amp;Source!I171&amp;"=72/"&amp;"100"</f>
        <v>Объем: 0,72=72/100</v>
      </c>
    </row>
    <row r="715" spans="1:25" ht="14.25" x14ac:dyDescent="0.2">
      <c r="A715" s="20"/>
      <c r="B715" s="43"/>
      <c r="C715" s="43" t="s">
        <v>1372</v>
      </c>
      <c r="D715" s="32"/>
      <c r="E715" s="10"/>
      <c r="F715" s="33">
        <f>Source!AO171</f>
        <v>26.51</v>
      </c>
      <c r="G715" s="34" t="str">
        <f>Source!DG171</f>
        <v>)*1,35</v>
      </c>
      <c r="H715" s="33">
        <f>ROUND(Source!AF171*Source!I171, 2)</f>
        <v>25.77</v>
      </c>
      <c r="I715" s="34"/>
      <c r="J715" s="34">
        <f>IF(Source!BA171&lt;&gt; 0, Source!BA171, 1)</f>
        <v>33.65</v>
      </c>
      <c r="K715" s="33">
        <f>Source!S171</f>
        <v>867.12</v>
      </c>
      <c r="Q715">
        <f>H715</f>
        <v>25.77</v>
      </c>
    </row>
    <row r="716" spans="1:25" ht="14.25" x14ac:dyDescent="0.2">
      <c r="A716" s="20"/>
      <c r="B716" s="43"/>
      <c r="C716" s="43" t="s">
        <v>646</v>
      </c>
      <c r="D716" s="32"/>
      <c r="E716" s="10"/>
      <c r="F716" s="33">
        <f>Source!AM171</f>
        <v>1.81</v>
      </c>
      <c r="G716" s="34" t="str">
        <f>Source!DE171</f>
        <v>)*1,35</v>
      </c>
      <c r="H716" s="33">
        <f>ROUND(Source!AD171*Source!I171, 2)</f>
        <v>1.76</v>
      </c>
      <c r="I716" s="34"/>
      <c r="J716" s="34">
        <f>IF(Source!BB171&lt;&gt; 0, Source!BB171, 1)</f>
        <v>10.220000000000001</v>
      </c>
      <c r="K716" s="33">
        <f>Source!Q171</f>
        <v>17.95</v>
      </c>
    </row>
    <row r="717" spans="1:25" ht="14.25" x14ac:dyDescent="0.2">
      <c r="A717" s="20"/>
      <c r="B717" s="43"/>
      <c r="C717" s="43" t="s">
        <v>1373</v>
      </c>
      <c r="D717" s="32"/>
      <c r="E717" s="10"/>
      <c r="F717" s="33">
        <f>Source!AN171</f>
        <v>0.26</v>
      </c>
      <c r="G717" s="34" t="str">
        <f>Source!DF171</f>
        <v>)*1,35</v>
      </c>
      <c r="H717" s="35">
        <f>ROUND(Source!AE171*Source!I171, 2)</f>
        <v>0.25</v>
      </c>
      <c r="I717" s="34"/>
      <c r="J717" s="34">
        <f>IF(Source!BS171&lt;&gt; 0, Source!BS171, 1)</f>
        <v>33.65</v>
      </c>
      <c r="K717" s="35">
        <f>Source!R171</f>
        <v>8.48</v>
      </c>
      <c r="Q717">
        <f>H717</f>
        <v>0.25</v>
      </c>
    </row>
    <row r="718" spans="1:25" ht="14.25" x14ac:dyDescent="0.2">
      <c r="A718" s="20"/>
      <c r="B718" s="43"/>
      <c r="C718" s="43" t="s">
        <v>1400</v>
      </c>
      <c r="D718" s="32"/>
      <c r="E718" s="10"/>
      <c r="F718" s="33">
        <f>Source!AL171</f>
        <v>10.27</v>
      </c>
      <c r="G718" s="34" t="str">
        <f>Source!DD171</f>
        <v/>
      </c>
      <c r="H718" s="33">
        <f>ROUND(Source!AC171*Source!I171, 2)</f>
        <v>7.39</v>
      </c>
      <c r="I718" s="34"/>
      <c r="J718" s="34">
        <f>IF(Source!BC171&lt;&gt; 0, Source!BC171, 1)</f>
        <v>8.11</v>
      </c>
      <c r="K718" s="33">
        <f>Source!P171</f>
        <v>59.97</v>
      </c>
    </row>
    <row r="719" spans="1:25" ht="14.25" x14ac:dyDescent="0.2">
      <c r="A719" s="20"/>
      <c r="B719" s="43"/>
      <c r="C719" s="43" t="s">
        <v>1374</v>
      </c>
      <c r="D719" s="32" t="s">
        <v>1375</v>
      </c>
      <c r="E719" s="10">
        <f>Source!BZ171</f>
        <v>95</v>
      </c>
      <c r="F719" s="46"/>
      <c r="G719" s="34"/>
      <c r="H719" s="33">
        <f>SUM(R713:R723)</f>
        <v>24.72</v>
      </c>
      <c r="I719" s="36"/>
      <c r="J719" s="31">
        <f>Source!AT171</f>
        <v>95</v>
      </c>
      <c r="K719" s="33">
        <f>SUM(S713:S723)</f>
        <v>831.82</v>
      </c>
    </row>
    <row r="720" spans="1:25" ht="14.25" x14ac:dyDescent="0.2">
      <c r="A720" s="20"/>
      <c r="B720" s="43"/>
      <c r="C720" s="43" t="s">
        <v>1376</v>
      </c>
      <c r="D720" s="32" t="s">
        <v>1375</v>
      </c>
      <c r="E720" s="10">
        <f>Source!CA171</f>
        <v>65</v>
      </c>
      <c r="F720" s="46"/>
      <c r="G720" s="34"/>
      <c r="H720" s="33">
        <f>SUM(T713:T723)</f>
        <v>16.91</v>
      </c>
      <c r="I720" s="36"/>
      <c r="J720" s="31">
        <f>Source!AU171</f>
        <v>65</v>
      </c>
      <c r="K720" s="33">
        <f>SUM(U713:U723)</f>
        <v>569.14</v>
      </c>
    </row>
    <row r="721" spans="1:25" ht="14.25" x14ac:dyDescent="0.2">
      <c r="A721" s="20"/>
      <c r="B721" s="43"/>
      <c r="C721" s="43" t="s">
        <v>1377</v>
      </c>
      <c r="D721" s="32" t="s">
        <v>1378</v>
      </c>
      <c r="E721" s="10">
        <f>Source!AQ171</f>
        <v>2.82</v>
      </c>
      <c r="F721" s="33"/>
      <c r="G721" s="34" t="str">
        <f>Source!DI171</f>
        <v>)*1,35</v>
      </c>
      <c r="H721" s="33"/>
      <c r="I721" s="34"/>
      <c r="J721" s="34"/>
      <c r="K721" s="33"/>
    </row>
    <row r="722" spans="1:25" ht="101.25" customHeight="1" x14ac:dyDescent="0.2">
      <c r="A722" s="20"/>
      <c r="B722" s="43" t="str">
        <f>Source!F172</f>
        <v>21.1.06.09-0151</v>
      </c>
      <c r="C722" s="43" t="str">
        <f>Source!G172</f>
        <v>Кабели силовые с медными жилами, в изоляции и оболочке из ПВХ пластиката, без брони и наружного покрова, не распространяющие горение, с низким дымо-газовыделением, на напряжение 0,66 кВ, марка ВВГнг(A)-LS, число жил и сечение 3х1,5 мм2</v>
      </c>
      <c r="D722" s="32" t="str">
        <f>Source!H172</f>
        <v>1000 м</v>
      </c>
      <c r="E722" s="10">
        <f>Source!I172</f>
        <v>6.2E-2</v>
      </c>
      <c r="F722" s="33">
        <f>Source!AL172+Source!AM172+Source!AO172</f>
        <v>4832.12</v>
      </c>
      <c r="G722" s="42" t="s">
        <v>1385</v>
      </c>
      <c r="H722" s="33">
        <f>ROUND(Source!AC172*Source!I172, 2)+ROUND(Source!AD172*Source!I172, 2)+ROUND(Source!AF172*Source!I172, 2)</f>
        <v>299.58999999999997</v>
      </c>
      <c r="I722" s="34"/>
      <c r="J722" s="34">
        <f>IF(Source!BC172&lt;&gt; 0, Source!BC172, 1)</f>
        <v>10.07</v>
      </c>
      <c r="K722" s="33">
        <f>Source!O172</f>
        <v>3016.89</v>
      </c>
      <c r="R722">
        <f>ROUND((Source!FX172/100)*((ROUND(Source!AF172*Source!I172, 2)+ROUND(Source!AE172*Source!I172, 2))), 2)</f>
        <v>0</v>
      </c>
      <c r="S722">
        <f>Source!X172</f>
        <v>0</v>
      </c>
      <c r="T722">
        <f>ROUND((Source!FY172/100)*((ROUND(Source!AF172*Source!I172, 2)+ROUND(Source!AE172*Source!I172, 2))), 2)</f>
        <v>0</v>
      </c>
      <c r="U722">
        <f>Source!Y172</f>
        <v>0</v>
      </c>
      <c r="V722">
        <f>IF(Source!BI172&lt;=1,H722, 0)</f>
        <v>0</v>
      </c>
      <c r="W722">
        <f>IF(Source!BI172=2,H722, 0)</f>
        <v>299.58999999999997</v>
      </c>
      <c r="X722">
        <f>IF(Source!BI172=3,H722, 0)</f>
        <v>0</v>
      </c>
      <c r="Y722">
        <f>IF(Source!BI172=4,H722, 0)</f>
        <v>0</v>
      </c>
    </row>
    <row r="723" spans="1:25" ht="114" customHeight="1" x14ac:dyDescent="0.2">
      <c r="A723" s="44"/>
      <c r="B723" s="45" t="str">
        <f>Source!F173</f>
        <v>21.1.08.05-3612</v>
      </c>
      <c r="C723" s="45" t="str">
        <f>Source!G173</f>
        <v>Кабели гибкие с медными многопроволочными жилами, в изоляции и оболочке из ПВХ пластиката, экранированные, не распространяющие горение, для монтажа силовых цепей и цепей управления, на напряжение 0,66 кВ, марка КГВЭВнг, число жил и сечение 7х0,75 мм2</v>
      </c>
      <c r="D723" s="37" t="str">
        <f>Source!H173</f>
        <v>1000 м</v>
      </c>
      <c r="E723" s="38">
        <f>Source!I173</f>
        <v>0.01</v>
      </c>
      <c r="F723" s="39">
        <f>Source!AL173+Source!AM173+Source!AO173</f>
        <v>12095.97</v>
      </c>
      <c r="G723" s="41" t="s">
        <v>1385</v>
      </c>
      <c r="H723" s="39">
        <f>ROUND(Source!AC173*Source!I173, 2)+ROUND(Source!AD173*Source!I173, 2)+ROUND(Source!AF173*Source!I173, 2)</f>
        <v>120.96</v>
      </c>
      <c r="I723" s="40"/>
      <c r="J723" s="40">
        <f>IF(Source!BC173&lt;&gt; 0, Source!BC173, 1)</f>
        <v>9.35</v>
      </c>
      <c r="K723" s="39">
        <f>Source!O173</f>
        <v>1130.97</v>
      </c>
      <c r="R723">
        <f>ROUND((Source!FX173/100)*((ROUND(Source!AF173*Source!I173, 2)+ROUND(Source!AE173*Source!I173, 2))), 2)</f>
        <v>0</v>
      </c>
      <c r="S723">
        <f>Source!X173</f>
        <v>0</v>
      </c>
      <c r="T723">
        <f>ROUND((Source!FY173/100)*((ROUND(Source!AF173*Source!I173, 2)+ROUND(Source!AE173*Source!I173, 2))), 2)</f>
        <v>0</v>
      </c>
      <c r="U723">
        <f>Source!Y173</f>
        <v>0</v>
      </c>
      <c r="V723">
        <f>IF(Source!BI173&lt;=1,H723, 0)</f>
        <v>0</v>
      </c>
      <c r="W723">
        <f>IF(Source!BI173=2,H723, 0)</f>
        <v>120.96</v>
      </c>
      <c r="X723">
        <f>IF(Source!BI173=3,H723, 0)</f>
        <v>0</v>
      </c>
      <c r="Y723">
        <f>IF(Source!BI173=4,H723, 0)</f>
        <v>0</v>
      </c>
    </row>
    <row r="724" spans="1:25" ht="15" x14ac:dyDescent="0.25">
      <c r="G724" s="76">
        <f>H715+H716+H718+H719+H720+SUM(H722:H723)</f>
        <v>497.09999999999997</v>
      </c>
      <c r="H724" s="76"/>
      <c r="J724" s="76">
        <f>K715+K716+K718+K719+K720+SUM(K722:K723)</f>
        <v>6493.86</v>
      </c>
      <c r="K724" s="76"/>
      <c r="N724" s="28">
        <f>G724</f>
        <v>497.09999999999997</v>
      </c>
      <c r="O724" s="28">
        <f>J724</f>
        <v>6493.86</v>
      </c>
      <c r="P724" s="28" t="e">
        <f>#REF!</f>
        <v>#REF!</v>
      </c>
      <c r="V724">
        <f>IF(Source!BI171&lt;=1,H715+H716+H718+H719+H720, 0)</f>
        <v>0</v>
      </c>
      <c r="W724">
        <f>IF(Source!BI171=2,H715+H716+H718+H719+H720, 0)</f>
        <v>76.55</v>
      </c>
      <c r="X724">
        <f>IF(Source!BI171=3,H715+H716+H718+H719+H720, 0)</f>
        <v>0</v>
      </c>
      <c r="Y724">
        <f>IF(Source!BI171=4,H715+H716+H718+H719+H720, 0)</f>
        <v>0</v>
      </c>
    </row>
    <row r="725" spans="1:25" ht="65.25" x14ac:dyDescent="0.2">
      <c r="A725" s="20" t="str">
        <f>Source!E174</f>
        <v>69</v>
      </c>
      <c r="B725" s="43" t="s">
        <v>1445</v>
      </c>
      <c r="C725" s="43" t="str">
        <f>Source!G174</f>
        <v>Пробивка в кирпичных стенах отверстий круглых диаметром: до 25 мм при толщине стен до 51 см</v>
      </c>
      <c r="D725" s="32" t="str">
        <f>Source!H174</f>
        <v>100 ШТ</v>
      </c>
      <c r="E725" s="10">
        <f>Source!I174</f>
        <v>0.04</v>
      </c>
      <c r="F725" s="33">
        <f>Source!AL174+Source!AM174+Source!AO174</f>
        <v>2191.62</v>
      </c>
      <c r="G725" s="34"/>
      <c r="H725" s="33"/>
      <c r="I725" s="34" t="str">
        <f>Source!BO174</f>
        <v>46-03-009-05</v>
      </c>
      <c r="J725" s="34"/>
      <c r="K725" s="33"/>
      <c r="R725">
        <f>ROUND((Source!FX174/100)*((ROUND(Source!AF174*Source!I174, 2)+ROUND(Source!AE174*Source!I174, 2))), 2)</f>
        <v>36.630000000000003</v>
      </c>
      <c r="S725">
        <f>Source!X174</f>
        <v>1232.75</v>
      </c>
      <c r="T725">
        <f>ROUND((Source!FY174/100)*((ROUND(Source!AF174*Source!I174, 2)+ROUND(Source!AE174*Source!I174, 2))), 2)</f>
        <v>22.02</v>
      </c>
      <c r="U725">
        <f>Source!Y174</f>
        <v>747.12</v>
      </c>
    </row>
    <row r="726" spans="1:25" x14ac:dyDescent="0.2">
      <c r="C726" s="27" t="str">
        <f>"Объем: "&amp;Source!I174&amp;"=4/"&amp;"100"</f>
        <v>Объем: 0,04=4/100</v>
      </c>
    </row>
    <row r="727" spans="1:25" ht="14.25" x14ac:dyDescent="0.2">
      <c r="A727" s="20"/>
      <c r="B727" s="43"/>
      <c r="C727" s="43" t="s">
        <v>1372</v>
      </c>
      <c r="D727" s="32"/>
      <c r="E727" s="10"/>
      <c r="F727" s="33">
        <f>Source!AO174</f>
        <v>804.44</v>
      </c>
      <c r="G727" s="34" t="str">
        <f>Source!DG174</f>
        <v>)*1,15</v>
      </c>
      <c r="H727" s="33">
        <f>ROUND(Source!AF174*Source!I174, 2)</f>
        <v>37</v>
      </c>
      <c r="I727" s="34"/>
      <c r="J727" s="34">
        <f>IF(Source!BA174&lt;&gt; 0, Source!BA174, 1)</f>
        <v>33.65</v>
      </c>
      <c r="K727" s="33">
        <f>Source!S174</f>
        <v>1245.2</v>
      </c>
      <c r="Q727">
        <f>H727</f>
        <v>37</v>
      </c>
    </row>
    <row r="728" spans="1:25" ht="14.25" x14ac:dyDescent="0.2">
      <c r="A728" s="20"/>
      <c r="B728" s="43"/>
      <c r="C728" s="43" t="s">
        <v>646</v>
      </c>
      <c r="D728" s="32"/>
      <c r="E728" s="10"/>
      <c r="F728" s="33">
        <f>Source!AM174</f>
        <v>1387.18</v>
      </c>
      <c r="G728" s="34" t="str">
        <f>Source!DE174</f>
        <v>)*1,15</v>
      </c>
      <c r="H728" s="33">
        <f>ROUND(Source!AD174*Source!I174, 2)</f>
        <v>63.81</v>
      </c>
      <c r="I728" s="34"/>
      <c r="J728" s="34">
        <f>IF(Source!BB174&lt;&gt; 0, Source!BB174, 1)</f>
        <v>2.78</v>
      </c>
      <c r="K728" s="33">
        <f>Source!Q174</f>
        <v>177.39</v>
      </c>
    </row>
    <row r="729" spans="1:25" ht="14.25" x14ac:dyDescent="0.2">
      <c r="A729" s="20"/>
      <c r="B729" s="43"/>
      <c r="C729" s="43" t="s">
        <v>1374</v>
      </c>
      <c r="D729" s="32" t="s">
        <v>1375</v>
      </c>
      <c r="E729" s="10">
        <f>Source!BZ174</f>
        <v>110</v>
      </c>
      <c r="F729" s="64" t="str">
        <f>CONCATENATE(" )", Source!DL174, Source!FT174, "=", Source!FX174)</f>
        <v xml:space="preserve"> )*0,9=99</v>
      </c>
      <c r="G729" s="75"/>
      <c r="H729" s="33">
        <f>SUM(R725:R731)</f>
        <v>36.630000000000003</v>
      </c>
      <c r="I729" s="36"/>
      <c r="J729" s="31">
        <f>Source!AT174</f>
        <v>99</v>
      </c>
      <c r="K729" s="33">
        <f>SUM(S725:S731)</f>
        <v>1232.75</v>
      </c>
    </row>
    <row r="730" spans="1:25" ht="14.25" x14ac:dyDescent="0.2">
      <c r="A730" s="20"/>
      <c r="B730" s="43"/>
      <c r="C730" s="43" t="s">
        <v>1376</v>
      </c>
      <c r="D730" s="32" t="s">
        <v>1375</v>
      </c>
      <c r="E730" s="10">
        <f>Source!CA174</f>
        <v>70</v>
      </c>
      <c r="F730" s="64" t="str">
        <f>CONCATENATE(" )", Source!DM174, Source!FU174, "=", Source!FY174)</f>
        <v xml:space="preserve"> )*0,85=59,5</v>
      </c>
      <c r="G730" s="75"/>
      <c r="H730" s="33">
        <f>SUM(T725:T731)</f>
        <v>22.02</v>
      </c>
      <c r="I730" s="36"/>
      <c r="J730" s="31">
        <f>Source!AU174</f>
        <v>60</v>
      </c>
      <c r="K730" s="33">
        <f>SUM(U725:U731)</f>
        <v>747.12</v>
      </c>
    </row>
    <row r="731" spans="1:25" ht="14.25" x14ac:dyDescent="0.2">
      <c r="A731" s="44"/>
      <c r="B731" s="45"/>
      <c r="C731" s="45" t="s">
        <v>1377</v>
      </c>
      <c r="D731" s="37" t="s">
        <v>1378</v>
      </c>
      <c r="E731" s="38">
        <f>Source!AQ174</f>
        <v>87.63</v>
      </c>
      <c r="F731" s="39"/>
      <c r="G731" s="40" t="str">
        <f>Source!DI174</f>
        <v>)*1,15</v>
      </c>
      <c r="H731" s="39"/>
      <c r="I731" s="40"/>
      <c r="J731" s="40"/>
      <c r="K731" s="39"/>
    </row>
    <row r="732" spans="1:25" ht="15" x14ac:dyDescent="0.25">
      <c r="G732" s="76">
        <f>H727+H728+H729+H730</f>
        <v>159.46</v>
      </c>
      <c r="H732" s="76"/>
      <c r="J732" s="76">
        <f>K727+K728+K729+K730</f>
        <v>3402.46</v>
      </c>
      <c r="K732" s="76"/>
      <c r="N732" s="28">
        <f>G732</f>
        <v>159.46</v>
      </c>
      <c r="O732" s="28">
        <f>J732</f>
        <v>3402.46</v>
      </c>
      <c r="P732" s="28" t="e">
        <f>#REF!</f>
        <v>#REF!</v>
      </c>
      <c r="V732">
        <f>IF(Source!BI174&lt;=1,H727+H728+H729+H730, 0)</f>
        <v>159.46</v>
      </c>
      <c r="W732">
        <f>IF(Source!BI174=2,H727+H728+H729+H730, 0)</f>
        <v>0</v>
      </c>
      <c r="X732">
        <f>IF(Source!BI174=3,H727+H728+H729+H730, 0)</f>
        <v>0</v>
      </c>
      <c r="Y732">
        <f>IF(Source!BI174=4,H727+H728+H729+H730, 0)</f>
        <v>0</v>
      </c>
    </row>
    <row r="733" spans="1:25" ht="65.25" x14ac:dyDescent="0.2">
      <c r="A733" s="20" t="str">
        <f>Source!E175</f>
        <v>70</v>
      </c>
      <c r="B733" s="43" t="s">
        <v>1446</v>
      </c>
      <c r="C733" s="43" t="str">
        <f>Source!G175</f>
        <v>Ремонт цоколя (ц/п смесь М300)</v>
      </c>
      <c r="D733" s="32" t="str">
        <f>Source!H175</f>
        <v>100 м2</v>
      </c>
      <c r="E733" s="10">
        <f>Source!I175</f>
        <v>0.24099999999999999</v>
      </c>
      <c r="F733" s="33">
        <f>Source!AL175+Source!AM175+Source!AO175</f>
        <v>2662.2200000000003</v>
      </c>
      <c r="G733" s="34"/>
      <c r="H733" s="33"/>
      <c r="I733" s="34" t="str">
        <f>Source!BO175</f>
        <v>61-10-1</v>
      </c>
      <c r="J733" s="34"/>
      <c r="K733" s="33"/>
      <c r="R733">
        <f>ROUND((Source!FX175/100)*((ROUND(Source!AF175*Source!I175, 2)+ROUND(Source!AE175*Source!I175, 2))), 2)</f>
        <v>332.97</v>
      </c>
      <c r="S733">
        <f>Source!X175</f>
        <v>11204.35</v>
      </c>
      <c r="T733">
        <f>ROUND((Source!FY175/100)*((ROUND(Source!AF175*Source!I175, 2)+ROUND(Source!AE175*Source!I175, 2))), 2)</f>
        <v>210.74</v>
      </c>
      <c r="U733">
        <f>Source!Y175</f>
        <v>7091.36</v>
      </c>
    </row>
    <row r="734" spans="1:25" x14ac:dyDescent="0.2">
      <c r="C734" s="27" t="str">
        <f>"Объем: "&amp;Source!I175&amp;"=24,1/"&amp;"100"</f>
        <v>Объем: 0,241=24,1/100</v>
      </c>
    </row>
    <row r="735" spans="1:25" ht="14.25" x14ac:dyDescent="0.2">
      <c r="A735" s="20"/>
      <c r="B735" s="43"/>
      <c r="C735" s="43" t="s">
        <v>1372</v>
      </c>
      <c r="D735" s="32"/>
      <c r="E735" s="10"/>
      <c r="F735" s="33">
        <f>Source!AO175</f>
        <v>1520.76</v>
      </c>
      <c r="G735" s="34" t="str">
        <f>Source!DG175</f>
        <v>)*1,15</v>
      </c>
      <c r="H735" s="33">
        <f>ROUND(Source!AF175*Source!I175, 2)</f>
        <v>421.48</v>
      </c>
      <c r="I735" s="34"/>
      <c r="J735" s="34">
        <f>IF(Source!BA175&lt;&gt; 0, Source!BA175, 1)</f>
        <v>33.65</v>
      </c>
      <c r="K735" s="33">
        <f>Source!S175</f>
        <v>14182.72</v>
      </c>
      <c r="Q735">
        <f>H735</f>
        <v>421.48</v>
      </c>
    </row>
    <row r="736" spans="1:25" ht="14.25" x14ac:dyDescent="0.2">
      <c r="A736" s="20"/>
      <c r="B736" s="43"/>
      <c r="C736" s="43" t="s">
        <v>646</v>
      </c>
      <c r="D736" s="32"/>
      <c r="E736" s="10"/>
      <c r="F736" s="33">
        <f>Source!AM175</f>
        <v>1.21</v>
      </c>
      <c r="G736" s="34" t="str">
        <f>Source!DE175</f>
        <v>)*1,15</v>
      </c>
      <c r="H736" s="33">
        <f>ROUND(Source!AD175*Source!I175, 2)</f>
        <v>0.33</v>
      </c>
      <c r="I736" s="34"/>
      <c r="J736" s="34">
        <f>IF(Source!BB175&lt;&gt; 0, Source!BB175, 1)</f>
        <v>4.49</v>
      </c>
      <c r="K736" s="33">
        <f>Source!Q175</f>
        <v>1.5</v>
      </c>
    </row>
    <row r="737" spans="1:25" ht="14.25" x14ac:dyDescent="0.2">
      <c r="A737" s="20"/>
      <c r="B737" s="43"/>
      <c r="C737" s="43" t="s">
        <v>1400</v>
      </c>
      <c r="D737" s="32"/>
      <c r="E737" s="10"/>
      <c r="F737" s="33">
        <f>Source!AL175</f>
        <v>1140.25</v>
      </c>
      <c r="G737" s="34" t="str">
        <f>Source!DD175</f>
        <v/>
      </c>
      <c r="H737" s="33">
        <f>ROUND(Source!AC175*Source!I175, 2)</f>
        <v>274.8</v>
      </c>
      <c r="I737" s="34"/>
      <c r="J737" s="34">
        <f>IF(Source!BC175&lt;&gt; 0, Source!BC175, 1)</f>
        <v>6.31</v>
      </c>
      <c r="K737" s="33">
        <f>Source!P175</f>
        <v>1733.99</v>
      </c>
    </row>
    <row r="738" spans="1:25" ht="14.25" x14ac:dyDescent="0.2">
      <c r="A738" s="20"/>
      <c r="B738" s="43"/>
      <c r="C738" s="43" t="s">
        <v>1374</v>
      </c>
      <c r="D738" s="32" t="s">
        <v>1375</v>
      </c>
      <c r="E738" s="10">
        <f>Source!BZ175</f>
        <v>79</v>
      </c>
      <c r="F738" s="46"/>
      <c r="G738" s="34"/>
      <c r="H738" s="33">
        <f>SUM(R733:R741)</f>
        <v>332.97</v>
      </c>
      <c r="I738" s="36"/>
      <c r="J738" s="31">
        <f>Source!AT175</f>
        <v>79</v>
      </c>
      <c r="K738" s="33">
        <f>SUM(S733:S741)</f>
        <v>11204.35</v>
      </c>
    </row>
    <row r="739" spans="1:25" ht="14.25" x14ac:dyDescent="0.2">
      <c r="A739" s="20"/>
      <c r="B739" s="43"/>
      <c r="C739" s="43" t="s">
        <v>1376</v>
      </c>
      <c r="D739" s="32" t="s">
        <v>1375</v>
      </c>
      <c r="E739" s="10">
        <f>Source!CA175</f>
        <v>50</v>
      </c>
      <c r="F739" s="46"/>
      <c r="G739" s="34"/>
      <c r="H739" s="33">
        <f>SUM(T733:T741)</f>
        <v>210.74</v>
      </c>
      <c r="I739" s="36"/>
      <c r="J739" s="31">
        <f>Source!AU175</f>
        <v>50</v>
      </c>
      <c r="K739" s="33">
        <f>SUM(U733:U741)</f>
        <v>7091.36</v>
      </c>
    </row>
    <row r="740" spans="1:25" ht="14.25" x14ac:dyDescent="0.2">
      <c r="A740" s="20"/>
      <c r="B740" s="43"/>
      <c r="C740" s="43" t="s">
        <v>1377</v>
      </c>
      <c r="D740" s="32" t="s">
        <v>1378</v>
      </c>
      <c r="E740" s="10">
        <f>Source!AQ175</f>
        <v>174</v>
      </c>
      <c r="F740" s="33"/>
      <c r="G740" s="34" t="str">
        <f>Source!DI175</f>
        <v>)*1,15</v>
      </c>
      <c r="H740" s="33"/>
      <c r="I740" s="34"/>
      <c r="J740" s="34"/>
      <c r="K740" s="33"/>
    </row>
    <row r="741" spans="1:25" ht="14.25" x14ac:dyDescent="0.2">
      <c r="A741" s="44"/>
      <c r="B741" s="45" t="str">
        <f>Source!F176</f>
        <v>999-9900</v>
      </c>
      <c r="C741" s="45" t="str">
        <f>Source!G176</f>
        <v>Строительный мусор</v>
      </c>
      <c r="D741" s="37" t="str">
        <f>Source!H176</f>
        <v>т</v>
      </c>
      <c r="E741" s="38">
        <f>Source!I176</f>
        <v>1.1592100000000001</v>
      </c>
      <c r="F741" s="39">
        <f>Source!AL176+Source!AM176+Source!AO176</f>
        <v>0</v>
      </c>
      <c r="G741" s="41" t="s">
        <v>1385</v>
      </c>
      <c r="H741" s="39">
        <f>ROUND(Source!AC176*Source!I176, 2)+ROUND(Source!AD176*Source!I176, 2)+ROUND(Source!AF176*Source!I176, 2)</f>
        <v>0</v>
      </c>
      <c r="I741" s="40"/>
      <c r="J741" s="40">
        <f>IF(Source!BC176&lt;&gt; 0, Source!BC176, 1)</f>
        <v>1</v>
      </c>
      <c r="K741" s="39">
        <f>Source!O176</f>
        <v>0</v>
      </c>
      <c r="R741">
        <f>ROUND((Source!FX176/100)*((ROUND(Source!AF176*Source!I176, 2)+ROUND(Source!AE176*Source!I176, 2))), 2)</f>
        <v>0</v>
      </c>
      <c r="S741">
        <f>Source!X176</f>
        <v>0</v>
      </c>
      <c r="T741">
        <f>ROUND((Source!FY176/100)*((ROUND(Source!AF176*Source!I176, 2)+ROUND(Source!AE176*Source!I176, 2))), 2)</f>
        <v>0</v>
      </c>
      <c r="U741">
        <f>Source!Y176</f>
        <v>0</v>
      </c>
      <c r="V741">
        <f>IF(Source!BI176&lt;=1,H741, 0)</f>
        <v>0</v>
      </c>
      <c r="W741">
        <f>IF(Source!BI176=2,H741, 0)</f>
        <v>0</v>
      </c>
      <c r="X741">
        <f>IF(Source!BI176=3,H741, 0)</f>
        <v>0</v>
      </c>
      <c r="Y741">
        <f>IF(Source!BI176=4,H741, 0)</f>
        <v>0</v>
      </c>
    </row>
    <row r="742" spans="1:25" ht="15" x14ac:dyDescent="0.25">
      <c r="G742" s="76">
        <f>H735+H736+H737+H738+H739+SUM(H741:H741)</f>
        <v>1240.32</v>
      </c>
      <c r="H742" s="76"/>
      <c r="J742" s="76">
        <f>K735+K736+K737+K738+K739+SUM(K741:K741)</f>
        <v>34213.919999999998</v>
      </c>
      <c r="K742" s="76"/>
      <c r="N742" s="28">
        <f>G742</f>
        <v>1240.32</v>
      </c>
      <c r="O742" s="28">
        <f>J742</f>
        <v>34213.919999999998</v>
      </c>
      <c r="P742" s="28" t="e">
        <f>#REF!</f>
        <v>#REF!</v>
      </c>
      <c r="V742">
        <f>IF(Source!BI175&lt;=1,H735+H736+H737+H738+H739, 0)</f>
        <v>1240.32</v>
      </c>
      <c r="W742">
        <f>IF(Source!BI175=2,H735+H736+H737+H738+H739, 0)</f>
        <v>0</v>
      </c>
      <c r="X742">
        <f>IF(Source!BI175=3,H735+H736+H737+H738+H739, 0)</f>
        <v>0</v>
      </c>
      <c r="Y742">
        <f>IF(Source!BI175=4,H735+H736+H737+H738+H739, 0)</f>
        <v>0</v>
      </c>
    </row>
    <row r="743" spans="1:25" ht="103.5" x14ac:dyDescent="0.2">
      <c r="A743" s="20" t="str">
        <f>Source!E177</f>
        <v>71</v>
      </c>
      <c r="B743" s="43" t="s">
        <v>1447</v>
      </c>
      <c r="C743" s="43" t="str">
        <f>Source!G177</f>
        <v>Улучшенная штукатурка фасадов цементно-известковым раствором по камню: стен (цоколя)</v>
      </c>
      <c r="D743" s="32" t="str">
        <f>Source!H177</f>
        <v>100 м2</v>
      </c>
      <c r="E743" s="10">
        <f>Source!I177</f>
        <v>0.24099999999999999</v>
      </c>
      <c r="F743" s="33">
        <f>Source!AL177+Source!AM177+Source!AO177</f>
        <v>1612.57</v>
      </c>
      <c r="G743" s="34"/>
      <c r="H743" s="33"/>
      <c r="I743" s="34" t="str">
        <f>Source!BO177</f>
        <v>15-02-001-01</v>
      </c>
      <c r="J743" s="34"/>
      <c r="K743" s="33"/>
      <c r="R743">
        <f>ROUND((Source!FX177/100)*((ROUND(Source!AF177*Source!I177, 2)+ROUND(Source!AE177*Source!I177, 2))), 2)</f>
        <v>216.05</v>
      </c>
      <c r="S743">
        <f>Source!X177</f>
        <v>7308.26</v>
      </c>
      <c r="T743">
        <f>ROUND((Source!FY177/100)*((ROUND(Source!AF177*Source!I177, 2)+ROUND(Source!AE177*Source!I177, 2))), 2)</f>
        <v>106.88</v>
      </c>
      <c r="U743">
        <f>Source!Y177</f>
        <v>3615.66</v>
      </c>
    </row>
    <row r="744" spans="1:25" x14ac:dyDescent="0.2">
      <c r="C744" s="27" t="str">
        <f>"Объем: "&amp;Source!I177&amp;"=24,1/"&amp;"100"</f>
        <v>Объем: 0,241=24,1/100</v>
      </c>
    </row>
    <row r="745" spans="1:25" ht="14.25" x14ac:dyDescent="0.2">
      <c r="A745" s="20"/>
      <c r="B745" s="43"/>
      <c r="C745" s="43" t="s">
        <v>1372</v>
      </c>
      <c r="D745" s="32"/>
      <c r="E745" s="10"/>
      <c r="F745" s="33">
        <f>Source!AO177</f>
        <v>587.78</v>
      </c>
      <c r="G745" s="34" t="str">
        <f>Source!DG177</f>
        <v>)*1,35)*1,15</v>
      </c>
      <c r="H745" s="33">
        <f>ROUND(Source!AF177*Source!I177, 2)</f>
        <v>219.92</v>
      </c>
      <c r="I745" s="34"/>
      <c r="J745" s="34">
        <f>IF(Source!BA177&lt;&gt; 0, Source!BA177, 1)</f>
        <v>33.65</v>
      </c>
      <c r="K745" s="33">
        <f>Source!S177</f>
        <v>7400.3</v>
      </c>
      <c r="Q745">
        <f>H745</f>
        <v>219.92</v>
      </c>
    </row>
    <row r="746" spans="1:25" ht="14.25" x14ac:dyDescent="0.2">
      <c r="A746" s="20"/>
      <c r="B746" s="43"/>
      <c r="C746" s="43" t="s">
        <v>646</v>
      </c>
      <c r="D746" s="32"/>
      <c r="E746" s="10"/>
      <c r="F746" s="33">
        <f>Source!AM177</f>
        <v>45.09</v>
      </c>
      <c r="G746" s="34" t="str">
        <f>Source!DE177</f>
        <v>)*1,35)*1,25</v>
      </c>
      <c r="H746" s="33">
        <f>ROUND(Source!AD177*Source!I177, 2)</f>
        <v>18.34</v>
      </c>
      <c r="I746" s="34"/>
      <c r="J746" s="34">
        <f>IF(Source!BB177&lt;&gt; 0, Source!BB177, 1)</f>
        <v>22.29</v>
      </c>
      <c r="K746" s="33">
        <f>Source!Q177</f>
        <v>408.75</v>
      </c>
    </row>
    <row r="747" spans="1:25" ht="14.25" x14ac:dyDescent="0.2">
      <c r="A747" s="20"/>
      <c r="B747" s="43"/>
      <c r="C747" s="43" t="s">
        <v>1373</v>
      </c>
      <c r="D747" s="32"/>
      <c r="E747" s="10"/>
      <c r="F747" s="33">
        <f>Source!AN177</f>
        <v>21.38</v>
      </c>
      <c r="G747" s="34" t="str">
        <f>Source!DF177</f>
        <v>)*1,35)*1,25</v>
      </c>
      <c r="H747" s="35">
        <f>ROUND(Source!AE177*Source!I177, 2)</f>
        <v>8.6999999999999993</v>
      </c>
      <c r="I747" s="34"/>
      <c r="J747" s="34">
        <f>IF(Source!BS177&lt;&gt; 0, Source!BS177, 1)</f>
        <v>33.65</v>
      </c>
      <c r="K747" s="35">
        <f>Source!R177</f>
        <v>292.60000000000002</v>
      </c>
      <c r="Q747">
        <f>H747</f>
        <v>8.6999999999999993</v>
      </c>
    </row>
    <row r="748" spans="1:25" ht="14.25" x14ac:dyDescent="0.2">
      <c r="A748" s="20"/>
      <c r="B748" s="43"/>
      <c r="C748" s="43" t="s">
        <v>1400</v>
      </c>
      <c r="D748" s="32"/>
      <c r="E748" s="10"/>
      <c r="F748" s="33">
        <f>Source!AL177</f>
        <v>979.7</v>
      </c>
      <c r="G748" s="34" t="str">
        <f>Source!DD177</f>
        <v/>
      </c>
      <c r="H748" s="33">
        <f>ROUND(Source!AC177*Source!I177, 2)</f>
        <v>236.11</v>
      </c>
      <c r="I748" s="34"/>
      <c r="J748" s="34">
        <f>IF(Source!BC177&lt;&gt; 0, Source!BC177, 1)</f>
        <v>6.31</v>
      </c>
      <c r="K748" s="33">
        <f>Source!P177</f>
        <v>1489.84</v>
      </c>
    </row>
    <row r="749" spans="1:25" ht="14.25" x14ac:dyDescent="0.2">
      <c r="A749" s="20"/>
      <c r="B749" s="43"/>
      <c r="C749" s="43" t="s">
        <v>1374</v>
      </c>
      <c r="D749" s="32" t="s">
        <v>1375</v>
      </c>
      <c r="E749" s="10">
        <f>Source!BZ177</f>
        <v>105</v>
      </c>
      <c r="F749" s="64" t="str">
        <f>CONCATENATE(" )", Source!DL177, Source!FT177, "=", Source!FX177)</f>
        <v xml:space="preserve"> )*0,9=94,5</v>
      </c>
      <c r="G749" s="75"/>
      <c r="H749" s="33">
        <f>SUM(R743:R751)</f>
        <v>216.05</v>
      </c>
      <c r="I749" s="36"/>
      <c r="J749" s="31">
        <f>Source!AT177</f>
        <v>95</v>
      </c>
      <c r="K749" s="33">
        <f>SUM(S743:S751)</f>
        <v>7308.26</v>
      </c>
    </row>
    <row r="750" spans="1:25" ht="14.25" x14ac:dyDescent="0.2">
      <c r="A750" s="20"/>
      <c r="B750" s="43"/>
      <c r="C750" s="43" t="s">
        <v>1376</v>
      </c>
      <c r="D750" s="32" t="s">
        <v>1375</v>
      </c>
      <c r="E750" s="10">
        <f>Source!CA177</f>
        <v>55</v>
      </c>
      <c r="F750" s="64" t="str">
        <f>CONCATENATE(" )", Source!DM177, Source!FU177, "=", Source!FY177)</f>
        <v xml:space="preserve"> )*0,85=46,75</v>
      </c>
      <c r="G750" s="75"/>
      <c r="H750" s="33">
        <f>SUM(T743:T751)</f>
        <v>106.88</v>
      </c>
      <c r="I750" s="36"/>
      <c r="J750" s="31">
        <f>Source!AU177</f>
        <v>47</v>
      </c>
      <c r="K750" s="33">
        <f>SUM(U743:U751)</f>
        <v>3615.66</v>
      </c>
    </row>
    <row r="751" spans="1:25" ht="14.25" x14ac:dyDescent="0.2">
      <c r="A751" s="44"/>
      <c r="B751" s="45"/>
      <c r="C751" s="45" t="s">
        <v>1377</v>
      </c>
      <c r="D751" s="37" t="s">
        <v>1378</v>
      </c>
      <c r="E751" s="38">
        <f>Source!AQ177</f>
        <v>61.1</v>
      </c>
      <c r="F751" s="39"/>
      <c r="G751" s="40" t="str">
        <f>Source!DI177</f>
        <v>)*1,35)*1,15</v>
      </c>
      <c r="H751" s="39"/>
      <c r="I751" s="40"/>
      <c r="J751" s="40"/>
      <c r="K751" s="39"/>
    </row>
    <row r="752" spans="1:25" ht="15" x14ac:dyDescent="0.25">
      <c r="G752" s="76">
        <f>H745+H746+H748+H749+H750</f>
        <v>797.30000000000007</v>
      </c>
      <c r="H752" s="76"/>
      <c r="J752" s="76">
        <f>K745+K746+K748+K749+K750</f>
        <v>20222.810000000001</v>
      </c>
      <c r="K752" s="76"/>
      <c r="N752" s="28">
        <f>G752</f>
        <v>797.30000000000007</v>
      </c>
      <c r="O752" s="28">
        <f>J752</f>
        <v>20222.810000000001</v>
      </c>
      <c r="P752" s="28" t="e">
        <f>#REF!</f>
        <v>#REF!</v>
      </c>
      <c r="V752">
        <f>IF(Source!BI177&lt;=1,H745+H746+H748+H749+H750, 0)</f>
        <v>797.30000000000007</v>
      </c>
      <c r="W752">
        <f>IF(Source!BI177=2,H745+H746+H748+H749+H750, 0)</f>
        <v>0</v>
      </c>
      <c r="X752">
        <f>IF(Source!BI177=3,H745+H746+H748+H749+H750, 0)</f>
        <v>0</v>
      </c>
      <c r="Y752">
        <f>IF(Source!BI177=4,H745+H746+H748+H749+H750, 0)</f>
        <v>0</v>
      </c>
    </row>
    <row r="753" spans="1:25" ht="103.5" x14ac:dyDescent="0.2">
      <c r="A753" s="20" t="str">
        <f>Source!E178</f>
        <v>72</v>
      </c>
      <c r="B753" s="43" t="s">
        <v>1448</v>
      </c>
      <c r="C753" s="43" t="str">
        <f>Source!G178</f>
        <v>Окраска фасадов акриловыми составами: вручную с подготовкой поверхности (цоколя)</v>
      </c>
      <c r="D753" s="32" t="str">
        <f>Source!H178</f>
        <v>100 м2</v>
      </c>
      <c r="E753" s="10">
        <f>Source!I178</f>
        <v>0.24099999999999999</v>
      </c>
      <c r="F753" s="33">
        <f>Source!AL178+Source!AM178+Source!AO178</f>
        <v>239.32999999999998</v>
      </c>
      <c r="G753" s="34"/>
      <c r="H753" s="33"/>
      <c r="I753" s="34" t="str">
        <f>Source!BO178</f>
        <v>15-04-019-05</v>
      </c>
      <c r="J753" s="34"/>
      <c r="K753" s="33"/>
      <c r="R753">
        <f>ROUND((Source!FX178/100)*((ROUND(Source!AF178*Source!I178, 2)+ROUND(Source!AE178*Source!I178, 2))), 2)</f>
        <v>45.69</v>
      </c>
      <c r="S753">
        <f>Source!X178</f>
        <v>1545.45</v>
      </c>
      <c r="T753">
        <f>ROUND((Source!FY178/100)*((ROUND(Source!AF178*Source!I178, 2)+ROUND(Source!AE178*Source!I178, 2))), 2)</f>
        <v>22.6</v>
      </c>
      <c r="U753">
        <f>Source!Y178</f>
        <v>764.59</v>
      </c>
    </row>
    <row r="754" spans="1:25" x14ac:dyDescent="0.2">
      <c r="C754" s="27" t="str">
        <f>"Объем: "&amp;Source!I178&amp;"=24,1/"&amp;"100"</f>
        <v>Объем: 0,241=24,1/100</v>
      </c>
    </row>
    <row r="755" spans="1:25" ht="14.25" x14ac:dyDescent="0.2">
      <c r="A755" s="20"/>
      <c r="B755" s="43"/>
      <c r="C755" s="43" t="s">
        <v>1372</v>
      </c>
      <c r="D755" s="32"/>
      <c r="E755" s="10"/>
      <c r="F755" s="33">
        <f>Source!AO178</f>
        <v>128.19999999999999</v>
      </c>
      <c r="G755" s="34" t="str">
        <f>Source!DG178</f>
        <v>)*1,35)*1,15</v>
      </c>
      <c r="H755" s="33">
        <f>ROUND(Source!AF178*Source!I178, 2)</f>
        <v>47.97</v>
      </c>
      <c r="I755" s="34"/>
      <c r="J755" s="34">
        <f>IF(Source!BA178&lt;&gt; 0, Source!BA178, 1)</f>
        <v>33.65</v>
      </c>
      <c r="K755" s="33">
        <f>Source!S178</f>
        <v>1614.06</v>
      </c>
      <c r="Q755">
        <f>H755</f>
        <v>47.97</v>
      </c>
    </row>
    <row r="756" spans="1:25" ht="14.25" x14ac:dyDescent="0.2">
      <c r="A756" s="20"/>
      <c r="B756" s="43"/>
      <c r="C756" s="43" t="s">
        <v>646</v>
      </c>
      <c r="D756" s="32"/>
      <c r="E756" s="10"/>
      <c r="F756" s="33">
        <f>Source!AM178</f>
        <v>5.41</v>
      </c>
      <c r="G756" s="34" t="str">
        <f>Source!DE178</f>
        <v>)*1,35)*1,25</v>
      </c>
      <c r="H756" s="33">
        <f>ROUND(Source!AD178*Source!I178, 2)</f>
        <v>2.2000000000000002</v>
      </c>
      <c r="I756" s="34"/>
      <c r="J756" s="34">
        <f>IF(Source!BB178&lt;&gt; 0, Source!BB178, 1)</f>
        <v>11.6</v>
      </c>
      <c r="K756" s="33">
        <f>Source!Q178</f>
        <v>25.52</v>
      </c>
    </row>
    <row r="757" spans="1:25" ht="14.25" x14ac:dyDescent="0.2">
      <c r="A757" s="20"/>
      <c r="B757" s="43"/>
      <c r="C757" s="43" t="s">
        <v>1373</v>
      </c>
      <c r="D757" s="32"/>
      <c r="E757" s="10"/>
      <c r="F757" s="33">
        <f>Source!AN178</f>
        <v>0.93</v>
      </c>
      <c r="G757" s="34" t="str">
        <f>Source!DF178</f>
        <v>)*1,35)*1,25</v>
      </c>
      <c r="H757" s="35">
        <f>ROUND(Source!AE178*Source!I178, 2)</f>
        <v>0.38</v>
      </c>
      <c r="I757" s="34"/>
      <c r="J757" s="34">
        <f>IF(Source!BS178&lt;&gt; 0, Source!BS178, 1)</f>
        <v>33.65</v>
      </c>
      <c r="K757" s="35">
        <f>Source!R178</f>
        <v>12.73</v>
      </c>
      <c r="Q757">
        <f>H757</f>
        <v>0.38</v>
      </c>
    </row>
    <row r="758" spans="1:25" ht="14.25" x14ac:dyDescent="0.2">
      <c r="A758" s="20"/>
      <c r="B758" s="43"/>
      <c r="C758" s="43" t="s">
        <v>1400</v>
      </c>
      <c r="D758" s="32"/>
      <c r="E758" s="10"/>
      <c r="F758" s="33">
        <f>Source!AL178</f>
        <v>105.72</v>
      </c>
      <c r="G758" s="34" t="str">
        <f>Source!DD178</f>
        <v/>
      </c>
      <c r="H758" s="33">
        <f>ROUND(Source!AC178*Source!I178, 2)</f>
        <v>25.48</v>
      </c>
      <c r="I758" s="34"/>
      <c r="J758" s="34">
        <f>IF(Source!BC178&lt;&gt; 0, Source!BC178, 1)</f>
        <v>7.79</v>
      </c>
      <c r="K758" s="33">
        <f>Source!P178</f>
        <v>198.48</v>
      </c>
    </row>
    <row r="759" spans="1:25" ht="14.25" x14ac:dyDescent="0.2">
      <c r="A759" s="20"/>
      <c r="B759" s="43"/>
      <c r="C759" s="43" t="s">
        <v>1374</v>
      </c>
      <c r="D759" s="32" t="s">
        <v>1375</v>
      </c>
      <c r="E759" s="10">
        <f>Source!BZ178</f>
        <v>105</v>
      </c>
      <c r="F759" s="64" t="str">
        <f>CONCATENATE(" )", Source!DL178, Source!FT178, "=", Source!FX178)</f>
        <v xml:space="preserve"> )*0,9=94,5</v>
      </c>
      <c r="G759" s="75"/>
      <c r="H759" s="33">
        <f>SUM(R753:R763)</f>
        <v>45.69</v>
      </c>
      <c r="I759" s="36"/>
      <c r="J759" s="31">
        <f>Source!AT178</f>
        <v>95</v>
      </c>
      <c r="K759" s="33">
        <f>SUM(S753:S763)</f>
        <v>1545.45</v>
      </c>
    </row>
    <row r="760" spans="1:25" ht="14.25" x14ac:dyDescent="0.2">
      <c r="A760" s="20"/>
      <c r="B760" s="43"/>
      <c r="C760" s="43" t="s">
        <v>1376</v>
      </c>
      <c r="D760" s="32" t="s">
        <v>1375</v>
      </c>
      <c r="E760" s="10">
        <f>Source!CA178</f>
        <v>55</v>
      </c>
      <c r="F760" s="64" t="str">
        <f>CONCATENATE(" )", Source!DM178, Source!FU178, "=", Source!FY178)</f>
        <v xml:space="preserve"> )*0,85=46,75</v>
      </c>
      <c r="G760" s="75"/>
      <c r="H760" s="33">
        <f>SUM(T753:T763)</f>
        <v>22.6</v>
      </c>
      <c r="I760" s="36"/>
      <c r="J760" s="31">
        <f>Source!AU178</f>
        <v>47</v>
      </c>
      <c r="K760" s="33">
        <f>SUM(U753:U763)</f>
        <v>764.59</v>
      </c>
    </row>
    <row r="761" spans="1:25" ht="14.25" x14ac:dyDescent="0.2">
      <c r="A761" s="20"/>
      <c r="B761" s="43"/>
      <c r="C761" s="43" t="s">
        <v>1377</v>
      </c>
      <c r="D761" s="32" t="s">
        <v>1378</v>
      </c>
      <c r="E761" s="10">
        <f>Source!AQ178</f>
        <v>13.8</v>
      </c>
      <c r="F761" s="33"/>
      <c r="G761" s="34" t="str">
        <f>Source!DI178</f>
        <v>)*1,35)*1,15</v>
      </c>
      <c r="H761" s="33"/>
      <c r="I761" s="34"/>
      <c r="J761" s="34"/>
      <c r="K761" s="33"/>
    </row>
    <row r="762" spans="1:25" ht="28.5" x14ac:dyDescent="0.2">
      <c r="A762" s="20"/>
      <c r="B762" s="43" t="str">
        <f>Source!F179</f>
        <v>14.3.02.01-0202</v>
      </c>
      <c r="C762" s="43" t="str">
        <f>Source!G179</f>
        <v>Краски фасадные акриловые, тон средний</v>
      </c>
      <c r="D762" s="32" t="str">
        <f>Source!H179</f>
        <v>т</v>
      </c>
      <c r="E762" s="10">
        <f>Source!I179</f>
        <v>7.2300000000000003E-3</v>
      </c>
      <c r="F762" s="33">
        <f>Source!AL179+Source!AM179+Source!AO179</f>
        <v>34286.5</v>
      </c>
      <c r="G762" s="42" t="s">
        <v>1385</v>
      </c>
      <c r="H762" s="33">
        <f>ROUND(Source!AC179*Source!I179, 2)+ROUND(Source!AD179*Source!I179, 2)+ROUND(Source!AF179*Source!I179, 2)</f>
        <v>247.89</v>
      </c>
      <c r="I762" s="34"/>
      <c r="J762" s="34">
        <f>IF(Source!BC179&lt;&gt; 0, Source!BC179, 1)</f>
        <v>3.85</v>
      </c>
      <c r="K762" s="33">
        <f>Source!O179</f>
        <v>954.38</v>
      </c>
      <c r="R762">
        <f>ROUND((Source!FX179/100)*((ROUND(Source!AF179*Source!I179, 2)+ROUND(Source!AE179*Source!I179, 2))), 2)</f>
        <v>0</v>
      </c>
      <c r="S762">
        <f>Source!X179</f>
        <v>0</v>
      </c>
      <c r="T762">
        <f>ROUND((Source!FY179/100)*((ROUND(Source!AF179*Source!I179, 2)+ROUND(Source!AE179*Source!I179, 2))), 2)</f>
        <v>0</v>
      </c>
      <c r="U762">
        <f>Source!Y179</f>
        <v>0</v>
      </c>
      <c r="V762">
        <f>IF(Source!BI179&lt;=1,H762, 0)</f>
        <v>247.89</v>
      </c>
      <c r="W762">
        <f>IF(Source!BI179=2,H762, 0)</f>
        <v>0</v>
      </c>
      <c r="X762">
        <f>IF(Source!BI179=3,H762, 0)</f>
        <v>0</v>
      </c>
      <c r="Y762">
        <f>IF(Source!BI179=4,H762, 0)</f>
        <v>0</v>
      </c>
    </row>
    <row r="763" spans="1:25" ht="171" x14ac:dyDescent="0.2">
      <c r="A763" s="44"/>
      <c r="B763" s="45" t="str">
        <f>Source!F180</f>
        <v>14.4.01.02-0011</v>
      </c>
      <c r="C763" s="45" t="str">
        <f>Source!G180</f>
        <v>Грунтовка укрепляющая, глубокого проникновения для внутренних и наружних работ. Время высыхания при t 20 влажности 65% (ч) : 3-5; Плотность:1300-1450; Температура применения:+5°С +30°С; Норма расхода (мл/м2):100-150; Тип грунтовки: дисперсия акриловых сополимеров; Серия: Грунт укрепляющий; Морозостойкость (циклов): не менее 5; Связующее вещество: Акриловый сополимер</v>
      </c>
      <c r="D763" s="37" t="str">
        <f>Source!H180</f>
        <v>л</v>
      </c>
      <c r="E763" s="38">
        <f>Source!I180</f>
        <v>3.6150000000000002</v>
      </c>
      <c r="F763" s="39">
        <f>Source!AL180+Source!AM180+Source!AO180</f>
        <v>43.58</v>
      </c>
      <c r="G763" s="41" t="s">
        <v>1385</v>
      </c>
      <c r="H763" s="39">
        <f>ROUND(Source!AC180*Source!I180, 2)+ROUND(Source!AD180*Source!I180, 2)+ROUND(Source!AF180*Source!I180, 2)</f>
        <v>157.54</v>
      </c>
      <c r="I763" s="40"/>
      <c r="J763" s="40">
        <f>IF(Source!BC180&lt;&gt; 0, Source!BC180, 1)</f>
        <v>3.74</v>
      </c>
      <c r="K763" s="39">
        <f>Source!O180</f>
        <v>589.21</v>
      </c>
      <c r="R763">
        <f>ROUND((Source!FX180/100)*((ROUND(Source!AF180*Source!I180, 2)+ROUND(Source!AE180*Source!I180, 2))), 2)</f>
        <v>0</v>
      </c>
      <c r="S763">
        <f>Source!X180</f>
        <v>0</v>
      </c>
      <c r="T763">
        <f>ROUND((Source!FY180/100)*((ROUND(Source!AF180*Source!I180, 2)+ROUND(Source!AE180*Source!I180, 2))), 2)</f>
        <v>0</v>
      </c>
      <c r="U763">
        <f>Source!Y180</f>
        <v>0</v>
      </c>
      <c r="V763">
        <f>IF(Source!BI180&lt;=1,H763, 0)</f>
        <v>157.54</v>
      </c>
      <c r="W763">
        <f>IF(Source!BI180=2,H763, 0)</f>
        <v>0</v>
      </c>
      <c r="X763">
        <f>IF(Source!BI180=3,H763, 0)</f>
        <v>0</v>
      </c>
      <c r="Y763">
        <f>IF(Source!BI180=4,H763, 0)</f>
        <v>0</v>
      </c>
    </row>
    <row r="764" spans="1:25" ht="15" x14ac:dyDescent="0.25">
      <c r="G764" s="76">
        <f>H755+H756+H758+H759+H760+SUM(H762:H763)</f>
        <v>549.36999999999989</v>
      </c>
      <c r="H764" s="76"/>
      <c r="J764" s="76">
        <f>K755+K756+K758+K759+K760+SUM(K762:K763)</f>
        <v>5691.6900000000005</v>
      </c>
      <c r="K764" s="76"/>
      <c r="N764" s="28">
        <f>G764</f>
        <v>549.36999999999989</v>
      </c>
      <c r="O764" s="28">
        <f>J764</f>
        <v>5691.6900000000005</v>
      </c>
      <c r="P764" s="28" t="e">
        <f>#REF!</f>
        <v>#REF!</v>
      </c>
      <c r="V764">
        <f>IF(Source!BI178&lt;=1,H755+H756+H758+H759+H760, 0)</f>
        <v>143.94</v>
      </c>
      <c r="W764">
        <f>IF(Source!BI178=2,H755+H756+H758+H759+H760, 0)</f>
        <v>0</v>
      </c>
      <c r="X764">
        <f>IF(Source!BI178=3,H755+H756+H758+H759+H760, 0)</f>
        <v>0</v>
      </c>
      <c r="Y764">
        <f>IF(Source!BI178=4,H755+H756+H758+H759+H760, 0)</f>
        <v>0</v>
      </c>
    </row>
    <row r="765" spans="1:25" ht="103.5" x14ac:dyDescent="0.2">
      <c r="A765" s="20" t="str">
        <f>Source!E181</f>
        <v>73</v>
      </c>
      <c r="B765" s="43" t="s">
        <v>1449</v>
      </c>
      <c r="C765" s="43" t="str">
        <f>Source!G181</f>
        <v>Монтаж почтового ящика ранее демонтированного</v>
      </c>
      <c r="D765" s="32" t="str">
        <f>Source!H181</f>
        <v>ШТ</v>
      </c>
      <c r="E765" s="10">
        <f>Source!I181</f>
        <v>1</v>
      </c>
      <c r="F765" s="33">
        <f>Source!AL181+Source!AM181+Source!AO181</f>
        <v>16.04</v>
      </c>
      <c r="G765" s="34"/>
      <c r="H765" s="33"/>
      <c r="I765" s="34" t="str">
        <f>Source!BO181</f>
        <v>09-05-016-01</v>
      </c>
      <c r="J765" s="34"/>
      <c r="K765" s="33"/>
      <c r="R765">
        <f>ROUND((Source!FX181/100)*((ROUND(Source!AF181*Source!I181, 2)+ROUND(Source!AE181*Source!I181, 2))), 2)</f>
        <v>20.170000000000002</v>
      </c>
      <c r="S765">
        <f>Source!X181</f>
        <v>678.69</v>
      </c>
      <c r="T765">
        <f>ROUND((Source!FY181/100)*((ROUND(Source!AF181*Source!I181, 2)+ROUND(Source!AE181*Source!I181, 2))), 2)</f>
        <v>17.989999999999998</v>
      </c>
      <c r="U765">
        <f>Source!Y181</f>
        <v>603.28</v>
      </c>
    </row>
    <row r="766" spans="1:25" ht="14.25" x14ac:dyDescent="0.2">
      <c r="A766" s="20"/>
      <c r="B766" s="43"/>
      <c r="C766" s="43" t="s">
        <v>1372</v>
      </c>
      <c r="D766" s="32"/>
      <c r="E766" s="10"/>
      <c r="F766" s="33">
        <f>Source!AO181</f>
        <v>16.04</v>
      </c>
      <c r="G766" s="34" t="str">
        <f>Source!DG181</f>
        <v>)*1,35)*1,15</v>
      </c>
      <c r="H766" s="33">
        <f>ROUND(Source!AF181*Source!I181, 2)</f>
        <v>24.9</v>
      </c>
      <c r="I766" s="34"/>
      <c r="J766" s="34">
        <f>IF(Source!BA181&lt;&gt; 0, Source!BA181, 1)</f>
        <v>33.65</v>
      </c>
      <c r="K766" s="33">
        <f>Source!S181</f>
        <v>837.89</v>
      </c>
      <c r="Q766">
        <f>H766</f>
        <v>24.9</v>
      </c>
    </row>
    <row r="767" spans="1:25" ht="14.25" x14ac:dyDescent="0.2">
      <c r="A767" s="20"/>
      <c r="B767" s="43"/>
      <c r="C767" s="43" t="s">
        <v>1374</v>
      </c>
      <c r="D767" s="32" t="s">
        <v>1375</v>
      </c>
      <c r="E767" s="10">
        <f>Source!BZ181</f>
        <v>90</v>
      </c>
      <c r="F767" s="64" t="str">
        <f>CONCATENATE(" )", Source!DL181, Source!FT181, "=", Source!FX181)</f>
        <v xml:space="preserve"> )*0,9=81</v>
      </c>
      <c r="G767" s="75"/>
      <c r="H767" s="33">
        <f>SUM(R765:R769)</f>
        <v>20.170000000000002</v>
      </c>
      <c r="I767" s="36"/>
      <c r="J767" s="31">
        <f>Source!AT181</f>
        <v>81</v>
      </c>
      <c r="K767" s="33">
        <f>SUM(S765:S769)</f>
        <v>678.69</v>
      </c>
    </row>
    <row r="768" spans="1:25" ht="14.25" x14ac:dyDescent="0.2">
      <c r="A768" s="20"/>
      <c r="B768" s="43"/>
      <c r="C768" s="43" t="s">
        <v>1376</v>
      </c>
      <c r="D768" s="32" t="s">
        <v>1375</v>
      </c>
      <c r="E768" s="10">
        <f>Source!CA181</f>
        <v>85</v>
      </c>
      <c r="F768" s="64" t="str">
        <f>CONCATENATE(" )", Source!DM181, Source!FU181, "=", Source!FY181)</f>
        <v xml:space="preserve"> )*0,85=72,25</v>
      </c>
      <c r="G768" s="75"/>
      <c r="H768" s="33">
        <f>SUM(T765:T769)</f>
        <v>17.989999999999998</v>
      </c>
      <c r="I768" s="36"/>
      <c r="J768" s="31">
        <f>Source!AU181</f>
        <v>72</v>
      </c>
      <c r="K768" s="33">
        <f>SUM(U765:U769)</f>
        <v>603.28</v>
      </c>
    </row>
    <row r="769" spans="1:25" ht="14.25" x14ac:dyDescent="0.2">
      <c r="A769" s="44"/>
      <c r="B769" s="45"/>
      <c r="C769" s="45" t="s">
        <v>1377</v>
      </c>
      <c r="D769" s="37" t="s">
        <v>1378</v>
      </c>
      <c r="E769" s="38">
        <f>Source!AQ181</f>
        <v>1.88</v>
      </c>
      <c r="F769" s="39"/>
      <c r="G769" s="40" t="str">
        <f>Source!DI181</f>
        <v>)*1,35)*1,15</v>
      </c>
      <c r="H769" s="39"/>
      <c r="I769" s="40"/>
      <c r="J769" s="40"/>
      <c r="K769" s="39"/>
    </row>
    <row r="770" spans="1:25" ht="15" x14ac:dyDescent="0.25">
      <c r="G770" s="76">
        <f>H766+H767+H768</f>
        <v>63.06</v>
      </c>
      <c r="H770" s="76"/>
      <c r="J770" s="76">
        <f>K766+K767+K768</f>
        <v>2119.8599999999997</v>
      </c>
      <c r="K770" s="76"/>
      <c r="N770" s="28">
        <f>G770</f>
        <v>63.06</v>
      </c>
      <c r="O770" s="28">
        <f>J770</f>
        <v>2119.8599999999997</v>
      </c>
      <c r="P770" s="28" t="e">
        <f>#REF!</f>
        <v>#REF!</v>
      </c>
      <c r="V770">
        <f>IF(Source!BI181&lt;=1,H766+H767+H768, 0)</f>
        <v>63.06</v>
      </c>
      <c r="W770">
        <f>IF(Source!BI181=2,H766+H767+H768, 0)</f>
        <v>0</v>
      </c>
      <c r="X770">
        <f>IF(Source!BI181=3,H766+H767+H768, 0)</f>
        <v>0</v>
      </c>
      <c r="Y770">
        <f>IF(Source!BI181=4,H766+H767+H768, 0)</f>
        <v>0</v>
      </c>
    </row>
    <row r="772" spans="1:25" ht="15" x14ac:dyDescent="0.25">
      <c r="A772" s="80" t="str">
        <f>CONCATENATE("Итого по разделу: ",IF(Source!G183&lt;&gt;"Новый раздел", Source!G183, ""))</f>
        <v>Итого по разделу: Общестроительные работы</v>
      </c>
      <c r="B772" s="80"/>
      <c r="C772" s="80"/>
      <c r="D772" s="80"/>
      <c r="E772" s="80"/>
      <c r="F772" s="80"/>
      <c r="G772" s="79">
        <f>SUM(N39:N771)</f>
        <v>89840.12999999999</v>
      </c>
      <c r="H772" s="79"/>
      <c r="I772" s="30"/>
      <c r="J772" s="79">
        <f>SUM(O39:O771)</f>
        <v>844106.61</v>
      </c>
      <c r="K772" s="79"/>
    </row>
    <row r="776" spans="1:25" ht="16.5" x14ac:dyDescent="0.25">
      <c r="A776" s="78" t="str">
        <f>CONCATENATE("Раздел: ",IF(Source!G213&lt;&gt;"Новый раздел", Source!G213, ""))</f>
        <v>Раздел: Видеодомофон</v>
      </c>
      <c r="B776" s="78"/>
      <c r="C776" s="78"/>
      <c r="D776" s="78"/>
      <c r="E776" s="78"/>
      <c r="F776" s="78"/>
      <c r="G776" s="78"/>
      <c r="H776" s="78"/>
      <c r="I776" s="78"/>
      <c r="J776" s="78"/>
      <c r="K776" s="78"/>
    </row>
    <row r="777" spans="1:25" ht="65.25" x14ac:dyDescent="0.2">
      <c r="A777" s="20" t="str">
        <f>Source!E217</f>
        <v>74</v>
      </c>
      <c r="B777" s="43" t="s">
        <v>1450</v>
      </c>
      <c r="C777" s="43" t="str">
        <f>Source!G217</f>
        <v>Монтаж видеодомофона</v>
      </c>
      <c r="D777" s="32" t="str">
        <f>Source!H217</f>
        <v>ШТ</v>
      </c>
      <c r="E777" s="10">
        <f>Source!I217</f>
        <v>1</v>
      </c>
      <c r="F777" s="33">
        <f>Source!AL217+Source!AM217+Source!AO217</f>
        <v>45.4</v>
      </c>
      <c r="G777" s="34"/>
      <c r="H777" s="33"/>
      <c r="I777" s="34" t="str">
        <f>Source!BO217</f>
        <v>м10-10-007-02</v>
      </c>
      <c r="J777" s="34"/>
      <c r="K777" s="33"/>
      <c r="R777">
        <f>ROUND((Source!FX217/100)*((ROUND(Source!AF217*Source!I217, 2)+ROUND(Source!AE217*Source!I217, 2))), 2)</f>
        <v>48.07</v>
      </c>
      <c r="S777">
        <f>Source!X217</f>
        <v>1617.62</v>
      </c>
      <c r="T777">
        <f>ROUND((Source!FY217/100)*((ROUND(Source!AF217*Source!I217, 2)+ROUND(Source!AE217*Source!I217, 2))), 2)</f>
        <v>36.049999999999997</v>
      </c>
      <c r="U777">
        <f>Source!Y217</f>
        <v>1213.22</v>
      </c>
    </row>
    <row r="778" spans="1:25" ht="14.25" x14ac:dyDescent="0.2">
      <c r="A778" s="20"/>
      <c r="B778" s="43"/>
      <c r="C778" s="43" t="s">
        <v>1372</v>
      </c>
      <c r="D778" s="32"/>
      <c r="E778" s="10"/>
      <c r="F778" s="33">
        <f>Source!AO217</f>
        <v>44.51</v>
      </c>
      <c r="G778" s="34" t="str">
        <f>Source!DG217</f>
        <v>)*1,35</v>
      </c>
      <c r="H778" s="33">
        <f>ROUND(Source!AF217*Source!I217, 2)</f>
        <v>60.09</v>
      </c>
      <c r="I778" s="34"/>
      <c r="J778" s="34">
        <f>IF(Source!BA217&lt;&gt; 0, Source!BA217, 1)</f>
        <v>33.65</v>
      </c>
      <c r="K778" s="33">
        <f>Source!S217</f>
        <v>2022.03</v>
      </c>
      <c r="Q778">
        <f>H778</f>
        <v>60.09</v>
      </c>
    </row>
    <row r="779" spans="1:25" ht="14.25" x14ac:dyDescent="0.2">
      <c r="A779" s="20"/>
      <c r="B779" s="43"/>
      <c r="C779" s="43" t="s">
        <v>1400</v>
      </c>
      <c r="D779" s="32"/>
      <c r="E779" s="10"/>
      <c r="F779" s="33">
        <f>Source!AL217</f>
        <v>0.89</v>
      </c>
      <c r="G779" s="34" t="str">
        <f>Source!DD217</f>
        <v/>
      </c>
      <c r="H779" s="33">
        <f>ROUND(Source!AC217*Source!I217, 2)</f>
        <v>0.89</v>
      </c>
      <c r="I779" s="34"/>
      <c r="J779" s="34">
        <f>IF(Source!BC217&lt;&gt; 0, Source!BC217, 1)</f>
        <v>33.65</v>
      </c>
      <c r="K779" s="33">
        <f>Source!P217</f>
        <v>29.95</v>
      </c>
    </row>
    <row r="780" spans="1:25" ht="14.25" x14ac:dyDescent="0.2">
      <c r="A780" s="20"/>
      <c r="B780" s="43"/>
      <c r="C780" s="43" t="s">
        <v>1374</v>
      </c>
      <c r="D780" s="32" t="s">
        <v>1375</v>
      </c>
      <c r="E780" s="10">
        <f>Source!BZ217</f>
        <v>80</v>
      </c>
      <c r="F780" s="46"/>
      <c r="G780" s="34"/>
      <c r="H780" s="33">
        <f>SUM(R777:R783)</f>
        <v>48.07</v>
      </c>
      <c r="I780" s="36"/>
      <c r="J780" s="31">
        <f>Source!AT217</f>
        <v>80</v>
      </c>
      <c r="K780" s="33">
        <f>SUM(S777:S783)</f>
        <v>1617.62</v>
      </c>
    </row>
    <row r="781" spans="1:25" ht="14.25" x14ac:dyDescent="0.2">
      <c r="A781" s="20"/>
      <c r="B781" s="43"/>
      <c r="C781" s="43" t="s">
        <v>1376</v>
      </c>
      <c r="D781" s="32" t="s">
        <v>1375</v>
      </c>
      <c r="E781" s="10">
        <f>Source!CA217</f>
        <v>60</v>
      </c>
      <c r="F781" s="46"/>
      <c r="G781" s="34"/>
      <c r="H781" s="33">
        <f>SUM(T777:T783)</f>
        <v>36.049999999999997</v>
      </c>
      <c r="I781" s="36"/>
      <c r="J781" s="31">
        <f>Source!AU217</f>
        <v>60</v>
      </c>
      <c r="K781" s="33">
        <f>SUM(U777:U783)</f>
        <v>1213.22</v>
      </c>
    </row>
    <row r="782" spans="1:25" ht="14.25" x14ac:dyDescent="0.2">
      <c r="A782" s="20"/>
      <c r="B782" s="43"/>
      <c r="C782" s="43" t="s">
        <v>1377</v>
      </c>
      <c r="D782" s="32" t="s">
        <v>1378</v>
      </c>
      <c r="E782" s="10">
        <f>Source!AQ217</f>
        <v>4.5599999999999996</v>
      </c>
      <c r="F782" s="33"/>
      <c r="G782" s="34" t="str">
        <f>Source!DI217</f>
        <v>)*1,35</v>
      </c>
      <c r="H782" s="33"/>
      <c r="I782" s="34"/>
      <c r="J782" s="34"/>
      <c r="K782" s="33"/>
    </row>
    <row r="783" spans="1:25" ht="330" customHeight="1" x14ac:dyDescent="0.2">
      <c r="A783" s="44"/>
      <c r="B783" s="45" t="str">
        <f>Source!F218</f>
        <v>61.3.03.01-3036</v>
      </c>
      <c r="C783" s="45" t="str">
        <f>Source!G218</f>
        <v>Видеодомофон в комплекте с вызывной панелью.       Характеристики монитора:                                                         Дисплей: 7" TFT LCD (16:9)  Разрешение, пикселей: 1024 x 600  Стандарт видео: PAL/NTSC  Тип интеркома: Hands free, полудуплекс  Кнопочная панель управления: Да  Продолжительность сеанса вызова: 120 сек.  Внутренняя память: Да, на 189 фото  Поддержка карт SD: microSD-card class 10 до 32 Гб, запись фото и видео  Напряжение питания: AC 100~240В  Рабочая температура: -10°C-50°C  Подключение панели: 4-х проводноеРазрешение: 700 ТВЛ  Характеристики вызывной панели:                                       Объектив: 3.7мм  Мин. освещённость: 0 Люкс, ИК-подсветка включена  Напряжение питания: 12В пост.±10%  Диап. рабочих температур: -30°C-50°C  Подключение: 4-х проводное  Реле электр. замка: 3А/30В пост.  Габаритные размеры: 41 мм(Ш)х122мм(В)х23мм(Г)</v>
      </c>
      <c r="D783" s="37" t="str">
        <f>Source!H218</f>
        <v>ШТ</v>
      </c>
      <c r="E783" s="38">
        <f>Source!I218</f>
        <v>1</v>
      </c>
      <c r="F783" s="39">
        <f>Source!AL218+Source!AM218+Source!AO218</f>
        <v>1220.58</v>
      </c>
      <c r="G783" s="41" t="s">
        <v>1385</v>
      </c>
      <c r="H783" s="39">
        <f>ROUND(Source!AC218*Source!I218, 2)+ROUND(Source!AD218*Source!I218, 2)+ROUND(Source!AF218*Source!I218, 2)</f>
        <v>1220.58</v>
      </c>
      <c r="I783" s="40"/>
      <c r="J783" s="40">
        <f>IF(Source!BC218&lt;&gt; 0, Source!BC218, 1)</f>
        <v>6.57</v>
      </c>
      <c r="K783" s="39">
        <f>Source!O218</f>
        <v>8019.21</v>
      </c>
      <c r="R783">
        <f>ROUND((Source!FX218/100)*((ROUND(Source!AF218*Source!I218, 2)+ROUND(Source!AE218*Source!I218, 2))), 2)</f>
        <v>0</v>
      </c>
      <c r="S783">
        <f>Source!X218</f>
        <v>0</v>
      </c>
      <c r="T783">
        <f>ROUND((Source!FY218/100)*((ROUND(Source!AF218*Source!I218, 2)+ROUND(Source!AE218*Source!I218, 2))), 2)</f>
        <v>0</v>
      </c>
      <c r="U783">
        <f>Source!Y218</f>
        <v>0</v>
      </c>
      <c r="V783">
        <f>IF(Source!BI218&lt;=1,H783, 0)</f>
        <v>0</v>
      </c>
      <c r="W783">
        <f>IF(Source!BI218=2,H783, 0)</f>
        <v>1220.58</v>
      </c>
      <c r="X783">
        <f>IF(Source!BI218=3,H783, 0)</f>
        <v>0</v>
      </c>
      <c r="Y783">
        <f>IF(Source!BI218=4,H783, 0)</f>
        <v>0</v>
      </c>
    </row>
    <row r="784" spans="1:25" ht="15" x14ac:dyDescent="0.25">
      <c r="G784" s="76">
        <f>H778+H779+H780+H781+SUM(H783:H783)</f>
        <v>1365.6799999999998</v>
      </c>
      <c r="H784" s="76"/>
      <c r="J784" s="76">
        <f>K778+K779+K780+K781+SUM(K783:K783)</f>
        <v>12902.029999999999</v>
      </c>
      <c r="K784" s="76"/>
      <c r="N784" s="28">
        <f>G784</f>
        <v>1365.6799999999998</v>
      </c>
      <c r="O784" s="28">
        <f>J784</f>
        <v>12902.029999999999</v>
      </c>
      <c r="P784" s="28" t="e">
        <f>#REF!</f>
        <v>#REF!</v>
      </c>
      <c r="V784">
        <f>IF(Source!BI217&lt;=1,H778+H779+H780+H781, 0)</f>
        <v>0</v>
      </c>
      <c r="W784">
        <f>IF(Source!BI217=2,H778+H779+H780+H781, 0)</f>
        <v>145.10000000000002</v>
      </c>
      <c r="X784">
        <f>IF(Source!BI217=3,H778+H779+H780+H781, 0)</f>
        <v>0</v>
      </c>
      <c r="Y784">
        <f>IF(Source!BI217=4,H778+H779+H780+H781, 0)</f>
        <v>0</v>
      </c>
    </row>
    <row r="785" spans="1:25" ht="65.25" x14ac:dyDescent="0.2">
      <c r="A785" s="20" t="str">
        <f>Source!E219</f>
        <v>75</v>
      </c>
      <c r="B785" s="43" t="s">
        <v>1451</v>
      </c>
      <c r="C785" s="43" t="str">
        <f>Source!G219</f>
        <v>Устройство второй вызывной панели</v>
      </c>
      <c r="D785" s="32" t="str">
        <f>Source!H219</f>
        <v>ШТ</v>
      </c>
      <c r="E785" s="10">
        <f>Source!I219</f>
        <v>1</v>
      </c>
      <c r="F785" s="33">
        <f>Source!AL219+Source!AM219+Source!AO219</f>
        <v>17.399999999999999</v>
      </c>
      <c r="G785" s="34"/>
      <c r="H785" s="33"/>
      <c r="I785" s="34" t="str">
        <f>Source!BO219</f>
        <v>м10-01-039-06</v>
      </c>
      <c r="J785" s="34"/>
      <c r="K785" s="33"/>
      <c r="R785">
        <f>ROUND((Source!FX219/100)*((ROUND(Source!AF219*Source!I219, 2)+ROUND(Source!AE219*Source!I219, 2))), 2)</f>
        <v>18.420000000000002</v>
      </c>
      <c r="S785">
        <f>Source!X219</f>
        <v>619.97</v>
      </c>
      <c r="T785">
        <f>ROUND((Source!FY219/100)*((ROUND(Source!AF219*Source!I219, 2)+ROUND(Source!AE219*Source!I219, 2))), 2)</f>
        <v>13.82</v>
      </c>
      <c r="U785">
        <f>Source!Y219</f>
        <v>464.98</v>
      </c>
    </row>
    <row r="786" spans="1:25" ht="14.25" x14ac:dyDescent="0.2">
      <c r="A786" s="20"/>
      <c r="B786" s="43"/>
      <c r="C786" s="43" t="s">
        <v>1372</v>
      </c>
      <c r="D786" s="32"/>
      <c r="E786" s="10"/>
      <c r="F786" s="33">
        <f>Source!AO219</f>
        <v>17.059999999999999</v>
      </c>
      <c r="G786" s="34" t="str">
        <f>Source!DG219</f>
        <v>)*1,35</v>
      </c>
      <c r="H786" s="33">
        <f>ROUND(Source!AF219*Source!I219, 2)</f>
        <v>23.03</v>
      </c>
      <c r="I786" s="34"/>
      <c r="J786" s="34">
        <f>IF(Source!BA219&lt;&gt; 0, Source!BA219, 1)</f>
        <v>33.65</v>
      </c>
      <c r="K786" s="33">
        <f>Source!S219</f>
        <v>774.96</v>
      </c>
      <c r="Q786">
        <f>H786</f>
        <v>23.03</v>
      </c>
    </row>
    <row r="787" spans="1:25" ht="14.25" x14ac:dyDescent="0.2">
      <c r="A787" s="20"/>
      <c r="B787" s="43"/>
      <c r="C787" s="43" t="s">
        <v>1400</v>
      </c>
      <c r="D787" s="32"/>
      <c r="E787" s="10"/>
      <c r="F787" s="33">
        <f>Source!AL219</f>
        <v>0.34</v>
      </c>
      <c r="G787" s="34" t="str">
        <f>Source!DD219</f>
        <v/>
      </c>
      <c r="H787" s="33">
        <f>ROUND(Source!AC219*Source!I219, 2)</f>
        <v>0.34</v>
      </c>
      <c r="I787" s="34"/>
      <c r="J787" s="34">
        <f>IF(Source!BC219&lt;&gt; 0, Source!BC219, 1)</f>
        <v>33.65</v>
      </c>
      <c r="K787" s="33">
        <f>Source!P219</f>
        <v>11.44</v>
      </c>
    </row>
    <row r="788" spans="1:25" ht="14.25" x14ac:dyDescent="0.2">
      <c r="A788" s="20"/>
      <c r="B788" s="43"/>
      <c r="C788" s="43" t="s">
        <v>1374</v>
      </c>
      <c r="D788" s="32" t="s">
        <v>1375</v>
      </c>
      <c r="E788" s="10">
        <f>Source!BZ219</f>
        <v>80</v>
      </c>
      <c r="F788" s="46"/>
      <c r="G788" s="34"/>
      <c r="H788" s="33">
        <f>SUM(R785:R791)</f>
        <v>18.420000000000002</v>
      </c>
      <c r="I788" s="36"/>
      <c r="J788" s="31">
        <f>Source!AT219</f>
        <v>80</v>
      </c>
      <c r="K788" s="33">
        <f>SUM(S785:S791)</f>
        <v>619.97</v>
      </c>
    </row>
    <row r="789" spans="1:25" ht="14.25" x14ac:dyDescent="0.2">
      <c r="A789" s="20"/>
      <c r="B789" s="43"/>
      <c r="C789" s="43" t="s">
        <v>1376</v>
      </c>
      <c r="D789" s="32" t="s">
        <v>1375</v>
      </c>
      <c r="E789" s="10">
        <f>Source!CA219</f>
        <v>60</v>
      </c>
      <c r="F789" s="46"/>
      <c r="G789" s="34"/>
      <c r="H789" s="33">
        <f>SUM(T785:T791)</f>
        <v>13.82</v>
      </c>
      <c r="I789" s="36"/>
      <c r="J789" s="31">
        <f>Source!AU219</f>
        <v>60</v>
      </c>
      <c r="K789" s="33">
        <f>SUM(U785:U791)</f>
        <v>464.98</v>
      </c>
    </row>
    <row r="790" spans="1:25" ht="14.25" x14ac:dyDescent="0.2">
      <c r="A790" s="20"/>
      <c r="B790" s="43"/>
      <c r="C790" s="43" t="s">
        <v>1377</v>
      </c>
      <c r="D790" s="32" t="s">
        <v>1378</v>
      </c>
      <c r="E790" s="10">
        <f>Source!AQ219</f>
        <v>2</v>
      </c>
      <c r="F790" s="33"/>
      <c r="G790" s="34" t="str">
        <f>Source!DI219</f>
        <v>)*1,35</v>
      </c>
      <c r="H790" s="33"/>
      <c r="I790" s="34"/>
      <c r="J790" s="34"/>
      <c r="K790" s="33"/>
    </row>
    <row r="791" spans="1:25" ht="171" x14ac:dyDescent="0.2">
      <c r="A791" s="44"/>
      <c r="B791" s="45" t="str">
        <f>Source!F220</f>
        <v>22.1.02.06-0031</v>
      </c>
      <c r="C791" s="45" t="str">
        <f>Source!G220</f>
        <v>Вызывная панель совместимая с комплектом видеодомофона                                                     Характеристики вызывной панели:                                       Объектив: 3.7мм  Мин. освещённость: 0 Люкс, ИК-подсветка включена   Стандарт видео: PAL/NTSC  Напряжение питания: 12В пост.±10%  Диап. рабочих температур: -30°C-50°C  Подключение: 4-х проводное  Реле электр. замка: 3А/30В пост.  Габаритные размеры: 41 мм(Ш)х122мм(В)х23мм(Г)</v>
      </c>
      <c r="D791" s="37" t="str">
        <f>Source!H220</f>
        <v>ШТ</v>
      </c>
      <c r="E791" s="38">
        <f>Source!I220</f>
        <v>1</v>
      </c>
      <c r="F791" s="39">
        <f>Source!AL220+Source!AM220+Source!AO220</f>
        <v>535.26</v>
      </c>
      <c r="G791" s="41" t="s">
        <v>1385</v>
      </c>
      <c r="H791" s="39">
        <f>ROUND(Source!AC220*Source!I220, 2)+ROUND(Source!AD220*Source!I220, 2)+ROUND(Source!AF220*Source!I220, 2)</f>
        <v>535.26</v>
      </c>
      <c r="I791" s="40"/>
      <c r="J791" s="40">
        <f>IF(Source!BC220&lt;&gt; 0, Source!BC220, 1)</f>
        <v>4.1100000000000003</v>
      </c>
      <c r="K791" s="39">
        <f>Source!O220</f>
        <v>2199.92</v>
      </c>
      <c r="R791">
        <f>ROUND((Source!FX220/100)*((ROUND(Source!AF220*Source!I220, 2)+ROUND(Source!AE220*Source!I220, 2))), 2)</f>
        <v>0</v>
      </c>
      <c r="S791">
        <f>Source!X220</f>
        <v>0</v>
      </c>
      <c r="T791">
        <f>ROUND((Source!FY220/100)*((ROUND(Source!AF220*Source!I220, 2)+ROUND(Source!AE220*Source!I220, 2))), 2)</f>
        <v>0</v>
      </c>
      <c r="U791">
        <f>Source!Y220</f>
        <v>0</v>
      </c>
      <c r="V791">
        <f>IF(Source!BI220&lt;=1,H791, 0)</f>
        <v>0</v>
      </c>
      <c r="W791">
        <f>IF(Source!BI220=2,H791, 0)</f>
        <v>535.26</v>
      </c>
      <c r="X791">
        <f>IF(Source!BI220=3,H791, 0)</f>
        <v>0</v>
      </c>
      <c r="Y791">
        <f>IF(Source!BI220=4,H791, 0)</f>
        <v>0</v>
      </c>
    </row>
    <row r="792" spans="1:25" ht="15" x14ac:dyDescent="0.25">
      <c r="G792" s="76">
        <f>H786+H787+H788+H789+SUM(H791:H791)</f>
        <v>590.87</v>
      </c>
      <c r="H792" s="76"/>
      <c r="J792" s="76">
        <f>K786+K787+K788+K789+SUM(K791:K791)</f>
        <v>4071.2700000000004</v>
      </c>
      <c r="K792" s="76"/>
      <c r="N792" s="28">
        <f>G792</f>
        <v>590.87</v>
      </c>
      <c r="O792" s="28">
        <f>J792</f>
        <v>4071.2700000000004</v>
      </c>
      <c r="P792" s="28" t="e">
        <f>#REF!</f>
        <v>#REF!</v>
      </c>
      <c r="V792">
        <f>IF(Source!BI219&lt;=1,H786+H787+H788+H789, 0)</f>
        <v>0</v>
      </c>
      <c r="W792">
        <f>IF(Source!BI219=2,H786+H787+H788+H789, 0)</f>
        <v>55.610000000000007</v>
      </c>
      <c r="X792">
        <f>IF(Source!BI219=3,H786+H787+H788+H789, 0)</f>
        <v>0</v>
      </c>
      <c r="Y792">
        <f>IF(Source!BI219=4,H786+H787+H788+H789, 0)</f>
        <v>0</v>
      </c>
    </row>
    <row r="793" spans="1:25" ht="65.25" x14ac:dyDescent="0.2">
      <c r="A793" s="20" t="str">
        <f>Source!E221</f>
        <v>76</v>
      </c>
      <c r="B793" s="43" t="s">
        <v>1439</v>
      </c>
      <c r="C793" s="43" t="str">
        <f>Source!G221</f>
        <v>Труба гофрированная ПВХ для защиты проводов и кабелей по установленным конструкциям, по стенам, колоннам, потолкам, основанию пола/Монтаж</v>
      </c>
      <c r="D793" s="32" t="str">
        <f>Source!H221</f>
        <v>100 м</v>
      </c>
      <c r="E793" s="10">
        <f>Source!I221</f>
        <v>0.5</v>
      </c>
      <c r="F793" s="33">
        <f>Source!AL221+Source!AM221+Source!AO221</f>
        <v>156.32999999999998</v>
      </c>
      <c r="G793" s="34"/>
      <c r="H793" s="33"/>
      <c r="I793" s="34" t="str">
        <f>Source!BO221</f>
        <v>м08-02-409-09</v>
      </c>
      <c r="J793" s="34"/>
      <c r="K793" s="33"/>
      <c r="R793">
        <f>ROUND((Source!FX221/100)*((ROUND(Source!AF221*Source!I221, 2)+ROUND(Source!AE221*Source!I221, 2))), 2)</f>
        <v>89.48</v>
      </c>
      <c r="S793">
        <f>Source!X221</f>
        <v>3011.02</v>
      </c>
      <c r="T793">
        <f>ROUND((Source!FY221/100)*((ROUND(Source!AF221*Source!I221, 2)+ROUND(Source!AE221*Source!I221, 2))), 2)</f>
        <v>61.22</v>
      </c>
      <c r="U793">
        <f>Source!Y221</f>
        <v>2060.17</v>
      </c>
    </row>
    <row r="794" spans="1:25" x14ac:dyDescent="0.2">
      <c r="C794" s="27" t="str">
        <f>"Объем: "&amp;Source!I221&amp;"=50/"&amp;"100"</f>
        <v>Объем: 0,5=50/100</v>
      </c>
    </row>
    <row r="795" spans="1:25" ht="14.25" x14ac:dyDescent="0.2">
      <c r="A795" s="20"/>
      <c r="B795" s="43"/>
      <c r="C795" s="43" t="s">
        <v>1372</v>
      </c>
      <c r="D795" s="32"/>
      <c r="E795" s="10"/>
      <c r="F795" s="33">
        <f>Source!AO221</f>
        <v>139.54</v>
      </c>
      <c r="G795" s="34" t="str">
        <f>Source!DG221</f>
        <v>)*1,35</v>
      </c>
      <c r="H795" s="33">
        <f>ROUND(Source!AF221*Source!I221, 2)</f>
        <v>94.19</v>
      </c>
      <c r="I795" s="34"/>
      <c r="J795" s="34">
        <f>IF(Source!BA221&lt;&gt; 0, Source!BA221, 1)</f>
        <v>33.65</v>
      </c>
      <c r="K795" s="33">
        <f>Source!S221</f>
        <v>3169.49</v>
      </c>
      <c r="Q795">
        <f>H795</f>
        <v>94.19</v>
      </c>
    </row>
    <row r="796" spans="1:25" ht="14.25" x14ac:dyDescent="0.2">
      <c r="A796" s="20"/>
      <c r="B796" s="43"/>
      <c r="C796" s="43" t="s">
        <v>1400</v>
      </c>
      <c r="D796" s="32"/>
      <c r="E796" s="10"/>
      <c r="F796" s="33">
        <f>Source!AL221</f>
        <v>16.79</v>
      </c>
      <c r="G796" s="34" t="str">
        <f>Source!DD221</f>
        <v/>
      </c>
      <c r="H796" s="33">
        <f>ROUND(Source!AC221*Source!I221, 2)</f>
        <v>8.4</v>
      </c>
      <c r="I796" s="34"/>
      <c r="J796" s="34">
        <f>IF(Source!BC221&lt;&gt; 0, Source!BC221, 1)</f>
        <v>16.43</v>
      </c>
      <c r="K796" s="33">
        <f>Source!P221</f>
        <v>137.93</v>
      </c>
    </row>
    <row r="797" spans="1:25" ht="14.25" x14ac:dyDescent="0.2">
      <c r="A797" s="20"/>
      <c r="B797" s="43"/>
      <c r="C797" s="43" t="s">
        <v>1374</v>
      </c>
      <c r="D797" s="32" t="s">
        <v>1375</v>
      </c>
      <c r="E797" s="10">
        <f>Source!BZ221</f>
        <v>95</v>
      </c>
      <c r="F797" s="46"/>
      <c r="G797" s="34"/>
      <c r="H797" s="33">
        <f>SUM(R793:R801)</f>
        <v>89.48</v>
      </c>
      <c r="I797" s="36"/>
      <c r="J797" s="31">
        <f>Source!AT221</f>
        <v>95</v>
      </c>
      <c r="K797" s="33">
        <f>SUM(S793:S801)</f>
        <v>3011.02</v>
      </c>
    </row>
    <row r="798" spans="1:25" ht="14.25" x14ac:dyDescent="0.2">
      <c r="A798" s="20"/>
      <c r="B798" s="43"/>
      <c r="C798" s="43" t="s">
        <v>1376</v>
      </c>
      <c r="D798" s="32" t="s">
        <v>1375</v>
      </c>
      <c r="E798" s="10">
        <f>Source!CA221</f>
        <v>65</v>
      </c>
      <c r="F798" s="46"/>
      <c r="G798" s="34"/>
      <c r="H798" s="33">
        <f>SUM(T793:T801)</f>
        <v>61.22</v>
      </c>
      <c r="I798" s="36"/>
      <c r="J798" s="31">
        <f>Source!AU221</f>
        <v>65</v>
      </c>
      <c r="K798" s="33">
        <f>SUM(U793:U801)</f>
        <v>2060.17</v>
      </c>
    </row>
    <row r="799" spans="1:25" ht="14.25" x14ac:dyDescent="0.2">
      <c r="A799" s="20"/>
      <c r="B799" s="43"/>
      <c r="C799" s="43" t="s">
        <v>1377</v>
      </c>
      <c r="D799" s="32" t="s">
        <v>1378</v>
      </c>
      <c r="E799" s="10">
        <f>Source!AQ221</f>
        <v>15.2</v>
      </c>
      <c r="F799" s="33"/>
      <c r="G799" s="34" t="str">
        <f>Source!DI221</f>
        <v>)*1,35</v>
      </c>
      <c r="H799" s="33"/>
      <c r="I799" s="34"/>
      <c r="J799" s="34"/>
      <c r="K799" s="33"/>
    </row>
    <row r="800" spans="1:25" ht="28.5" x14ac:dyDescent="0.2">
      <c r="A800" s="20"/>
      <c r="B800" s="43" t="str">
        <f>Source!F222</f>
        <v>20.2.05.02-0011</v>
      </c>
      <c r="C800" s="43" t="str">
        <f>Source!G222</f>
        <v>Держатель пластмассовый с защелкой для труб диаметром 25 мм</v>
      </c>
      <c r="D800" s="32" t="str">
        <f>Source!H222</f>
        <v>100 ШТ</v>
      </c>
      <c r="E800" s="10">
        <f>Source!I222</f>
        <v>0.5</v>
      </c>
      <c r="F800" s="33">
        <f>Source!AL222+Source!AM222+Source!AO222</f>
        <v>38</v>
      </c>
      <c r="G800" s="42" t="s">
        <v>1385</v>
      </c>
      <c r="H800" s="33">
        <f>ROUND(Source!AC222*Source!I222, 2)+ROUND(Source!AD222*Source!I222, 2)+ROUND(Source!AF222*Source!I222, 2)</f>
        <v>19</v>
      </c>
      <c r="I800" s="34"/>
      <c r="J800" s="34">
        <f>IF(Source!BC222&lt;&gt; 0, Source!BC222, 1)</f>
        <v>11.13</v>
      </c>
      <c r="K800" s="33">
        <f>Source!O222</f>
        <v>211.47</v>
      </c>
      <c r="R800">
        <f>ROUND((Source!FX222/100)*((ROUND(Source!AF222*Source!I222, 2)+ROUND(Source!AE222*Source!I222, 2))), 2)</f>
        <v>0</v>
      </c>
      <c r="S800">
        <f>Source!X222</f>
        <v>0</v>
      </c>
      <c r="T800">
        <f>ROUND((Source!FY222/100)*((ROUND(Source!AF222*Source!I222, 2)+ROUND(Source!AE222*Source!I222, 2))), 2)</f>
        <v>0</v>
      </c>
      <c r="U800">
        <f>Source!Y222</f>
        <v>0</v>
      </c>
      <c r="V800">
        <f>IF(Source!BI222&lt;=1,H800, 0)</f>
        <v>0</v>
      </c>
      <c r="W800">
        <f>IF(Source!BI222=2,H800, 0)</f>
        <v>19</v>
      </c>
      <c r="X800">
        <f>IF(Source!BI222=3,H800, 0)</f>
        <v>0</v>
      </c>
      <c r="Y800">
        <f>IF(Source!BI222=4,H800, 0)</f>
        <v>0</v>
      </c>
    </row>
    <row r="801" spans="1:25" ht="28.5" x14ac:dyDescent="0.2">
      <c r="A801" s="44"/>
      <c r="B801" s="45" t="str">
        <f>Source!F223</f>
        <v>20.2.12.03-0011</v>
      </c>
      <c r="C801" s="45" t="str">
        <f>Source!G223</f>
        <v>Трубы для электропроводки из ПВХ гофрированные гибкие, диаметр 20 мм</v>
      </c>
      <c r="D801" s="37" t="str">
        <f>Source!H223</f>
        <v>м</v>
      </c>
      <c r="E801" s="38">
        <f>Source!I223</f>
        <v>50</v>
      </c>
      <c r="F801" s="39">
        <f>Source!AL223+Source!AM223+Source!AO223</f>
        <v>1.24</v>
      </c>
      <c r="G801" s="41" t="s">
        <v>1385</v>
      </c>
      <c r="H801" s="39">
        <f>ROUND(Source!AC223*Source!I223, 2)+ROUND(Source!AD223*Source!I223, 2)+ROUND(Source!AF223*Source!I223, 2)</f>
        <v>62</v>
      </c>
      <c r="I801" s="40"/>
      <c r="J801" s="40">
        <f>IF(Source!BC223&lt;&gt; 0, Source!BC223, 1)</f>
        <v>8.0299999999999994</v>
      </c>
      <c r="K801" s="39">
        <f>Source!O223</f>
        <v>497.86</v>
      </c>
      <c r="R801">
        <f>ROUND((Source!FX223/100)*((ROUND(Source!AF223*Source!I223, 2)+ROUND(Source!AE223*Source!I223, 2))), 2)</f>
        <v>0</v>
      </c>
      <c r="S801">
        <f>Source!X223</f>
        <v>0</v>
      </c>
      <c r="T801">
        <f>ROUND((Source!FY223/100)*((ROUND(Source!AF223*Source!I223, 2)+ROUND(Source!AE223*Source!I223, 2))), 2)</f>
        <v>0</v>
      </c>
      <c r="U801">
        <f>Source!Y223</f>
        <v>0</v>
      </c>
      <c r="V801">
        <f>IF(Source!BI223&lt;=1,H801, 0)</f>
        <v>0</v>
      </c>
      <c r="W801">
        <f>IF(Source!BI223=2,H801, 0)</f>
        <v>62</v>
      </c>
      <c r="X801">
        <f>IF(Source!BI223=3,H801, 0)</f>
        <v>0</v>
      </c>
      <c r="Y801">
        <f>IF(Source!BI223=4,H801, 0)</f>
        <v>0</v>
      </c>
    </row>
    <row r="802" spans="1:25" ht="15" x14ac:dyDescent="0.25">
      <c r="G802" s="76">
        <f>H795+H796+H797+H798+SUM(H800:H801)</f>
        <v>334.28999999999996</v>
      </c>
      <c r="H802" s="76"/>
      <c r="J802" s="76">
        <f>K795+K796+K797+K798+SUM(K800:K801)</f>
        <v>9087.94</v>
      </c>
      <c r="K802" s="76"/>
      <c r="N802" s="28">
        <f>G802</f>
        <v>334.28999999999996</v>
      </c>
      <c r="O802" s="28">
        <f>J802</f>
        <v>9087.94</v>
      </c>
      <c r="P802" s="28" t="e">
        <f>#REF!</f>
        <v>#REF!</v>
      </c>
      <c r="V802">
        <f>IF(Source!BI221&lt;=1,H795+H796+H797+H798, 0)</f>
        <v>0</v>
      </c>
      <c r="W802">
        <f>IF(Source!BI221=2,H795+H796+H797+H798, 0)</f>
        <v>253.29</v>
      </c>
      <c r="X802">
        <f>IF(Source!BI221=3,H795+H796+H797+H798, 0)</f>
        <v>0</v>
      </c>
      <c r="Y802">
        <f>IF(Source!BI221=4,H795+H796+H797+H798, 0)</f>
        <v>0</v>
      </c>
    </row>
    <row r="803" spans="1:25" ht="71.25" x14ac:dyDescent="0.2">
      <c r="A803" s="20" t="str">
        <f>Source!E224</f>
        <v>77</v>
      </c>
      <c r="B803" s="43" t="s">
        <v>1442</v>
      </c>
      <c r="C803" s="43" t="str">
        <f>Source!G224</f>
        <v>Затягивание провода в проложенные трубы и металлические рукава первого одножильного или многожильного в общей оплетке, суммарное сечение: до 6 мм2</v>
      </c>
      <c r="D803" s="32" t="str">
        <f>Source!H224</f>
        <v>100 м</v>
      </c>
      <c r="E803" s="10">
        <f>Source!I224</f>
        <v>0.5</v>
      </c>
      <c r="F803" s="33">
        <f>Source!AL224+Source!AM224+Source!AO224</f>
        <v>68.77000000000001</v>
      </c>
      <c r="G803" s="34"/>
      <c r="H803" s="33"/>
      <c r="I803" s="34" t="str">
        <f>Source!BO224</f>
        <v>м08-02-412-02</v>
      </c>
      <c r="J803" s="34"/>
      <c r="K803" s="33"/>
      <c r="R803">
        <f>ROUND((Source!FX224/100)*((ROUND(Source!AF224*Source!I224, 2)+ROUND(Source!AE224*Source!I224, 2))), 2)</f>
        <v>32.81</v>
      </c>
      <c r="S803">
        <f>Source!X224</f>
        <v>1104.1600000000001</v>
      </c>
      <c r="T803">
        <f>ROUND((Source!FY224/100)*((ROUND(Source!AF224*Source!I224, 2)+ROUND(Source!AE224*Source!I224, 2))), 2)</f>
        <v>22.45</v>
      </c>
      <c r="U803">
        <f>Source!Y224</f>
        <v>755.48</v>
      </c>
    </row>
    <row r="804" spans="1:25" x14ac:dyDescent="0.2">
      <c r="C804" s="27" t="str">
        <f>"Объем: "&amp;Source!I224&amp;"=50/"&amp;"100"</f>
        <v>Объем: 0,5=50/100</v>
      </c>
    </row>
    <row r="805" spans="1:25" ht="14.25" x14ac:dyDescent="0.2">
      <c r="A805" s="20"/>
      <c r="B805" s="43"/>
      <c r="C805" s="43" t="s">
        <v>1372</v>
      </c>
      <c r="D805" s="32"/>
      <c r="E805" s="10"/>
      <c r="F805" s="33">
        <f>Source!AO224</f>
        <v>50.67</v>
      </c>
      <c r="G805" s="34" t="str">
        <f>Source!DG224</f>
        <v>)*1,35</v>
      </c>
      <c r="H805" s="33">
        <f>ROUND(Source!AF224*Source!I224, 2)</f>
        <v>34.200000000000003</v>
      </c>
      <c r="I805" s="34"/>
      <c r="J805" s="34">
        <f>IF(Source!BA224&lt;&gt; 0, Source!BA224, 1)</f>
        <v>33.65</v>
      </c>
      <c r="K805" s="33">
        <f>Source!S224</f>
        <v>1150.83</v>
      </c>
      <c r="Q805">
        <f>H805</f>
        <v>34.200000000000003</v>
      </c>
    </row>
    <row r="806" spans="1:25" ht="14.25" x14ac:dyDescent="0.2">
      <c r="A806" s="20"/>
      <c r="B806" s="43"/>
      <c r="C806" s="43" t="s">
        <v>646</v>
      </c>
      <c r="D806" s="32"/>
      <c r="E806" s="10"/>
      <c r="F806" s="33">
        <f>Source!AM224</f>
        <v>3.62</v>
      </c>
      <c r="G806" s="34" t="str">
        <f>Source!DE224</f>
        <v>)*1,35</v>
      </c>
      <c r="H806" s="33">
        <f>ROUND(Source!AD224*Source!I224, 2)</f>
        <v>2.4500000000000002</v>
      </c>
      <c r="I806" s="34"/>
      <c r="J806" s="34">
        <f>IF(Source!BB224&lt;&gt; 0, Source!BB224, 1)</f>
        <v>10.220000000000001</v>
      </c>
      <c r="K806" s="33">
        <f>Source!Q224</f>
        <v>24.99</v>
      </c>
    </row>
    <row r="807" spans="1:25" ht="14.25" x14ac:dyDescent="0.2">
      <c r="A807" s="20"/>
      <c r="B807" s="43"/>
      <c r="C807" s="43" t="s">
        <v>1373</v>
      </c>
      <c r="D807" s="32"/>
      <c r="E807" s="10"/>
      <c r="F807" s="33">
        <f>Source!AN224</f>
        <v>0.5</v>
      </c>
      <c r="G807" s="34" t="str">
        <f>Source!DF224</f>
        <v>)*1,35</v>
      </c>
      <c r="H807" s="35">
        <f>ROUND(Source!AE224*Source!I224, 2)</f>
        <v>0.34</v>
      </c>
      <c r="I807" s="34"/>
      <c r="J807" s="34">
        <f>IF(Source!BS224&lt;&gt; 0, Source!BS224, 1)</f>
        <v>33.65</v>
      </c>
      <c r="K807" s="35">
        <f>Source!R224</f>
        <v>11.44</v>
      </c>
      <c r="Q807">
        <f>H807</f>
        <v>0.34</v>
      </c>
    </row>
    <row r="808" spans="1:25" ht="14.25" x14ac:dyDescent="0.2">
      <c r="A808" s="20"/>
      <c r="B808" s="43"/>
      <c r="C808" s="43" t="s">
        <v>1400</v>
      </c>
      <c r="D808" s="32"/>
      <c r="E808" s="10"/>
      <c r="F808" s="33">
        <f>Source!AL224</f>
        <v>14.48</v>
      </c>
      <c r="G808" s="34" t="str">
        <f>Source!DD224</f>
        <v/>
      </c>
      <c r="H808" s="33">
        <f>ROUND(Source!AC224*Source!I224, 2)</f>
        <v>7.24</v>
      </c>
      <c r="I808" s="34"/>
      <c r="J808" s="34">
        <f>IF(Source!BC224&lt;&gt; 0, Source!BC224, 1)</f>
        <v>8.56</v>
      </c>
      <c r="K808" s="33">
        <f>Source!P224</f>
        <v>61.97</v>
      </c>
    </row>
    <row r="809" spans="1:25" ht="14.25" x14ac:dyDescent="0.2">
      <c r="A809" s="20"/>
      <c r="B809" s="43"/>
      <c r="C809" s="43" t="s">
        <v>1374</v>
      </c>
      <c r="D809" s="32" t="s">
        <v>1375</v>
      </c>
      <c r="E809" s="10">
        <f>Source!BZ224</f>
        <v>95</v>
      </c>
      <c r="F809" s="46"/>
      <c r="G809" s="34"/>
      <c r="H809" s="33">
        <f>SUM(R803:R812)</f>
        <v>32.81</v>
      </c>
      <c r="I809" s="36"/>
      <c r="J809" s="31">
        <f>Source!AT224</f>
        <v>95</v>
      </c>
      <c r="K809" s="33">
        <f>SUM(S803:S812)</f>
        <v>1104.1600000000001</v>
      </c>
    </row>
    <row r="810" spans="1:25" ht="14.25" x14ac:dyDescent="0.2">
      <c r="A810" s="20"/>
      <c r="B810" s="43"/>
      <c r="C810" s="43" t="s">
        <v>1376</v>
      </c>
      <c r="D810" s="32" t="s">
        <v>1375</v>
      </c>
      <c r="E810" s="10">
        <f>Source!CA224</f>
        <v>65</v>
      </c>
      <c r="F810" s="46"/>
      <c r="G810" s="34"/>
      <c r="H810" s="33">
        <f>SUM(T803:T812)</f>
        <v>22.45</v>
      </c>
      <c r="I810" s="36"/>
      <c r="J810" s="31">
        <f>Source!AU224</f>
        <v>65</v>
      </c>
      <c r="K810" s="33">
        <f>SUM(U803:U812)</f>
        <v>755.48</v>
      </c>
    </row>
    <row r="811" spans="1:25" ht="14.25" x14ac:dyDescent="0.2">
      <c r="A811" s="20"/>
      <c r="B811" s="43"/>
      <c r="C811" s="43" t="s">
        <v>1377</v>
      </c>
      <c r="D811" s="32" t="s">
        <v>1378</v>
      </c>
      <c r="E811" s="10">
        <f>Source!AQ224</f>
        <v>5.39</v>
      </c>
      <c r="F811" s="33"/>
      <c r="G811" s="34" t="str">
        <f>Source!DI224</f>
        <v>)*1,35</v>
      </c>
      <c r="H811" s="33"/>
      <c r="I811" s="34"/>
      <c r="J811" s="34"/>
      <c r="K811" s="33"/>
    </row>
    <row r="812" spans="1:25" ht="213.75" x14ac:dyDescent="0.2">
      <c r="A812" s="44"/>
      <c r="B812" s="45" t="str">
        <f>Source!F225</f>
        <v>21.1.04.01-3131</v>
      </c>
      <c r="C812" s="45" t="str">
        <f>Source!G225</f>
        <v>Кабель (витая пара): неэкранированная витая пара проводников UTP, категория 5e (или выше), 4 пары, Диаметр проводника - 24 AWG, Материал оболочки: LSZH (оболочка из не поддерживающего горение малодымного безгалогенного компаунда, не содержащего галогенов), Номинальный диаметр проводника: От 0,50 до 0,52 мм; Материал проводника: Медь, (электролитическая), Диаметр кабеля: 5,1 мм, (+-0,02 мм); цвет: оранжевый; Огнестойкость: UL444/UL1581, Стандарт: ANSI/TIA/EIA-568C.2</v>
      </c>
      <c r="D812" s="37" t="str">
        <f>Source!H225</f>
        <v>м</v>
      </c>
      <c r="E812" s="38">
        <f>Source!I225</f>
        <v>50</v>
      </c>
      <c r="F812" s="39">
        <f>Source!AL225+Source!AM225+Source!AO225</f>
        <v>7.49</v>
      </c>
      <c r="G812" s="41" t="s">
        <v>1385</v>
      </c>
      <c r="H812" s="39">
        <f>ROUND(Source!AC225*Source!I225, 2)+ROUND(Source!AD225*Source!I225, 2)+ROUND(Source!AF225*Source!I225, 2)</f>
        <v>374.5</v>
      </c>
      <c r="I812" s="40"/>
      <c r="J812" s="40">
        <f>IF(Source!BC225&lt;&gt; 0, Source!BC225, 1)</f>
        <v>3.1</v>
      </c>
      <c r="K812" s="39">
        <f>Source!O225</f>
        <v>1160.95</v>
      </c>
      <c r="R812">
        <f>ROUND((Source!FX225/100)*((ROUND(Source!AF225*Source!I225, 2)+ROUND(Source!AE225*Source!I225, 2))), 2)</f>
        <v>0</v>
      </c>
      <c r="S812">
        <f>Source!X225</f>
        <v>0</v>
      </c>
      <c r="T812">
        <f>ROUND((Source!FY225/100)*((ROUND(Source!AF225*Source!I225, 2)+ROUND(Source!AE225*Source!I225, 2))), 2)</f>
        <v>0</v>
      </c>
      <c r="U812">
        <f>Source!Y225</f>
        <v>0</v>
      </c>
      <c r="V812">
        <f>IF(Source!BI225&lt;=1,H812, 0)</f>
        <v>0</v>
      </c>
      <c r="W812">
        <f>IF(Source!BI225=2,H812, 0)</f>
        <v>374.5</v>
      </c>
      <c r="X812">
        <f>IF(Source!BI225=3,H812, 0)</f>
        <v>0</v>
      </c>
      <c r="Y812">
        <f>IF(Source!BI225=4,H812, 0)</f>
        <v>0</v>
      </c>
    </row>
    <row r="813" spans="1:25" ht="15" x14ac:dyDescent="0.25">
      <c r="G813" s="76">
        <f>H805+H806+H808+H809+H810+SUM(H812:H812)</f>
        <v>473.65000000000003</v>
      </c>
      <c r="H813" s="76"/>
      <c r="J813" s="76">
        <f>K805+K806+K808+K809+K810+SUM(K812:K812)</f>
        <v>4258.38</v>
      </c>
      <c r="K813" s="76"/>
      <c r="N813" s="28">
        <f>G813</f>
        <v>473.65000000000003</v>
      </c>
      <c r="O813" s="28">
        <f>J813</f>
        <v>4258.38</v>
      </c>
      <c r="P813" s="28" t="e">
        <f>#REF!</f>
        <v>#REF!</v>
      </c>
      <c r="V813">
        <f>IF(Source!BI224&lt;=1,H805+H806+H808+H809+H810, 0)</f>
        <v>0</v>
      </c>
      <c r="W813">
        <f>IF(Source!BI224=2,H805+H806+H808+H809+H810, 0)</f>
        <v>99.15000000000002</v>
      </c>
      <c r="X813">
        <f>IF(Source!BI224=3,H805+H806+H808+H809+H810, 0)</f>
        <v>0</v>
      </c>
      <c r="Y813">
        <f>IF(Source!BI224=4,H805+H806+H808+H809+H810, 0)</f>
        <v>0</v>
      </c>
    </row>
    <row r="814" spans="1:25" ht="65.25" x14ac:dyDescent="0.2">
      <c r="A814" s="20" t="str">
        <f>Source!E226</f>
        <v>78</v>
      </c>
      <c r="B814" s="43" t="s">
        <v>1443</v>
      </c>
      <c r="C814" s="43" t="str">
        <f>Source!G226</f>
        <v>Короба пластмассовые: шириной до 40 мм/Монтаж</v>
      </c>
      <c r="D814" s="32" t="str">
        <f>Source!H226</f>
        <v>100 м</v>
      </c>
      <c r="E814" s="10">
        <f>Source!I226</f>
        <v>0.105</v>
      </c>
      <c r="F814" s="33">
        <f>Source!AL226+Source!AM226+Source!AO226</f>
        <v>206.76</v>
      </c>
      <c r="G814" s="34"/>
      <c r="H814" s="33"/>
      <c r="I814" s="34" t="str">
        <f>Source!BO226</f>
        <v>м08-02-390-01</v>
      </c>
      <c r="J814" s="34"/>
      <c r="K814" s="33"/>
      <c r="R814">
        <f>ROUND((Source!FX226/100)*((ROUND(Source!AF226*Source!I226, 2)+ROUND(Source!AE226*Source!I226, 2))), 2)</f>
        <v>20.88</v>
      </c>
      <c r="S814">
        <f>Source!X226</f>
        <v>702.63</v>
      </c>
      <c r="T814">
        <f>ROUND((Source!FY226/100)*((ROUND(Source!AF226*Source!I226, 2)+ROUND(Source!AE226*Source!I226, 2))), 2)</f>
        <v>14.29</v>
      </c>
      <c r="U814">
        <f>Source!Y226</f>
        <v>480.75</v>
      </c>
    </row>
    <row r="815" spans="1:25" x14ac:dyDescent="0.2">
      <c r="C815" s="27" t="str">
        <f>"Объем: "&amp;Source!I226&amp;"=10,5/"&amp;"100"</f>
        <v>Объем: 0,105=10,5/100</v>
      </c>
    </row>
    <row r="816" spans="1:25" ht="14.25" x14ac:dyDescent="0.2">
      <c r="A816" s="20"/>
      <c r="B816" s="43"/>
      <c r="C816" s="43" t="s">
        <v>1372</v>
      </c>
      <c r="D816" s="32"/>
      <c r="E816" s="10"/>
      <c r="F816" s="33">
        <f>Source!AO226</f>
        <v>154.91999999999999</v>
      </c>
      <c r="G816" s="34" t="str">
        <f>Source!DG226</f>
        <v>)*1,35</v>
      </c>
      <c r="H816" s="33">
        <f>ROUND(Source!AF226*Source!I226, 2)</f>
        <v>21.96</v>
      </c>
      <c r="I816" s="34"/>
      <c r="J816" s="34">
        <f>IF(Source!BA226&lt;&gt; 0, Source!BA226, 1)</f>
        <v>33.65</v>
      </c>
      <c r="K816" s="33">
        <f>Source!S226</f>
        <v>738.94</v>
      </c>
      <c r="Q816">
        <f>H816</f>
        <v>21.96</v>
      </c>
    </row>
    <row r="817" spans="1:25" ht="14.25" x14ac:dyDescent="0.2">
      <c r="A817" s="20"/>
      <c r="B817" s="43"/>
      <c r="C817" s="43" t="s">
        <v>646</v>
      </c>
      <c r="D817" s="32"/>
      <c r="E817" s="10"/>
      <c r="F817" s="33">
        <f>Source!AM226</f>
        <v>0.31</v>
      </c>
      <c r="G817" s="34" t="str">
        <f>Source!DE226</f>
        <v>)*1,35</v>
      </c>
      <c r="H817" s="33">
        <f>ROUND(Source!AD226*Source!I226, 2)</f>
        <v>0.04</v>
      </c>
      <c r="I817" s="34"/>
      <c r="J817" s="34">
        <f>IF(Source!BB226&lt;&gt; 0, Source!BB226, 1)</f>
        <v>14.88</v>
      </c>
      <c r="K817" s="33">
        <f>Source!Q226</f>
        <v>0.66</v>
      </c>
    </row>
    <row r="818" spans="1:25" ht="14.25" x14ac:dyDescent="0.2">
      <c r="A818" s="20"/>
      <c r="B818" s="43"/>
      <c r="C818" s="43" t="s">
        <v>1373</v>
      </c>
      <c r="D818" s="32"/>
      <c r="E818" s="10"/>
      <c r="F818" s="33">
        <f>Source!AN226</f>
        <v>0.14000000000000001</v>
      </c>
      <c r="G818" s="34" t="str">
        <f>Source!DF226</f>
        <v>)*1,35</v>
      </c>
      <c r="H818" s="35">
        <f>ROUND(Source!AE226*Source!I226, 2)</f>
        <v>0.02</v>
      </c>
      <c r="I818" s="34"/>
      <c r="J818" s="34">
        <f>IF(Source!BS226&lt;&gt; 0, Source!BS226, 1)</f>
        <v>33.65</v>
      </c>
      <c r="K818" s="35">
        <f>Source!R226</f>
        <v>0.67</v>
      </c>
      <c r="Q818">
        <f>H818</f>
        <v>0.02</v>
      </c>
    </row>
    <row r="819" spans="1:25" ht="14.25" x14ac:dyDescent="0.2">
      <c r="A819" s="20"/>
      <c r="B819" s="43"/>
      <c r="C819" s="43" t="s">
        <v>1400</v>
      </c>
      <c r="D819" s="32"/>
      <c r="E819" s="10"/>
      <c r="F819" s="33">
        <f>Source!AL226</f>
        <v>51.53</v>
      </c>
      <c r="G819" s="34" t="str">
        <f>Source!DD226</f>
        <v/>
      </c>
      <c r="H819" s="33">
        <f>ROUND(Source!AC226*Source!I226, 2)</f>
        <v>5.41</v>
      </c>
      <c r="I819" s="34"/>
      <c r="J819" s="34">
        <f>IF(Source!BC226&lt;&gt; 0, Source!BC226, 1)</f>
        <v>7.93</v>
      </c>
      <c r="K819" s="33">
        <f>Source!P226</f>
        <v>42.91</v>
      </c>
    </row>
    <row r="820" spans="1:25" ht="14.25" x14ac:dyDescent="0.2">
      <c r="A820" s="20"/>
      <c r="B820" s="43"/>
      <c r="C820" s="43" t="s">
        <v>1374</v>
      </c>
      <c r="D820" s="32" t="s">
        <v>1375</v>
      </c>
      <c r="E820" s="10">
        <f>Source!BZ226</f>
        <v>95</v>
      </c>
      <c r="F820" s="46"/>
      <c r="G820" s="34"/>
      <c r="H820" s="33">
        <f>SUM(R814:R824)</f>
        <v>20.88</v>
      </c>
      <c r="I820" s="36"/>
      <c r="J820" s="31">
        <f>Source!AT226</f>
        <v>95</v>
      </c>
      <c r="K820" s="33">
        <f>SUM(S814:S824)</f>
        <v>702.63</v>
      </c>
    </row>
    <row r="821" spans="1:25" ht="14.25" x14ac:dyDescent="0.2">
      <c r="A821" s="20"/>
      <c r="B821" s="43"/>
      <c r="C821" s="43" t="s">
        <v>1376</v>
      </c>
      <c r="D821" s="32" t="s">
        <v>1375</v>
      </c>
      <c r="E821" s="10">
        <f>Source!CA226</f>
        <v>65</v>
      </c>
      <c r="F821" s="46"/>
      <c r="G821" s="34"/>
      <c r="H821" s="33">
        <f>SUM(T814:T824)</f>
        <v>14.29</v>
      </c>
      <c r="I821" s="36"/>
      <c r="J821" s="31">
        <f>Source!AU226</f>
        <v>65</v>
      </c>
      <c r="K821" s="33">
        <f>SUM(U814:U824)</f>
        <v>480.75</v>
      </c>
    </row>
    <row r="822" spans="1:25" ht="14.25" x14ac:dyDescent="0.2">
      <c r="A822" s="20"/>
      <c r="B822" s="43"/>
      <c r="C822" s="43" t="s">
        <v>1377</v>
      </c>
      <c r="D822" s="32" t="s">
        <v>1378</v>
      </c>
      <c r="E822" s="10">
        <f>Source!AQ226</f>
        <v>16.29</v>
      </c>
      <c r="F822" s="33"/>
      <c r="G822" s="34" t="str">
        <f>Source!DI226</f>
        <v>)*1,35</v>
      </c>
      <c r="H822" s="33"/>
      <c r="I822" s="34"/>
      <c r="J822" s="34"/>
      <c r="K822" s="33"/>
    </row>
    <row r="823" spans="1:25" ht="29.25" customHeight="1" x14ac:dyDescent="0.2">
      <c r="A823" s="20"/>
      <c r="B823" s="43" t="str">
        <f>Source!F227</f>
        <v>20.2.05.04-0011</v>
      </c>
      <c r="C823" s="43" t="str">
        <f>Source!G227</f>
        <v>Короба электротехнические для прокладки проводов, размер 20x12,5 мм</v>
      </c>
      <c r="D823" s="32" t="str">
        <f>Source!H227</f>
        <v>м</v>
      </c>
      <c r="E823" s="10">
        <f>Source!I227</f>
        <v>10</v>
      </c>
      <c r="F823" s="33">
        <f>Source!AL227+Source!AM227+Source!AO227</f>
        <v>7.15</v>
      </c>
      <c r="G823" s="42" t="s">
        <v>1385</v>
      </c>
      <c r="H823" s="33">
        <f>ROUND(Source!AC227*Source!I227, 2)+ROUND(Source!AD227*Source!I227, 2)+ROUND(Source!AF227*Source!I227, 2)</f>
        <v>71.5</v>
      </c>
      <c r="I823" s="34"/>
      <c r="J823" s="34">
        <f>IF(Source!BC227&lt;&gt; 0, Source!BC227, 1)</f>
        <v>8.85</v>
      </c>
      <c r="K823" s="33">
        <f>Source!O227</f>
        <v>632.78</v>
      </c>
      <c r="R823">
        <f>ROUND((Source!FX227/100)*((ROUND(Source!AF227*Source!I227, 2)+ROUND(Source!AE227*Source!I227, 2))), 2)</f>
        <v>0</v>
      </c>
      <c r="S823">
        <f>Source!X227</f>
        <v>0</v>
      </c>
      <c r="T823">
        <f>ROUND((Source!FY227/100)*((ROUND(Source!AF227*Source!I227, 2)+ROUND(Source!AE227*Source!I227, 2))), 2)</f>
        <v>0</v>
      </c>
      <c r="U823">
        <f>Source!Y227</f>
        <v>0</v>
      </c>
      <c r="V823">
        <f>IF(Source!BI227&lt;=1,H823, 0)</f>
        <v>0</v>
      </c>
      <c r="W823">
        <f>IF(Source!BI227=2,H823, 0)</f>
        <v>71.5</v>
      </c>
      <c r="X823">
        <f>IF(Source!BI227=3,H823, 0)</f>
        <v>0</v>
      </c>
      <c r="Y823">
        <f>IF(Source!BI227=4,H823, 0)</f>
        <v>0</v>
      </c>
    </row>
    <row r="824" spans="1:25" ht="17.25" customHeight="1" x14ac:dyDescent="0.2">
      <c r="A824" s="44"/>
      <c r="B824" s="45" t="str">
        <f>Source!F228</f>
        <v>20.2.05.04-0003</v>
      </c>
      <c r="C824" s="45" t="str">
        <f>Source!G228</f>
        <v>Кабель-канал напольный</v>
      </c>
      <c r="D824" s="37" t="str">
        <f>Source!H228</f>
        <v>100 м</v>
      </c>
      <c r="E824" s="38">
        <f>Source!I228</f>
        <v>5.0000000000000001E-3</v>
      </c>
      <c r="F824" s="39">
        <f>Source!AL228+Source!AM228+Source!AO228</f>
        <v>730</v>
      </c>
      <c r="G824" s="41" t="s">
        <v>1385</v>
      </c>
      <c r="H824" s="39">
        <f>ROUND(Source!AC228*Source!I228, 2)+ROUND(Source!AD228*Source!I228, 2)+ROUND(Source!AF228*Source!I228, 2)</f>
        <v>3.65</v>
      </c>
      <c r="I824" s="40"/>
      <c r="J824" s="40">
        <f>IF(Source!BC228&lt;&gt; 0, Source!BC228, 1)</f>
        <v>11.21</v>
      </c>
      <c r="K824" s="39">
        <f>Source!O228</f>
        <v>40.92</v>
      </c>
      <c r="R824">
        <f>ROUND((Source!FX228/100)*((ROUND(Source!AF228*Source!I228, 2)+ROUND(Source!AE228*Source!I228, 2))), 2)</f>
        <v>0</v>
      </c>
      <c r="S824">
        <f>Source!X228</f>
        <v>0</v>
      </c>
      <c r="T824">
        <f>ROUND((Source!FY228/100)*((ROUND(Source!AF228*Source!I228, 2)+ROUND(Source!AE228*Source!I228, 2))), 2)</f>
        <v>0</v>
      </c>
      <c r="U824">
        <f>Source!Y228</f>
        <v>0</v>
      </c>
      <c r="V824">
        <f>IF(Source!BI228&lt;=1,H824, 0)</f>
        <v>0</v>
      </c>
      <c r="W824">
        <f>IF(Source!BI228=2,H824, 0)</f>
        <v>3.65</v>
      </c>
      <c r="X824">
        <f>IF(Source!BI228=3,H824, 0)</f>
        <v>0</v>
      </c>
      <c r="Y824">
        <f>IF(Source!BI228=4,H824, 0)</f>
        <v>0</v>
      </c>
    </row>
    <row r="825" spans="1:25" ht="15" x14ac:dyDescent="0.25">
      <c r="G825" s="76">
        <f>H816+H817+H819+H820+H821+SUM(H823:H824)</f>
        <v>137.73000000000002</v>
      </c>
      <c r="H825" s="76"/>
      <c r="J825" s="76">
        <f>K816+K817+K819+K820+K821+SUM(K823:K824)</f>
        <v>2639.5899999999997</v>
      </c>
      <c r="K825" s="76"/>
      <c r="N825" s="28">
        <f>G825</f>
        <v>137.73000000000002</v>
      </c>
      <c r="O825" s="28">
        <f>J825</f>
        <v>2639.5899999999997</v>
      </c>
      <c r="P825" s="28" t="e">
        <f>#REF!</f>
        <v>#REF!</v>
      </c>
      <c r="V825">
        <f>IF(Source!BI226&lt;=1,H816+H817+H819+H820+H821, 0)</f>
        <v>0</v>
      </c>
      <c r="W825">
        <f>IF(Source!BI226=2,H816+H817+H819+H820+H821, 0)</f>
        <v>62.58</v>
      </c>
      <c r="X825">
        <f>IF(Source!BI226=3,H816+H817+H819+H820+H821, 0)</f>
        <v>0</v>
      </c>
      <c r="Y825">
        <f>IF(Source!BI226=4,H816+H817+H819+H820+H821, 0)</f>
        <v>0</v>
      </c>
    </row>
    <row r="826" spans="1:25" ht="65.25" x14ac:dyDescent="0.2">
      <c r="A826" s="20" t="str">
        <f>Source!E229</f>
        <v>79</v>
      </c>
      <c r="B826" s="43" t="s">
        <v>1444</v>
      </c>
      <c r="C826" s="43" t="str">
        <f>Source!G229</f>
        <v>Провод в коробах, сечением: до 6 мм2/Монтаж</v>
      </c>
      <c r="D826" s="32" t="str">
        <f>Source!H229</f>
        <v>100 м</v>
      </c>
      <c r="E826" s="10">
        <f>Source!I229</f>
        <v>0.105</v>
      </c>
      <c r="F826" s="33">
        <f>Source!AL229+Source!AM229+Source!AO229</f>
        <v>38.590000000000003</v>
      </c>
      <c r="G826" s="34"/>
      <c r="H826" s="33"/>
      <c r="I826" s="34" t="str">
        <f>Source!BO229</f>
        <v>м08-02-399-01</v>
      </c>
      <c r="J826" s="34"/>
      <c r="K826" s="33"/>
      <c r="R826">
        <f>ROUND((Source!FX229/100)*((ROUND(Source!AF229*Source!I229, 2)+ROUND(Source!AE229*Source!I229, 2))), 2)</f>
        <v>3.61</v>
      </c>
      <c r="S826">
        <f>Source!X229</f>
        <v>121.32</v>
      </c>
      <c r="T826">
        <f>ROUND((Source!FY229/100)*((ROUND(Source!AF229*Source!I229, 2)+ROUND(Source!AE229*Source!I229, 2))), 2)</f>
        <v>2.4700000000000002</v>
      </c>
      <c r="U826">
        <f>Source!Y229</f>
        <v>83.01</v>
      </c>
    </row>
    <row r="827" spans="1:25" x14ac:dyDescent="0.2">
      <c r="C827" s="27" t="str">
        <f>"Объем: "&amp;Source!I229&amp;"=10,5/"&amp;"100"</f>
        <v>Объем: 0,105=10,5/100</v>
      </c>
    </row>
    <row r="828" spans="1:25" ht="14.25" x14ac:dyDescent="0.2">
      <c r="A828" s="20"/>
      <c r="B828" s="43"/>
      <c r="C828" s="43" t="s">
        <v>1372</v>
      </c>
      <c r="D828" s="32"/>
      <c r="E828" s="10"/>
      <c r="F828" s="33">
        <f>Source!AO229</f>
        <v>26.51</v>
      </c>
      <c r="G828" s="34" t="str">
        <f>Source!DG229</f>
        <v>)*1,35</v>
      </c>
      <c r="H828" s="33">
        <f>ROUND(Source!AF229*Source!I229, 2)</f>
        <v>3.76</v>
      </c>
      <c r="I828" s="34"/>
      <c r="J828" s="34">
        <f>IF(Source!BA229&lt;&gt; 0, Source!BA229, 1)</f>
        <v>33.65</v>
      </c>
      <c r="K828" s="33">
        <f>Source!S229</f>
        <v>126.46</v>
      </c>
      <c r="Q828">
        <f>H828</f>
        <v>3.76</v>
      </c>
    </row>
    <row r="829" spans="1:25" ht="14.25" x14ac:dyDescent="0.2">
      <c r="A829" s="20"/>
      <c r="B829" s="43"/>
      <c r="C829" s="43" t="s">
        <v>646</v>
      </c>
      <c r="D829" s="32"/>
      <c r="E829" s="10"/>
      <c r="F829" s="33">
        <f>Source!AM229</f>
        <v>1.81</v>
      </c>
      <c r="G829" s="34" t="str">
        <f>Source!DE229</f>
        <v>)*1,35</v>
      </c>
      <c r="H829" s="33">
        <f>ROUND(Source!AD229*Source!I229, 2)</f>
        <v>0.26</v>
      </c>
      <c r="I829" s="34"/>
      <c r="J829" s="34">
        <f>IF(Source!BB229&lt;&gt; 0, Source!BB229, 1)</f>
        <v>10.220000000000001</v>
      </c>
      <c r="K829" s="33">
        <f>Source!Q229</f>
        <v>2.62</v>
      </c>
    </row>
    <row r="830" spans="1:25" ht="14.25" x14ac:dyDescent="0.2">
      <c r="A830" s="20"/>
      <c r="B830" s="43"/>
      <c r="C830" s="43" t="s">
        <v>1373</v>
      </c>
      <c r="D830" s="32"/>
      <c r="E830" s="10"/>
      <c r="F830" s="33">
        <f>Source!AN229</f>
        <v>0.26</v>
      </c>
      <c r="G830" s="34" t="str">
        <f>Source!DF229</f>
        <v>)*1,35</v>
      </c>
      <c r="H830" s="35">
        <f>ROUND(Source!AE229*Source!I229, 2)</f>
        <v>0.04</v>
      </c>
      <c r="I830" s="34"/>
      <c r="J830" s="34">
        <f>IF(Source!BS229&lt;&gt; 0, Source!BS229, 1)</f>
        <v>33.65</v>
      </c>
      <c r="K830" s="35">
        <f>Source!R229</f>
        <v>1.24</v>
      </c>
      <c r="Q830">
        <f>H830</f>
        <v>0.04</v>
      </c>
    </row>
    <row r="831" spans="1:25" ht="14.25" x14ac:dyDescent="0.2">
      <c r="A831" s="20"/>
      <c r="B831" s="43"/>
      <c r="C831" s="43" t="s">
        <v>1400</v>
      </c>
      <c r="D831" s="32"/>
      <c r="E831" s="10"/>
      <c r="F831" s="33">
        <f>Source!AL229</f>
        <v>10.27</v>
      </c>
      <c r="G831" s="34" t="str">
        <f>Source!DD229</f>
        <v/>
      </c>
      <c r="H831" s="33">
        <f>ROUND(Source!AC229*Source!I229, 2)</f>
        <v>1.08</v>
      </c>
      <c r="I831" s="34"/>
      <c r="J831" s="34">
        <f>IF(Source!BC229&lt;&gt; 0, Source!BC229, 1)</f>
        <v>8.11</v>
      </c>
      <c r="K831" s="33">
        <f>Source!P229</f>
        <v>8.75</v>
      </c>
    </row>
    <row r="832" spans="1:25" ht="14.25" x14ac:dyDescent="0.2">
      <c r="A832" s="20"/>
      <c r="B832" s="43"/>
      <c r="C832" s="43" t="s">
        <v>1374</v>
      </c>
      <c r="D832" s="32" t="s">
        <v>1375</v>
      </c>
      <c r="E832" s="10">
        <f>Source!BZ229</f>
        <v>95</v>
      </c>
      <c r="F832" s="46"/>
      <c r="G832" s="34"/>
      <c r="H832" s="33">
        <f>SUM(R826:R835)</f>
        <v>3.61</v>
      </c>
      <c r="I832" s="36"/>
      <c r="J832" s="31">
        <f>Source!AT229</f>
        <v>95</v>
      </c>
      <c r="K832" s="33">
        <f>SUM(S826:S835)</f>
        <v>121.32</v>
      </c>
    </row>
    <row r="833" spans="1:25" ht="14.25" x14ac:dyDescent="0.2">
      <c r="A833" s="20"/>
      <c r="B833" s="43"/>
      <c r="C833" s="43" t="s">
        <v>1376</v>
      </c>
      <c r="D833" s="32" t="s">
        <v>1375</v>
      </c>
      <c r="E833" s="10">
        <f>Source!CA229</f>
        <v>65</v>
      </c>
      <c r="F833" s="46"/>
      <c r="G833" s="34"/>
      <c r="H833" s="33">
        <f>SUM(T826:T835)</f>
        <v>2.4700000000000002</v>
      </c>
      <c r="I833" s="36"/>
      <c r="J833" s="31">
        <f>Source!AU229</f>
        <v>65</v>
      </c>
      <c r="K833" s="33">
        <f>SUM(U826:U835)</f>
        <v>83.01</v>
      </c>
    </row>
    <row r="834" spans="1:25" ht="14.25" x14ac:dyDescent="0.2">
      <c r="A834" s="20"/>
      <c r="B834" s="43"/>
      <c r="C834" s="43" t="s">
        <v>1377</v>
      </c>
      <c r="D834" s="32" t="s">
        <v>1378</v>
      </c>
      <c r="E834" s="10">
        <f>Source!AQ229</f>
        <v>2.82</v>
      </c>
      <c r="F834" s="33"/>
      <c r="G834" s="34" t="str">
        <f>Source!DI229</f>
        <v>)*1,35</v>
      </c>
      <c r="H834" s="33"/>
      <c r="I834" s="34"/>
      <c r="J834" s="34"/>
      <c r="K834" s="33"/>
    </row>
    <row r="835" spans="1:25" ht="199.5" customHeight="1" x14ac:dyDescent="0.2">
      <c r="A835" s="44"/>
      <c r="B835" s="45" t="str">
        <f>Source!F230</f>
        <v>21.1.04.01-3131</v>
      </c>
      <c r="C835" s="45" t="str">
        <f>Source!G230</f>
        <v>Кабель (витая пара): неэкранированная витая пара проводников UTP, категория 5e (или выше), 4 пары, Диаметр проводника - 24 AWG, Материал оболочки: LSZH (оболочка из не поддерживающего горение малодымного безгалогенного компаунда, не содержащего галогенов), Номинальный диаметр проводника: От 0,50 до 0,52 мм; Материал проводника: Медь, (электролитическая), Диаметр кабеля: 5,1 мм, (+-0,02 мм); цвет: оранжевый; Огнестойкость: UL444/UL1581, Стандарт: ANSI/TIA/EIA-568C.2</v>
      </c>
      <c r="D835" s="37" t="str">
        <f>Source!H230</f>
        <v>м</v>
      </c>
      <c r="E835" s="38">
        <f>Source!I230</f>
        <v>10.5</v>
      </c>
      <c r="F835" s="39">
        <f>Source!AL230+Source!AM230+Source!AO230</f>
        <v>7.49</v>
      </c>
      <c r="G835" s="41" t="s">
        <v>1385</v>
      </c>
      <c r="H835" s="39">
        <f>ROUND(Source!AC230*Source!I230, 2)+ROUND(Source!AD230*Source!I230, 2)+ROUND(Source!AF230*Source!I230, 2)</f>
        <v>78.650000000000006</v>
      </c>
      <c r="I835" s="40"/>
      <c r="J835" s="40">
        <f>IF(Source!BC230&lt;&gt; 0, Source!BC230, 1)</f>
        <v>3.1</v>
      </c>
      <c r="K835" s="39">
        <f>Source!O230</f>
        <v>243.8</v>
      </c>
      <c r="R835">
        <f>ROUND((Source!FX230/100)*((ROUND(Source!AF230*Source!I230, 2)+ROUND(Source!AE230*Source!I230, 2))), 2)</f>
        <v>0</v>
      </c>
      <c r="S835">
        <f>Source!X230</f>
        <v>0</v>
      </c>
      <c r="T835">
        <f>ROUND((Source!FY230/100)*((ROUND(Source!AF230*Source!I230, 2)+ROUND(Source!AE230*Source!I230, 2))), 2)</f>
        <v>0</v>
      </c>
      <c r="U835">
        <f>Source!Y230</f>
        <v>0</v>
      </c>
      <c r="V835">
        <f>IF(Source!BI230&lt;=1,H835, 0)</f>
        <v>0</v>
      </c>
      <c r="W835">
        <f>IF(Source!BI230=2,H835, 0)</f>
        <v>78.650000000000006</v>
      </c>
      <c r="X835">
        <f>IF(Source!BI230=3,H835, 0)</f>
        <v>0</v>
      </c>
      <c r="Y835">
        <f>IF(Source!BI230=4,H835, 0)</f>
        <v>0</v>
      </c>
    </row>
    <row r="836" spans="1:25" ht="15" x14ac:dyDescent="0.25">
      <c r="G836" s="76">
        <f>H828+H829+H831+H832+H833+SUM(H835:H835)</f>
        <v>89.830000000000013</v>
      </c>
      <c r="H836" s="76"/>
      <c r="J836" s="76">
        <f>K828+K829+K831+K832+K833+SUM(K835:K835)</f>
        <v>585.96</v>
      </c>
      <c r="K836" s="76"/>
      <c r="N836" s="28">
        <f>G836</f>
        <v>89.830000000000013</v>
      </c>
      <c r="O836" s="28">
        <f>J836</f>
        <v>585.96</v>
      </c>
      <c r="P836" s="28" t="e">
        <f>#REF!</f>
        <v>#REF!</v>
      </c>
      <c r="V836">
        <f>IF(Source!BI229&lt;=1,H828+H829+H831+H832+H833, 0)</f>
        <v>0</v>
      </c>
      <c r="W836">
        <f>IF(Source!BI229=2,H828+H829+H831+H832+H833, 0)</f>
        <v>11.18</v>
      </c>
      <c r="X836">
        <f>IF(Source!BI229=3,H828+H829+H831+H832+H833, 0)</f>
        <v>0</v>
      </c>
      <c r="Y836">
        <f>IF(Source!BI229=4,H828+H829+H831+H832+H833, 0)</f>
        <v>0</v>
      </c>
    </row>
    <row r="837" spans="1:25" ht="65.25" x14ac:dyDescent="0.2">
      <c r="A837" s="20" t="str">
        <f>Source!E231</f>
        <v>80</v>
      </c>
      <c r="B837" s="43" t="s">
        <v>1452</v>
      </c>
      <c r="C837" s="43" t="str">
        <f>Source!G231</f>
        <v>Розетка штепсельная: неутопленного типа при открытой проводке/Монтаж</v>
      </c>
      <c r="D837" s="32" t="str">
        <f>Source!H231</f>
        <v>100 ШТ</v>
      </c>
      <c r="E837" s="10">
        <f>Source!I231</f>
        <v>0.01</v>
      </c>
      <c r="F837" s="33">
        <f>Source!AL231+Source!AM231+Source!AO231</f>
        <v>454.03</v>
      </c>
      <c r="G837" s="34"/>
      <c r="H837" s="33"/>
      <c r="I837" s="34" t="str">
        <f>Source!BO231</f>
        <v>м08-03-591-08</v>
      </c>
      <c r="J837" s="34"/>
      <c r="K837" s="33"/>
      <c r="R837">
        <f>ROUND((Source!FX231/100)*((ROUND(Source!AF231*Source!I231, 2)+ROUND(Source!AE231*Source!I231, 2))), 2)</f>
        <v>4.41</v>
      </c>
      <c r="S837">
        <f>Source!X231</f>
        <v>148.22999999999999</v>
      </c>
      <c r="T837">
        <f>ROUND((Source!FY231/100)*((ROUND(Source!AF231*Source!I231, 2)+ROUND(Source!AE231*Source!I231, 2))), 2)</f>
        <v>3.02</v>
      </c>
      <c r="U837">
        <f>Source!Y231</f>
        <v>101.42</v>
      </c>
    </row>
    <row r="838" spans="1:25" x14ac:dyDescent="0.2">
      <c r="C838" s="27" t="str">
        <f>"Объем: "&amp;Source!I231&amp;"=1/"&amp;"100"</f>
        <v>Объем: 0,01=1/100</v>
      </c>
    </row>
    <row r="839" spans="1:25" ht="14.25" x14ac:dyDescent="0.2">
      <c r="A839" s="20"/>
      <c r="B839" s="43"/>
      <c r="C839" s="43" t="s">
        <v>1372</v>
      </c>
      <c r="D839" s="32"/>
      <c r="E839" s="10"/>
      <c r="F839" s="33">
        <f>Source!AO231</f>
        <v>342.84</v>
      </c>
      <c r="G839" s="34" t="str">
        <f>Source!DG231</f>
        <v>)*1,35</v>
      </c>
      <c r="H839" s="33">
        <f>ROUND(Source!AF231*Source!I231, 2)</f>
        <v>4.63</v>
      </c>
      <c r="I839" s="34"/>
      <c r="J839" s="34">
        <f>IF(Source!BA231&lt;&gt; 0, Source!BA231, 1)</f>
        <v>33.65</v>
      </c>
      <c r="K839" s="33">
        <f>Source!S231</f>
        <v>155.74</v>
      </c>
      <c r="Q839">
        <f>H839</f>
        <v>4.63</v>
      </c>
    </row>
    <row r="840" spans="1:25" ht="14.25" x14ac:dyDescent="0.2">
      <c r="A840" s="20"/>
      <c r="B840" s="43"/>
      <c r="C840" s="43" t="s">
        <v>646</v>
      </c>
      <c r="D840" s="32"/>
      <c r="E840" s="10"/>
      <c r="F840" s="33">
        <f>Source!AM231</f>
        <v>4.7699999999999996</v>
      </c>
      <c r="G840" s="34" t="str">
        <f>Source!DE231</f>
        <v>)*1,35</v>
      </c>
      <c r="H840" s="33">
        <f>ROUND(Source!AD231*Source!I231, 2)</f>
        <v>0.06</v>
      </c>
      <c r="I840" s="34"/>
      <c r="J840" s="34">
        <f>IF(Source!BB231&lt;&gt; 0, Source!BB231, 1)</f>
        <v>10</v>
      </c>
      <c r="K840" s="33">
        <f>Source!Q231</f>
        <v>0.64</v>
      </c>
    </row>
    <row r="841" spans="1:25" ht="14.25" x14ac:dyDescent="0.2">
      <c r="A841" s="20"/>
      <c r="B841" s="43"/>
      <c r="C841" s="43" t="s">
        <v>1373</v>
      </c>
      <c r="D841" s="32"/>
      <c r="E841" s="10"/>
      <c r="F841" s="33">
        <f>Source!AN231</f>
        <v>0.64</v>
      </c>
      <c r="G841" s="34" t="str">
        <f>Source!DF231</f>
        <v>)*1,35</v>
      </c>
      <c r="H841" s="35">
        <f>ROUND(Source!AE231*Source!I231, 2)</f>
        <v>0.01</v>
      </c>
      <c r="I841" s="34"/>
      <c r="J841" s="34">
        <f>IF(Source!BS231&lt;&gt; 0, Source!BS231, 1)</f>
        <v>33.65</v>
      </c>
      <c r="K841" s="35">
        <f>Source!R231</f>
        <v>0.28999999999999998</v>
      </c>
      <c r="Q841">
        <f>H841</f>
        <v>0.01</v>
      </c>
    </row>
    <row r="842" spans="1:25" ht="14.25" x14ac:dyDescent="0.2">
      <c r="A842" s="20"/>
      <c r="B842" s="43"/>
      <c r="C842" s="43" t="s">
        <v>1400</v>
      </c>
      <c r="D842" s="32"/>
      <c r="E842" s="10"/>
      <c r="F842" s="33">
        <f>Source!AL231</f>
        <v>106.42</v>
      </c>
      <c r="G842" s="34" t="str">
        <f>Source!DD231</f>
        <v/>
      </c>
      <c r="H842" s="33">
        <f>ROUND(Source!AC231*Source!I231, 2)</f>
        <v>1.06</v>
      </c>
      <c r="I842" s="34"/>
      <c r="J842" s="34">
        <f>IF(Source!BC231&lt;&gt; 0, Source!BC231, 1)</f>
        <v>7</v>
      </c>
      <c r="K842" s="33">
        <f>Source!P231</f>
        <v>7.45</v>
      </c>
    </row>
    <row r="843" spans="1:25" ht="14.25" x14ac:dyDescent="0.2">
      <c r="A843" s="20"/>
      <c r="B843" s="43"/>
      <c r="C843" s="43" t="s">
        <v>1374</v>
      </c>
      <c r="D843" s="32" t="s">
        <v>1375</v>
      </c>
      <c r="E843" s="10">
        <f>Source!BZ231</f>
        <v>95</v>
      </c>
      <c r="F843" s="46"/>
      <c r="G843" s="34"/>
      <c r="H843" s="33">
        <f>SUM(R837:R846)</f>
        <v>4.41</v>
      </c>
      <c r="I843" s="36"/>
      <c r="J843" s="31">
        <f>Source!AT231</f>
        <v>95</v>
      </c>
      <c r="K843" s="33">
        <f>SUM(S837:S846)</f>
        <v>148.22999999999999</v>
      </c>
    </row>
    <row r="844" spans="1:25" ht="14.25" x14ac:dyDescent="0.2">
      <c r="A844" s="20"/>
      <c r="B844" s="43"/>
      <c r="C844" s="43" t="s">
        <v>1376</v>
      </c>
      <c r="D844" s="32" t="s">
        <v>1375</v>
      </c>
      <c r="E844" s="10">
        <f>Source!CA231</f>
        <v>65</v>
      </c>
      <c r="F844" s="46"/>
      <c r="G844" s="34"/>
      <c r="H844" s="33">
        <f>SUM(T837:T846)</f>
        <v>3.02</v>
      </c>
      <c r="I844" s="36"/>
      <c r="J844" s="31">
        <f>Source!AU231</f>
        <v>65</v>
      </c>
      <c r="K844" s="33">
        <f>SUM(U837:U846)</f>
        <v>101.42</v>
      </c>
    </row>
    <row r="845" spans="1:25" ht="14.25" x14ac:dyDescent="0.2">
      <c r="A845" s="20"/>
      <c r="B845" s="43"/>
      <c r="C845" s="43" t="s">
        <v>1377</v>
      </c>
      <c r="D845" s="32" t="s">
        <v>1378</v>
      </c>
      <c r="E845" s="10">
        <f>Source!AQ231</f>
        <v>34.56</v>
      </c>
      <c r="F845" s="33"/>
      <c r="G845" s="34" t="str">
        <f>Source!DI231</f>
        <v>)*1,35</v>
      </c>
      <c r="H845" s="33"/>
      <c r="I845" s="34"/>
      <c r="J845" s="34"/>
      <c r="K845" s="33"/>
    </row>
    <row r="846" spans="1:25" ht="28.5" x14ac:dyDescent="0.2">
      <c r="A846" s="44"/>
      <c r="B846" s="45" t="str">
        <f>Source!F232</f>
        <v>20.4.03.07-0016</v>
      </c>
      <c r="C846" s="45" t="str">
        <f>Source!G232</f>
        <v>Розетка штепсельная с заземляющим контактом</v>
      </c>
      <c r="D846" s="37" t="str">
        <f>Source!H232</f>
        <v>100 ШТ</v>
      </c>
      <c r="E846" s="38">
        <f>Source!I232</f>
        <v>0.01</v>
      </c>
      <c r="F846" s="39">
        <f>Source!AL232+Source!AM232+Source!AO232</f>
        <v>3217.41</v>
      </c>
      <c r="G846" s="41" t="s">
        <v>1385</v>
      </c>
      <c r="H846" s="39">
        <f>ROUND(Source!AC232*Source!I232, 2)+ROUND(Source!AD232*Source!I232, 2)+ROUND(Source!AF232*Source!I232, 2)</f>
        <v>32.17</v>
      </c>
      <c r="I846" s="40"/>
      <c r="J846" s="40">
        <f>IF(Source!BC232&lt;&gt; 0, Source!BC232, 1)</f>
        <v>16.97</v>
      </c>
      <c r="K846" s="39">
        <f>Source!O232</f>
        <v>545.99</v>
      </c>
      <c r="R846">
        <f>ROUND((Source!FX232/100)*((ROUND(Source!AF232*Source!I232, 2)+ROUND(Source!AE232*Source!I232, 2))), 2)</f>
        <v>0</v>
      </c>
      <c r="S846">
        <f>Source!X232</f>
        <v>0</v>
      </c>
      <c r="T846">
        <f>ROUND((Source!FY232/100)*((ROUND(Source!AF232*Source!I232, 2)+ROUND(Source!AE232*Source!I232, 2))), 2)</f>
        <v>0</v>
      </c>
      <c r="U846">
        <f>Source!Y232</f>
        <v>0</v>
      </c>
      <c r="V846">
        <f>IF(Source!BI232&lt;=1,H846, 0)</f>
        <v>0</v>
      </c>
      <c r="W846">
        <f>IF(Source!BI232=2,H846, 0)</f>
        <v>32.17</v>
      </c>
      <c r="X846">
        <f>IF(Source!BI232=3,H846, 0)</f>
        <v>0</v>
      </c>
      <c r="Y846">
        <f>IF(Source!BI232=4,H846, 0)</f>
        <v>0</v>
      </c>
    </row>
    <row r="847" spans="1:25" ht="15" x14ac:dyDescent="0.25">
      <c r="G847" s="76">
        <f>H839+H840+H842+H843+H844+SUM(H846:H846)</f>
        <v>45.35</v>
      </c>
      <c r="H847" s="76"/>
      <c r="J847" s="76">
        <f>K839+K840+K842+K843+K844+SUM(K846:K846)</f>
        <v>959.47</v>
      </c>
      <c r="K847" s="76"/>
      <c r="N847" s="28">
        <f>G847</f>
        <v>45.35</v>
      </c>
      <c r="O847" s="28">
        <f>J847</f>
        <v>959.47</v>
      </c>
      <c r="P847" s="28" t="e">
        <f>#REF!</f>
        <v>#REF!</v>
      </c>
      <c r="V847">
        <f>IF(Source!BI231&lt;=1,H839+H840+H842+H843+H844, 0)</f>
        <v>0</v>
      </c>
      <c r="W847">
        <f>IF(Source!BI231=2,H839+H840+H842+H843+H844, 0)</f>
        <v>13.18</v>
      </c>
      <c r="X847">
        <f>IF(Source!BI231=3,H839+H840+H842+H843+H844, 0)</f>
        <v>0</v>
      </c>
      <c r="Y847">
        <f>IF(Source!BI231=4,H839+H840+H842+H843+H844, 0)</f>
        <v>0</v>
      </c>
    </row>
    <row r="848" spans="1:25" ht="65.25" x14ac:dyDescent="0.2">
      <c r="A848" s="20" t="str">
        <f>Source!E233</f>
        <v>81</v>
      </c>
      <c r="B848" s="43" t="s">
        <v>1445</v>
      </c>
      <c r="C848" s="43" t="str">
        <f>Source!G233</f>
        <v>Пробивка в кирпичных стенах отверстий круглых диаметром: до 25 мм при толщине стен до 51 см</v>
      </c>
      <c r="D848" s="32" t="str">
        <f>Source!H233</f>
        <v>100 ШТ</v>
      </c>
      <c r="E848" s="10">
        <f>Source!I233</f>
        <v>0.02</v>
      </c>
      <c r="F848" s="33">
        <f>Source!AL233+Source!AM233+Source!AO233</f>
        <v>2191.62</v>
      </c>
      <c r="G848" s="34"/>
      <c r="H848" s="33"/>
      <c r="I848" s="34" t="str">
        <f>Source!BO233</f>
        <v>46-03-009-05</v>
      </c>
      <c r="J848" s="34"/>
      <c r="K848" s="33"/>
      <c r="R848">
        <f>ROUND((Source!FX233/100)*((ROUND(Source!AF233*Source!I233, 2)+ROUND(Source!AE233*Source!I233, 2))), 2)</f>
        <v>18.32</v>
      </c>
      <c r="S848">
        <f>Source!X233</f>
        <v>616.37</v>
      </c>
      <c r="T848">
        <f>ROUND((Source!FY233/100)*((ROUND(Source!AF233*Source!I233, 2)+ROUND(Source!AE233*Source!I233, 2))), 2)</f>
        <v>11.01</v>
      </c>
      <c r="U848">
        <f>Source!Y233</f>
        <v>373.56</v>
      </c>
    </row>
    <row r="849" spans="1:25" x14ac:dyDescent="0.2">
      <c r="C849" s="27" t="str">
        <f>"Объем: "&amp;Source!I233&amp;"=2/"&amp;"100"</f>
        <v>Объем: 0,02=2/100</v>
      </c>
    </row>
    <row r="850" spans="1:25" ht="14.25" x14ac:dyDescent="0.2">
      <c r="A850" s="20"/>
      <c r="B850" s="43"/>
      <c r="C850" s="43" t="s">
        <v>1372</v>
      </c>
      <c r="D850" s="32"/>
      <c r="E850" s="10"/>
      <c r="F850" s="33">
        <f>Source!AO233</f>
        <v>804.44</v>
      </c>
      <c r="G850" s="34" t="str">
        <f>Source!DG233</f>
        <v>)*1,15</v>
      </c>
      <c r="H850" s="33">
        <f>ROUND(Source!AF233*Source!I233, 2)</f>
        <v>18.5</v>
      </c>
      <c r="I850" s="34"/>
      <c r="J850" s="34">
        <f>IF(Source!BA233&lt;&gt; 0, Source!BA233, 1)</f>
        <v>33.65</v>
      </c>
      <c r="K850" s="33">
        <f>Source!S233</f>
        <v>622.6</v>
      </c>
      <c r="Q850">
        <f>H850</f>
        <v>18.5</v>
      </c>
    </row>
    <row r="851" spans="1:25" ht="14.25" x14ac:dyDescent="0.2">
      <c r="A851" s="20"/>
      <c r="B851" s="43"/>
      <c r="C851" s="43" t="s">
        <v>646</v>
      </c>
      <c r="D851" s="32"/>
      <c r="E851" s="10"/>
      <c r="F851" s="33">
        <f>Source!AM233</f>
        <v>1387.18</v>
      </c>
      <c r="G851" s="34" t="str">
        <f>Source!DE233</f>
        <v>)*1,15</v>
      </c>
      <c r="H851" s="33">
        <f>ROUND(Source!AD233*Source!I233, 2)</f>
        <v>31.91</v>
      </c>
      <c r="I851" s="34"/>
      <c r="J851" s="34">
        <f>IF(Source!BB233&lt;&gt; 0, Source!BB233, 1)</f>
        <v>2.78</v>
      </c>
      <c r="K851" s="33">
        <f>Source!Q233</f>
        <v>88.7</v>
      </c>
    </row>
    <row r="852" spans="1:25" ht="14.25" x14ac:dyDescent="0.2">
      <c r="A852" s="20"/>
      <c r="B852" s="43"/>
      <c r="C852" s="43" t="s">
        <v>1374</v>
      </c>
      <c r="D852" s="32" t="s">
        <v>1375</v>
      </c>
      <c r="E852" s="10">
        <f>Source!BZ233</f>
        <v>110</v>
      </c>
      <c r="F852" s="64" t="str">
        <f>CONCATENATE(" )", Source!DL233, Source!FT233, "=", Source!FX233)</f>
        <v xml:space="preserve"> )*0,9=99</v>
      </c>
      <c r="G852" s="75"/>
      <c r="H852" s="33">
        <f>SUM(R848:R854)</f>
        <v>18.32</v>
      </c>
      <c r="I852" s="36"/>
      <c r="J852" s="31">
        <f>Source!AT233</f>
        <v>99</v>
      </c>
      <c r="K852" s="33">
        <f>SUM(S848:S854)</f>
        <v>616.37</v>
      </c>
    </row>
    <row r="853" spans="1:25" ht="14.25" x14ac:dyDescent="0.2">
      <c r="A853" s="20"/>
      <c r="B853" s="43"/>
      <c r="C853" s="43" t="s">
        <v>1376</v>
      </c>
      <c r="D853" s="32" t="s">
        <v>1375</v>
      </c>
      <c r="E853" s="10">
        <f>Source!CA233</f>
        <v>70</v>
      </c>
      <c r="F853" s="64" t="str">
        <f>CONCATENATE(" )", Source!DM233, Source!FU233, "=", Source!FY233)</f>
        <v xml:space="preserve"> )*0,85=59,5</v>
      </c>
      <c r="G853" s="75"/>
      <c r="H853" s="33">
        <f>SUM(T848:T854)</f>
        <v>11.01</v>
      </c>
      <c r="I853" s="36"/>
      <c r="J853" s="31">
        <f>Source!AU233</f>
        <v>60</v>
      </c>
      <c r="K853" s="33">
        <f>SUM(U848:U854)</f>
        <v>373.56</v>
      </c>
    </row>
    <row r="854" spans="1:25" ht="14.25" x14ac:dyDescent="0.2">
      <c r="A854" s="44"/>
      <c r="B854" s="45"/>
      <c r="C854" s="45" t="s">
        <v>1377</v>
      </c>
      <c r="D854" s="37" t="s">
        <v>1378</v>
      </c>
      <c r="E854" s="38">
        <f>Source!AQ233</f>
        <v>87.63</v>
      </c>
      <c r="F854" s="39"/>
      <c r="G854" s="40" t="str">
        <f>Source!DI233</f>
        <v>)*1,15</v>
      </c>
      <c r="H854" s="39"/>
      <c r="I854" s="40"/>
      <c r="J854" s="40"/>
      <c r="K854" s="39"/>
    </row>
    <row r="855" spans="1:25" ht="15" x14ac:dyDescent="0.25">
      <c r="G855" s="76">
        <f>H850+H851+H852+H853</f>
        <v>79.739999999999995</v>
      </c>
      <c r="H855" s="76"/>
      <c r="J855" s="76">
        <f>K850+K851+K852+K853</f>
        <v>1701.23</v>
      </c>
      <c r="K855" s="76"/>
      <c r="N855" s="28">
        <f>G855</f>
        <v>79.739999999999995</v>
      </c>
      <c r="O855" s="28">
        <f>J855</f>
        <v>1701.23</v>
      </c>
      <c r="P855" s="28" t="e">
        <f>#REF!</f>
        <v>#REF!</v>
      </c>
      <c r="V855">
        <f>IF(Source!BI233&lt;=1,H850+H851+H852+H853, 0)</f>
        <v>79.739999999999995</v>
      </c>
      <c r="W855">
        <f>IF(Source!BI233=2,H850+H851+H852+H853, 0)</f>
        <v>0</v>
      </c>
      <c r="X855">
        <f>IF(Source!BI233=3,H850+H851+H852+H853, 0)</f>
        <v>0</v>
      </c>
      <c r="Y855">
        <f>IF(Source!BI233=4,H850+H851+H852+H853, 0)</f>
        <v>0</v>
      </c>
    </row>
    <row r="857" spans="1:25" ht="15" x14ac:dyDescent="0.25">
      <c r="A857" s="80" t="str">
        <f>CONCATENATE("Итого по разделу: ",IF(Source!G235&lt;&gt;"Новый раздел", Source!G235, ""))</f>
        <v>Итого по разделу: Видеодомофон</v>
      </c>
      <c r="B857" s="80"/>
      <c r="C857" s="80"/>
      <c r="D857" s="80"/>
      <c r="E857" s="80"/>
      <c r="F857" s="80"/>
      <c r="G857" s="79">
        <f>SUM(N776:N856)</f>
        <v>3117.1399999999994</v>
      </c>
      <c r="H857" s="79"/>
      <c r="I857" s="30"/>
      <c r="J857" s="79">
        <f>SUM(O776:O856)</f>
        <v>36205.870000000003</v>
      </c>
      <c r="K857" s="79"/>
    </row>
    <row r="861" spans="1:25" ht="16.5" x14ac:dyDescent="0.25">
      <c r="A861" s="78" t="str">
        <f>CONCATENATE("Раздел: ",IF(Source!G265&lt;&gt;"Новый раздел", Source!G265, ""))</f>
        <v>Раздел: Прочие работы</v>
      </c>
      <c r="B861" s="78"/>
      <c r="C861" s="78"/>
      <c r="D861" s="78"/>
      <c r="E861" s="78"/>
      <c r="F861" s="78"/>
      <c r="G861" s="78"/>
      <c r="H861" s="78"/>
      <c r="I861" s="78"/>
      <c r="J861" s="78"/>
      <c r="K861" s="78"/>
    </row>
    <row r="862" spans="1:25" ht="42.75" x14ac:dyDescent="0.2">
      <c r="A862" s="44" t="str">
        <f>Source!E269</f>
        <v>82</v>
      </c>
      <c r="B862" s="45" t="str">
        <f>Source!F269</f>
        <v>т01-01-01-041</v>
      </c>
      <c r="C862" s="45" t="str">
        <f>Source!G269</f>
        <v>Погрузочные работы при автомобильных перевозках мусора строительного с погрузкой вручную</v>
      </c>
      <c r="D862" s="37" t="str">
        <f>Source!H269</f>
        <v>1 Т ГРУЗА</v>
      </c>
      <c r="E862" s="38">
        <f>Source!I269</f>
        <v>3</v>
      </c>
      <c r="F862" s="39">
        <f>Source!AK269</f>
        <v>42.98</v>
      </c>
      <c r="G862" s="40" t="str">
        <f>Source!DC269</f>
        <v/>
      </c>
      <c r="H862" s="39">
        <f>ROUND(Source!AB269*Source!I269, 2)</f>
        <v>128.94</v>
      </c>
      <c r="I862" s="40" t="str">
        <f>Source!BO269</f>
        <v>т01-01-01-041</v>
      </c>
      <c r="J862" s="40">
        <f>Source!AZ269</f>
        <v>14.04</v>
      </c>
      <c r="K862" s="39">
        <f>Source!GM269</f>
        <v>1810.32</v>
      </c>
      <c r="R862">
        <f>ROUND((Source!FX269/100)*((ROUND(0*Source!I269, 2)+ROUND(0*Source!I269, 2))), 2)</f>
        <v>0</v>
      </c>
      <c r="S862">
        <f>Source!X269</f>
        <v>0</v>
      </c>
      <c r="T862">
        <f>ROUND((Source!FY269/100)*((ROUND(0*Source!I269, 2)+ROUND(0*Source!I269, 2))), 2)</f>
        <v>0</v>
      </c>
      <c r="U862">
        <f>Source!Y269</f>
        <v>0</v>
      </c>
    </row>
    <row r="863" spans="1:25" ht="15" x14ac:dyDescent="0.25">
      <c r="G863" s="76">
        <f>H862</f>
        <v>128.94</v>
      </c>
      <c r="H863" s="76"/>
      <c r="J863" s="76">
        <f>K862</f>
        <v>1810.32</v>
      </c>
      <c r="K863" s="76"/>
      <c r="N863" s="28">
        <f>G863</f>
        <v>128.94</v>
      </c>
      <c r="O863" s="28">
        <f>J863</f>
        <v>1810.32</v>
      </c>
      <c r="P863" s="28" t="e">
        <f>#REF!</f>
        <v>#REF!</v>
      </c>
      <c r="V863">
        <f>IF(Source!BI269&lt;=1,H862, 0)</f>
        <v>128.94</v>
      </c>
      <c r="W863">
        <f>IF(Source!BI269=2,H862, 0)</f>
        <v>0</v>
      </c>
      <c r="X863">
        <f>IF(Source!BI269=3,H862, 0)</f>
        <v>0</v>
      </c>
      <c r="Y863">
        <f>IF(Source!BI269=4,H862, 0)</f>
        <v>0</v>
      </c>
    </row>
    <row r="864" spans="1:25" ht="57" x14ac:dyDescent="0.2">
      <c r="A864" s="44" t="str">
        <f>Source!E270</f>
        <v>83</v>
      </c>
      <c r="B864" s="45" t="str">
        <f>Source!F270</f>
        <v>т03-21-01-100</v>
      </c>
      <c r="C864" s="45" t="str">
        <f>Source!G270</f>
        <v>Перевозка грузов I класса автомобилями-самосвалами грузоподъемностью 10 т работающих вне карьера на расстояние: до 100 км</v>
      </c>
      <c r="D864" s="37" t="str">
        <f>Source!H270</f>
        <v>1 Т ГРУЗА</v>
      </c>
      <c r="E864" s="38">
        <f>Source!I270</f>
        <v>3</v>
      </c>
      <c r="F864" s="39">
        <f>Source!AK270</f>
        <v>46.84</v>
      </c>
      <c r="G864" s="40" t="str">
        <f>Source!DC270</f>
        <v/>
      </c>
      <c r="H864" s="39">
        <f>ROUND(Source!AB270*Source!I270, 2)</f>
        <v>140.52000000000001</v>
      </c>
      <c r="I864" s="40" t="str">
        <f>Source!BO270</f>
        <v>т03-21-01-100</v>
      </c>
      <c r="J864" s="40">
        <f>Source!AZ270</f>
        <v>7.22</v>
      </c>
      <c r="K864" s="39">
        <f>Source!GM270</f>
        <v>1014.55</v>
      </c>
      <c r="R864">
        <f>ROUND((Source!FX270/100)*((ROUND(0*Source!I270, 2)+ROUND(0*Source!I270, 2))), 2)</f>
        <v>0</v>
      </c>
      <c r="S864">
        <f>Source!X270</f>
        <v>0</v>
      </c>
      <c r="T864">
        <f>ROUND((Source!FY270/100)*((ROUND(0*Source!I270, 2)+ROUND(0*Source!I270, 2))), 2)</f>
        <v>0</v>
      </c>
      <c r="U864">
        <f>Source!Y270</f>
        <v>0</v>
      </c>
    </row>
    <row r="865" spans="1:38" ht="15" x14ac:dyDescent="0.25">
      <c r="G865" s="76">
        <f>H864</f>
        <v>140.52000000000001</v>
      </c>
      <c r="H865" s="76"/>
      <c r="J865" s="76">
        <f>K864</f>
        <v>1014.55</v>
      </c>
      <c r="K865" s="76"/>
      <c r="N865" s="28">
        <f>G865</f>
        <v>140.52000000000001</v>
      </c>
      <c r="O865" s="28">
        <f>J865</f>
        <v>1014.55</v>
      </c>
      <c r="P865" s="28" t="e">
        <f>#REF!</f>
        <v>#REF!</v>
      </c>
      <c r="V865">
        <f>IF(Source!BI270&lt;=1,H864, 0)</f>
        <v>140.52000000000001</v>
      </c>
      <c r="W865">
        <f>IF(Source!BI270=2,H864, 0)</f>
        <v>0</v>
      </c>
      <c r="X865">
        <f>IF(Source!BI270=3,H864, 0)</f>
        <v>0</v>
      </c>
      <c r="Y865">
        <f>IF(Source!BI270=4,H864, 0)</f>
        <v>0</v>
      </c>
    </row>
    <row r="867" spans="1:38" ht="15" x14ac:dyDescent="0.25">
      <c r="A867" s="80" t="str">
        <f>CONCATENATE("Итого по разделу: ",IF(Source!G272&lt;&gt;"Новый раздел", Source!G272, ""))</f>
        <v>Итого по разделу: Прочие работы</v>
      </c>
      <c r="B867" s="80"/>
      <c r="C867" s="80"/>
      <c r="D867" s="80"/>
      <c r="E867" s="80"/>
      <c r="F867" s="80"/>
      <c r="G867" s="79">
        <f>SUM(N861:N866)</f>
        <v>269.46000000000004</v>
      </c>
      <c r="H867" s="79"/>
      <c r="I867" s="30"/>
      <c r="J867" s="79">
        <f>SUM(O861:O866)</f>
        <v>2824.87</v>
      </c>
      <c r="K867" s="79"/>
    </row>
    <row r="869" spans="1:38" ht="15" x14ac:dyDescent="0.25">
      <c r="A869" s="80" t="str">
        <f>CONCATENATE("Итого по локальной смете: ",IF(Source!G302&lt;&gt;"Новая локальная смета", Source!G302, ""))</f>
        <v xml:space="preserve">Итого по локальной смете: </v>
      </c>
      <c r="B869" s="80"/>
      <c r="C869" s="80"/>
      <c r="D869" s="80"/>
      <c r="E869" s="80"/>
      <c r="F869" s="80"/>
      <c r="G869" s="79">
        <f>SUM(N38:N868)</f>
        <v>93226.729999999981</v>
      </c>
      <c r="H869" s="79"/>
      <c r="I869" s="30"/>
      <c r="J869" s="79">
        <f>SUM(O38:O868)</f>
        <v>883137.34999999986</v>
      </c>
      <c r="K869" s="79"/>
    </row>
    <row r="871" spans="1:38" ht="14.25" x14ac:dyDescent="0.2">
      <c r="C871" s="69" t="str">
        <f>Source!H361</f>
        <v>Итого по смете</v>
      </c>
      <c r="D871" s="69"/>
      <c r="E871" s="69"/>
      <c r="F871" s="69"/>
      <c r="G871" s="69"/>
      <c r="H871" s="69"/>
      <c r="I871" s="69"/>
      <c r="J871" s="72">
        <f>IF(Source!F361=0, "", Source!F361)</f>
        <v>883137.35</v>
      </c>
      <c r="K871" s="72"/>
    </row>
    <row r="872" spans="1:38" ht="14.25" x14ac:dyDescent="0.2">
      <c r="C872" s="69" t="str">
        <f>Source!H362</f>
        <v>Непредвиденные расходы 2% (Приказ от 4.09.2020 г. № 421/пр)</v>
      </c>
      <c r="D872" s="69"/>
      <c r="E872" s="69"/>
      <c r="F872" s="69"/>
      <c r="G872" s="69"/>
      <c r="H872" s="69"/>
      <c r="I872" s="69"/>
      <c r="J872" s="72">
        <f>IF(Source!F362=0, "", Source!F362)</f>
        <v>17662.75</v>
      </c>
      <c r="K872" s="72"/>
    </row>
    <row r="873" spans="1:38" ht="14.25" x14ac:dyDescent="0.2">
      <c r="C873" s="69" t="str">
        <f>Source!H363</f>
        <v>Итого с непредвиденными расходами</v>
      </c>
      <c r="D873" s="69"/>
      <c r="E873" s="69"/>
      <c r="F873" s="69"/>
      <c r="G873" s="69"/>
      <c r="H873" s="69"/>
      <c r="I873" s="69"/>
      <c r="J873" s="72">
        <f>IF(Source!F363=0, "", Source!F363)</f>
        <v>900800.1</v>
      </c>
      <c r="K873" s="72"/>
    </row>
    <row r="874" spans="1:38" ht="14.25" x14ac:dyDescent="0.2">
      <c r="C874" s="69" t="str">
        <f>Source!H364</f>
        <v>НДС 20%</v>
      </c>
      <c r="D874" s="69"/>
      <c r="E874" s="69"/>
      <c r="F874" s="69"/>
      <c r="G874" s="69"/>
      <c r="H874" s="69"/>
      <c r="I874" s="69"/>
      <c r="J874" s="72">
        <f>IF(Source!F364=0, "", Source!F364)</f>
        <v>180160.02</v>
      </c>
      <c r="K874" s="72"/>
      <c r="L874" s="85"/>
      <c r="M874" s="85"/>
      <c r="N874" s="85"/>
      <c r="O874" s="85"/>
      <c r="P874" s="85"/>
      <c r="Q874" s="85"/>
      <c r="R874" s="85"/>
      <c r="S874" s="85"/>
      <c r="T874" s="85"/>
      <c r="U874" s="85"/>
      <c r="V874" s="85"/>
      <c r="W874" s="85"/>
      <c r="X874" s="85"/>
      <c r="Y874" s="85"/>
      <c r="Z874" s="85"/>
      <c r="AA874" s="85"/>
      <c r="AB874" s="85"/>
      <c r="AC874" s="85"/>
      <c r="AD874" s="85"/>
      <c r="AE874" s="85"/>
      <c r="AF874" s="85"/>
      <c r="AG874" s="85"/>
      <c r="AH874" s="85"/>
      <c r="AI874" s="85"/>
      <c r="AJ874" s="85"/>
      <c r="AK874" s="85" t="s">
        <v>1469</v>
      </c>
      <c r="AL874" s="85"/>
    </row>
    <row r="875" spans="1:38" ht="14.25" x14ac:dyDescent="0.2">
      <c r="C875" s="69" t="str">
        <f>Source!H365</f>
        <v>Всего по смете</v>
      </c>
      <c r="D875" s="69"/>
      <c r="E875" s="69"/>
      <c r="F875" s="69"/>
      <c r="G875" s="69"/>
      <c r="H875" s="69"/>
      <c r="I875" s="69"/>
      <c r="J875" s="72">
        <f>IF(Source!F365=0, "", Source!F365)</f>
        <v>1080960.1200000001</v>
      </c>
      <c r="K875" s="72"/>
      <c r="L875" s="85"/>
      <c r="M875" s="85" t="s">
        <v>1467</v>
      </c>
      <c r="N875" s="85"/>
      <c r="O875" s="85"/>
      <c r="P875" s="85"/>
      <c r="Q875" s="85"/>
      <c r="R875" s="85"/>
      <c r="S875" s="85"/>
      <c r="T875" s="85"/>
      <c r="U875" s="85"/>
      <c r="V875" s="85"/>
      <c r="W875" s="85"/>
      <c r="X875" s="85"/>
      <c r="Y875" s="85"/>
      <c r="Z875" s="85"/>
      <c r="AA875" s="85"/>
      <c r="AB875" s="85"/>
      <c r="AC875" s="85"/>
      <c r="AD875" s="85"/>
      <c r="AE875" s="85"/>
      <c r="AF875" s="85"/>
      <c r="AG875" s="85"/>
      <c r="AH875" s="85"/>
      <c r="AI875" s="85"/>
      <c r="AJ875" s="86">
        <f>J857+J680+J672+J661+J651+J492+J472+J513+J502</f>
        <v>266538.88</v>
      </c>
      <c r="AK875" s="86">
        <f>AJ875*1.2</f>
        <v>319846.65600000002</v>
      </c>
      <c r="AL875" s="85"/>
    </row>
    <row r="876" spans="1:38" x14ac:dyDescent="0.2">
      <c r="L876" s="85"/>
      <c r="M876" s="85" t="s">
        <v>1468</v>
      </c>
      <c r="N876" s="85"/>
      <c r="O876" s="85"/>
      <c r="P876" s="85"/>
      <c r="Q876" s="85"/>
      <c r="R876" s="85"/>
      <c r="S876" s="85"/>
      <c r="T876" s="85"/>
      <c r="U876" s="85"/>
      <c r="V876" s="85"/>
      <c r="W876" s="85"/>
      <c r="X876" s="85"/>
      <c r="Y876" s="85"/>
      <c r="Z876" s="85"/>
      <c r="AA876" s="85"/>
      <c r="AB876" s="85"/>
      <c r="AC876" s="85"/>
      <c r="AD876" s="85"/>
      <c r="AE876" s="85"/>
      <c r="AF876" s="85"/>
      <c r="AG876" s="85"/>
      <c r="AH876" s="85"/>
      <c r="AI876" s="85"/>
      <c r="AJ876" s="86">
        <f>J873-AJ875</f>
        <v>634261.22</v>
      </c>
      <c r="AK876" s="86">
        <f>AJ876*1.2</f>
        <v>761113.46399999992</v>
      </c>
      <c r="AL876" s="85"/>
    </row>
    <row r="878" spans="1:38" ht="14.25" x14ac:dyDescent="0.2">
      <c r="A878" s="29" t="s">
        <v>1453</v>
      </c>
      <c r="B878" s="29"/>
      <c r="C878" s="10"/>
      <c r="D878" s="88" t="str">
        <f>IF(Source!CP12&lt;&gt;"", Source!CP12," ")</f>
        <v xml:space="preserve"> </v>
      </c>
      <c r="E878" s="88"/>
      <c r="F878" s="88"/>
      <c r="G878" s="88"/>
      <c r="H878" s="88"/>
      <c r="I878" s="11" t="str">
        <f>IF(Source!CO12&lt;&gt;"", Source!CO12," ")</f>
        <v xml:space="preserve"> </v>
      </c>
      <c r="J878" s="10"/>
      <c r="K878" s="11"/>
    </row>
    <row r="879" spans="1:38" ht="18.75" x14ac:dyDescent="0.25">
      <c r="A879" s="11"/>
      <c r="B879" s="11"/>
      <c r="C879" s="89" t="s">
        <v>1470</v>
      </c>
      <c r="D879" s="90"/>
      <c r="E879" s="90"/>
      <c r="F879" s="90"/>
      <c r="G879" s="89" t="s">
        <v>1471</v>
      </c>
      <c r="H879" s="91"/>
      <c r="I879" s="92"/>
      <c r="J879" s="63"/>
      <c r="K879" s="11"/>
    </row>
    <row r="880" spans="1:38" ht="18.75" x14ac:dyDescent="0.25">
      <c r="A880" s="11"/>
      <c r="B880" s="11"/>
      <c r="C880" s="93" t="s">
        <v>1472</v>
      </c>
      <c r="D880" s="91"/>
      <c r="E880" s="91"/>
      <c r="F880" s="91"/>
      <c r="G880" s="93"/>
      <c r="H880" s="91"/>
      <c r="I880" s="92"/>
      <c r="J880" s="63"/>
      <c r="K880" s="11"/>
    </row>
    <row r="881" spans="1:11" ht="18.75" x14ac:dyDescent="0.25">
      <c r="A881" s="29" t="s">
        <v>1453</v>
      </c>
      <c r="B881" s="29"/>
      <c r="C881" s="93" t="s">
        <v>1473</v>
      </c>
      <c r="D881" s="91"/>
      <c r="E881" s="91"/>
      <c r="F881" s="91"/>
      <c r="G881" s="93"/>
      <c r="H881" s="91"/>
      <c r="I881" s="92"/>
      <c r="J881" s="63"/>
      <c r="K881" s="11"/>
    </row>
    <row r="882" spans="1:11" ht="18.75" x14ac:dyDescent="0.25">
      <c r="A882" s="11"/>
      <c r="B882" s="11"/>
      <c r="C882" s="93" t="s">
        <v>1474</v>
      </c>
      <c r="D882" s="90"/>
      <c r="E882" s="90"/>
      <c r="F882" s="90"/>
      <c r="G882" s="93"/>
      <c r="H882" s="91"/>
      <c r="I882" s="94"/>
      <c r="J882" s="63"/>
      <c r="K882" s="11"/>
    </row>
    <row r="883" spans="1:11" ht="18.75" x14ac:dyDescent="0.25">
      <c r="A883" s="11"/>
      <c r="B883" s="11"/>
      <c r="C883" s="93"/>
      <c r="D883" s="91"/>
      <c r="E883" s="91"/>
      <c r="F883" s="91"/>
      <c r="G883" s="93"/>
      <c r="H883" s="91"/>
      <c r="I883" s="94"/>
      <c r="J883" s="11"/>
      <c r="K883" s="11"/>
    </row>
    <row r="884" spans="1:11" ht="18.75" x14ac:dyDescent="0.25">
      <c r="A884" s="11"/>
      <c r="B884" s="11"/>
      <c r="C884" s="93" t="s">
        <v>1475</v>
      </c>
      <c r="D884" s="94"/>
      <c r="E884" s="94"/>
      <c r="F884" s="94"/>
      <c r="G884" s="93" t="s">
        <v>1476</v>
      </c>
      <c r="H884" s="94"/>
      <c r="I884" s="94"/>
      <c r="J884" s="11"/>
      <c r="K884" s="11"/>
    </row>
    <row r="885" spans="1:11" ht="18.75" x14ac:dyDescent="0.25">
      <c r="A885" s="11"/>
      <c r="B885" s="11"/>
      <c r="C885" s="93" t="s">
        <v>1477</v>
      </c>
      <c r="D885" s="94"/>
      <c r="E885" s="94"/>
      <c r="F885" s="94"/>
      <c r="G885" s="93" t="s">
        <v>1477</v>
      </c>
      <c r="H885" s="94"/>
      <c r="I885" s="94"/>
      <c r="J885" s="63"/>
      <c r="K885" s="11"/>
    </row>
    <row r="886" spans="1:11" ht="12.75" customHeight="1" x14ac:dyDescent="0.3">
      <c r="C886" s="94"/>
      <c r="D886" s="94"/>
      <c r="E886" s="94"/>
      <c r="F886" s="94"/>
      <c r="G886" s="95" t="s">
        <v>1478</v>
      </c>
      <c r="H886" s="94"/>
      <c r="I886" s="94"/>
      <c r="J886" s="11"/>
    </row>
  </sheetData>
  <mergeCells count="314">
    <mergeCell ref="H1:L6"/>
    <mergeCell ref="G869:H869"/>
    <mergeCell ref="J869:K869"/>
    <mergeCell ref="A869:F869"/>
    <mergeCell ref="G867:H867"/>
    <mergeCell ref="J867:K867"/>
    <mergeCell ref="A867:F867"/>
    <mergeCell ref="J836:K836"/>
    <mergeCell ref="G836:H836"/>
    <mergeCell ref="J825:K825"/>
    <mergeCell ref="G825:H825"/>
    <mergeCell ref="J855:K855"/>
    <mergeCell ref="G855:H855"/>
    <mergeCell ref="F853:G853"/>
    <mergeCell ref="F852:G852"/>
    <mergeCell ref="J847:K847"/>
    <mergeCell ref="G847:H847"/>
    <mergeCell ref="G865:H865"/>
    <mergeCell ref="J863:K863"/>
    <mergeCell ref="G863:H863"/>
    <mergeCell ref="A861:K861"/>
    <mergeCell ref="G857:H857"/>
    <mergeCell ref="J865:K865"/>
    <mergeCell ref="J857:K857"/>
    <mergeCell ref="A857:F857"/>
    <mergeCell ref="F759:G759"/>
    <mergeCell ref="J752:K752"/>
    <mergeCell ref="G752:H752"/>
    <mergeCell ref="F750:G750"/>
    <mergeCell ref="F749:G749"/>
    <mergeCell ref="J770:K770"/>
    <mergeCell ref="G770:H770"/>
    <mergeCell ref="F768:G768"/>
    <mergeCell ref="F767:G767"/>
    <mergeCell ref="J764:K764"/>
    <mergeCell ref="G764:H764"/>
    <mergeCell ref="J802:K802"/>
    <mergeCell ref="J813:K813"/>
    <mergeCell ref="G813:H813"/>
    <mergeCell ref="G724:H724"/>
    <mergeCell ref="J712:K712"/>
    <mergeCell ref="G712:H712"/>
    <mergeCell ref="J701:K701"/>
    <mergeCell ref="G701:H701"/>
    <mergeCell ref="J742:K742"/>
    <mergeCell ref="G742:H742"/>
    <mergeCell ref="G802:H802"/>
    <mergeCell ref="J792:K792"/>
    <mergeCell ref="G792:H792"/>
    <mergeCell ref="J784:K784"/>
    <mergeCell ref="G784:H784"/>
    <mergeCell ref="A776:K776"/>
    <mergeCell ref="G772:H772"/>
    <mergeCell ref="J772:K772"/>
    <mergeCell ref="A772:F772"/>
    <mergeCell ref="J732:K732"/>
    <mergeCell ref="G732:H732"/>
    <mergeCell ref="F730:G730"/>
    <mergeCell ref="F729:G729"/>
    <mergeCell ref="F760:G760"/>
    <mergeCell ref="J724:K724"/>
    <mergeCell ref="F533:G533"/>
    <mergeCell ref="G661:H661"/>
    <mergeCell ref="J651:K651"/>
    <mergeCell ref="G651:H651"/>
    <mergeCell ref="J641:K641"/>
    <mergeCell ref="G641:H641"/>
    <mergeCell ref="J630:K630"/>
    <mergeCell ref="G630:H630"/>
    <mergeCell ref="J574:K574"/>
    <mergeCell ref="G574:H574"/>
    <mergeCell ref="J602:K602"/>
    <mergeCell ref="G602:H602"/>
    <mergeCell ref="J595:K595"/>
    <mergeCell ref="G595:H595"/>
    <mergeCell ref="J585:K585"/>
    <mergeCell ref="G585:H585"/>
    <mergeCell ref="J622:K622"/>
    <mergeCell ref="G622:H622"/>
    <mergeCell ref="J611:K611"/>
    <mergeCell ref="G611:H611"/>
    <mergeCell ref="F609:G609"/>
    <mergeCell ref="F608:G608"/>
    <mergeCell ref="J550:K550"/>
    <mergeCell ref="G550:H550"/>
    <mergeCell ref="F544:G544"/>
    <mergeCell ref="F543:G543"/>
    <mergeCell ref="J536:K536"/>
    <mergeCell ref="G536:H536"/>
    <mergeCell ref="J661:K661"/>
    <mergeCell ref="J690:K690"/>
    <mergeCell ref="G690:H690"/>
    <mergeCell ref="J680:K680"/>
    <mergeCell ref="G680:H680"/>
    <mergeCell ref="J672:K672"/>
    <mergeCell ref="G672:H672"/>
    <mergeCell ref="F571:G571"/>
    <mergeCell ref="F570:G570"/>
    <mergeCell ref="J564:K564"/>
    <mergeCell ref="G564:H564"/>
    <mergeCell ref="J448:K448"/>
    <mergeCell ref="G448:H448"/>
    <mergeCell ref="F446:G446"/>
    <mergeCell ref="F445:G445"/>
    <mergeCell ref="J441:K441"/>
    <mergeCell ref="G441:H441"/>
    <mergeCell ref="J472:K472"/>
    <mergeCell ref="G472:H472"/>
    <mergeCell ref="J458:K458"/>
    <mergeCell ref="G458:H458"/>
    <mergeCell ref="F455:G455"/>
    <mergeCell ref="F454:G454"/>
    <mergeCell ref="F521:G521"/>
    <mergeCell ref="F520:G520"/>
    <mergeCell ref="J513:K513"/>
    <mergeCell ref="F532:G532"/>
    <mergeCell ref="J525:K525"/>
    <mergeCell ref="G525:H525"/>
    <mergeCell ref="F558:G558"/>
    <mergeCell ref="F557:G557"/>
    <mergeCell ref="F398:G398"/>
    <mergeCell ref="F397:G397"/>
    <mergeCell ref="J391:K391"/>
    <mergeCell ref="G391:H391"/>
    <mergeCell ref="F419:G419"/>
    <mergeCell ref="G513:H513"/>
    <mergeCell ref="F510:G510"/>
    <mergeCell ref="F509:G509"/>
    <mergeCell ref="J502:K502"/>
    <mergeCell ref="G502:H502"/>
    <mergeCell ref="F500:G500"/>
    <mergeCell ref="F499:G499"/>
    <mergeCell ref="J492:K492"/>
    <mergeCell ref="G492:H492"/>
    <mergeCell ref="F418:G418"/>
    <mergeCell ref="J411:K411"/>
    <mergeCell ref="G411:H411"/>
    <mergeCell ref="F408:G408"/>
    <mergeCell ref="F407:G407"/>
    <mergeCell ref="F345:G345"/>
    <mergeCell ref="F344:G344"/>
    <mergeCell ref="J337:K337"/>
    <mergeCell ref="G337:H337"/>
    <mergeCell ref="F325:G325"/>
    <mergeCell ref="F438:G438"/>
    <mergeCell ref="F437:G437"/>
    <mergeCell ref="J432:K432"/>
    <mergeCell ref="G432:H432"/>
    <mergeCell ref="F429:G429"/>
    <mergeCell ref="F428:G428"/>
    <mergeCell ref="J421:K421"/>
    <mergeCell ref="G421:H421"/>
    <mergeCell ref="J348:K348"/>
    <mergeCell ref="G348:H348"/>
    <mergeCell ref="F366:G366"/>
    <mergeCell ref="F365:G365"/>
    <mergeCell ref="J359:K359"/>
    <mergeCell ref="G359:H359"/>
    <mergeCell ref="F356:G356"/>
    <mergeCell ref="F355:G355"/>
    <mergeCell ref="F388:G388"/>
    <mergeCell ref="J401:K401"/>
    <mergeCell ref="G401:H401"/>
    <mergeCell ref="J248:K248"/>
    <mergeCell ref="G248:H248"/>
    <mergeCell ref="F244:G244"/>
    <mergeCell ref="F243:G243"/>
    <mergeCell ref="J236:K236"/>
    <mergeCell ref="F387:G387"/>
    <mergeCell ref="J380:K380"/>
    <mergeCell ref="G380:H380"/>
    <mergeCell ref="F377:G377"/>
    <mergeCell ref="F376:G376"/>
    <mergeCell ref="J369:K369"/>
    <mergeCell ref="G369:H369"/>
    <mergeCell ref="J294:K294"/>
    <mergeCell ref="G294:H294"/>
    <mergeCell ref="F314:G314"/>
    <mergeCell ref="F313:G313"/>
    <mergeCell ref="J306:K306"/>
    <mergeCell ref="G306:H306"/>
    <mergeCell ref="F301:G301"/>
    <mergeCell ref="F300:G300"/>
    <mergeCell ref="J328:K328"/>
    <mergeCell ref="G328:H328"/>
    <mergeCell ref="F334:G334"/>
    <mergeCell ref="F333:G333"/>
    <mergeCell ref="F276:G276"/>
    <mergeCell ref="F275:G275"/>
    <mergeCell ref="J269:K269"/>
    <mergeCell ref="F287:G287"/>
    <mergeCell ref="F286:G286"/>
    <mergeCell ref="J279:K279"/>
    <mergeCell ref="G279:H279"/>
    <mergeCell ref="J259:K259"/>
    <mergeCell ref="G259:H259"/>
    <mergeCell ref="F71:G71"/>
    <mergeCell ref="J117:K117"/>
    <mergeCell ref="G117:H117"/>
    <mergeCell ref="J109:K109"/>
    <mergeCell ref="G109:H109"/>
    <mergeCell ref="F199:G199"/>
    <mergeCell ref="F198:G198"/>
    <mergeCell ref="B194:K194"/>
    <mergeCell ref="J192:K192"/>
    <mergeCell ref="G192:H192"/>
    <mergeCell ref="J183:K183"/>
    <mergeCell ref="F139:G139"/>
    <mergeCell ref="F138:G138"/>
    <mergeCell ref="J132:K132"/>
    <mergeCell ref="G132:H132"/>
    <mergeCell ref="J125:K125"/>
    <mergeCell ref="F173:G173"/>
    <mergeCell ref="J168:K168"/>
    <mergeCell ref="G168:H168"/>
    <mergeCell ref="G183:H183"/>
    <mergeCell ref="F181:G181"/>
    <mergeCell ref="F180:G180"/>
    <mergeCell ref="J176:K176"/>
    <mergeCell ref="G176:H176"/>
    <mergeCell ref="J100:K100"/>
    <mergeCell ref="G100:H100"/>
    <mergeCell ref="C875:I875"/>
    <mergeCell ref="J875:K875"/>
    <mergeCell ref="J201:K201"/>
    <mergeCell ref="G201:H201"/>
    <mergeCell ref="G236:H236"/>
    <mergeCell ref="F232:G232"/>
    <mergeCell ref="F231:G231"/>
    <mergeCell ref="J224:K224"/>
    <mergeCell ref="G224:H224"/>
    <mergeCell ref="F220:G220"/>
    <mergeCell ref="F174:G174"/>
    <mergeCell ref="F324:G324"/>
    <mergeCell ref="J317:K317"/>
    <mergeCell ref="G317:H317"/>
    <mergeCell ref="F219:G219"/>
    <mergeCell ref="J212:K212"/>
    <mergeCell ref="G212:H212"/>
    <mergeCell ref="F209:G209"/>
    <mergeCell ref="F208:G208"/>
    <mergeCell ref="F97:G97"/>
    <mergeCell ref="F96:G96"/>
    <mergeCell ref="J91:K91"/>
    <mergeCell ref="G91:H91"/>
    <mergeCell ref="F145:G145"/>
    <mergeCell ref="J141:K141"/>
    <mergeCell ref="G141:H141"/>
    <mergeCell ref="C874:I874"/>
    <mergeCell ref="J874:K874"/>
    <mergeCell ref="J156:K156"/>
    <mergeCell ref="G156:H156"/>
    <mergeCell ref="F154:G154"/>
    <mergeCell ref="F153:G153"/>
    <mergeCell ref="J148:K148"/>
    <mergeCell ref="G148:H148"/>
    <mergeCell ref="F146:G146"/>
    <mergeCell ref="G269:H269"/>
    <mergeCell ref="G125:H125"/>
    <mergeCell ref="F159:G159"/>
    <mergeCell ref="F166:G166"/>
    <mergeCell ref="F165:G165"/>
    <mergeCell ref="J162:K162"/>
    <mergeCell ref="G162:H162"/>
    <mergeCell ref="F160:G160"/>
    <mergeCell ref="A35:K35"/>
    <mergeCell ref="C871:I871"/>
    <mergeCell ref="J871:K871"/>
    <mergeCell ref="C872:I872"/>
    <mergeCell ref="J872:K872"/>
    <mergeCell ref="C873:I873"/>
    <mergeCell ref="J873:K873"/>
    <mergeCell ref="F89:G89"/>
    <mergeCell ref="F88:G88"/>
    <mergeCell ref="J82:K82"/>
    <mergeCell ref="B41:K41"/>
    <mergeCell ref="A39:K39"/>
    <mergeCell ref="F70:G70"/>
    <mergeCell ref="J65:K65"/>
    <mergeCell ref="G65:H65"/>
    <mergeCell ref="J56:K56"/>
    <mergeCell ref="G56:H56"/>
    <mergeCell ref="J50:K50"/>
    <mergeCell ref="G50:H50"/>
    <mergeCell ref="G82:H82"/>
    <mergeCell ref="F80:G80"/>
    <mergeCell ref="F79:G79"/>
    <mergeCell ref="J73:K73"/>
    <mergeCell ref="G73:H73"/>
    <mergeCell ref="C29:F29"/>
    <mergeCell ref="G29:H29"/>
    <mergeCell ref="I29:J29"/>
    <mergeCell ref="C30:F30"/>
    <mergeCell ref="G30:H30"/>
    <mergeCell ref="I30:J30"/>
    <mergeCell ref="C28:F28"/>
    <mergeCell ref="G28:H28"/>
    <mergeCell ref="I28:J28"/>
    <mergeCell ref="B19:K19"/>
    <mergeCell ref="A21:K21"/>
    <mergeCell ref="G24:H24"/>
    <mergeCell ref="I24:J24"/>
    <mergeCell ref="C27:F27"/>
    <mergeCell ref="G27:H27"/>
    <mergeCell ref="I27:J27"/>
    <mergeCell ref="C25:F25"/>
    <mergeCell ref="G25:H25"/>
    <mergeCell ref="I25:J25"/>
    <mergeCell ref="C26:F26"/>
    <mergeCell ref="G26:H26"/>
    <mergeCell ref="I26:J26"/>
    <mergeCell ref="B14:K14"/>
    <mergeCell ref="B16:K16"/>
    <mergeCell ref="B18:K18"/>
  </mergeCells>
  <pageMargins left="0.4" right="0.2" top="0.2" bottom="0.4" header="0.2" footer="0.2"/>
  <pageSetup paperSize="9" scale="59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8"/>
  <sheetViews>
    <sheetView topLeftCell="A86" zoomScaleNormal="100" workbookViewId="0"/>
  </sheetViews>
  <sheetFormatPr defaultRowHeight="12.75" x14ac:dyDescent="0.2"/>
  <cols>
    <col min="1" max="1" width="6.7109375" customWidth="1"/>
    <col min="2" max="2" width="75.7109375" customWidth="1"/>
    <col min="3" max="5" width="15.7109375" customWidth="1"/>
    <col min="30" max="30" width="114.7109375" hidden="1" customWidth="1"/>
    <col min="31" max="31" width="0" hidden="1" customWidth="1"/>
  </cols>
  <sheetData>
    <row r="1" spans="1:30" x14ac:dyDescent="0.2">
      <c r="A1" s="9" t="str">
        <f>Source!B1</f>
        <v>Smeta.RU  (495) 974-1589</v>
      </c>
    </row>
    <row r="2" spans="1:30" ht="14.25" x14ac:dyDescent="0.2">
      <c r="B2" s="11"/>
      <c r="C2" s="11"/>
      <c r="D2" s="11"/>
    </row>
    <row r="3" spans="1:30" ht="15" x14ac:dyDescent="0.25">
      <c r="B3" s="47" t="s">
        <v>1345</v>
      </c>
      <c r="C3" s="11"/>
      <c r="D3" s="21" t="s">
        <v>1346</v>
      </c>
    </row>
    <row r="4" spans="1:30" ht="15" x14ac:dyDescent="0.25">
      <c r="B4" s="11"/>
      <c r="C4" s="21"/>
      <c r="D4" s="21"/>
    </row>
    <row r="5" spans="1:30" ht="15" x14ac:dyDescent="0.25">
      <c r="B5" s="47" t="s">
        <v>1454</v>
      </c>
      <c r="C5" s="82" t="s">
        <v>1454</v>
      </c>
      <c r="D5" s="82"/>
    </row>
    <row r="6" spans="1:30" ht="15" x14ac:dyDescent="0.25">
      <c r="B6" s="11"/>
      <c r="C6" s="48"/>
      <c r="D6" s="48"/>
    </row>
    <row r="7" spans="1:30" ht="15" x14ac:dyDescent="0.25">
      <c r="B7" s="47" t="s">
        <v>1454</v>
      </c>
      <c r="C7" s="82" t="s">
        <v>1454</v>
      </c>
      <c r="D7" s="82"/>
    </row>
    <row r="8" spans="1:30" ht="15" x14ac:dyDescent="0.25">
      <c r="B8" s="11"/>
      <c r="C8" s="48"/>
      <c r="D8" s="48"/>
    </row>
    <row r="9" spans="1:30" ht="15" x14ac:dyDescent="0.25">
      <c r="C9" s="21" t="s">
        <v>1455</v>
      </c>
      <c r="D9" s="11"/>
    </row>
    <row r="10" spans="1:30" ht="14.25" x14ac:dyDescent="0.2">
      <c r="A10" s="11"/>
      <c r="B10" s="11"/>
      <c r="C10" s="11"/>
      <c r="D10" s="11"/>
      <c r="E10" s="11"/>
    </row>
    <row r="11" spans="1:30" ht="15.75" x14ac:dyDescent="0.25">
      <c r="A11" s="83" t="str">
        <f>CONCATENATE("Дефектный акт ", IF(Source!AN15&lt;&gt;"", Source!AN15," "))</f>
        <v xml:space="preserve">Дефектный акт  </v>
      </c>
      <c r="B11" s="83"/>
      <c r="C11" s="83"/>
      <c r="D11" s="83"/>
      <c r="E11" s="11"/>
    </row>
    <row r="12" spans="1:30" ht="15" x14ac:dyDescent="0.25">
      <c r="A12" s="84" t="str">
        <f>CONCATENATE("На капитальный ремонт ", Source!F12, " ", Source!G12)</f>
        <v>На капитальный ремонт  ДС, 115582, г. Москва, Шипиловский проезд, дом 59, к.2, стр.2</v>
      </c>
      <c r="B12" s="84"/>
      <c r="C12" s="84"/>
      <c r="D12" s="84"/>
      <c r="E12" s="11"/>
      <c r="AD12" s="51" t="str">
        <f>CONCATENATE("На капитальный ремонт ", Source!F12, " ", Source!G12)</f>
        <v>На капитальный ремонт  ДС, 115582, г. Москва, Шипиловский проезд, дом 59, к.2, стр.2</v>
      </c>
    </row>
    <row r="13" spans="1:30" ht="14.25" x14ac:dyDescent="0.2">
      <c r="A13" s="11"/>
      <c r="B13" s="11"/>
      <c r="C13" s="11"/>
      <c r="D13" s="11"/>
      <c r="E13" s="11"/>
    </row>
    <row r="14" spans="1:30" ht="15" x14ac:dyDescent="0.2">
      <c r="A14" s="11"/>
      <c r="B14" s="49" t="s">
        <v>1456</v>
      </c>
      <c r="C14" s="11"/>
      <c r="D14" s="11"/>
      <c r="E14" s="11"/>
    </row>
    <row r="15" spans="1:30" ht="15" x14ac:dyDescent="0.2">
      <c r="A15" s="11"/>
      <c r="B15" s="49" t="s">
        <v>1457</v>
      </c>
      <c r="C15" s="11"/>
      <c r="D15" s="11"/>
      <c r="E15" s="11"/>
    </row>
    <row r="16" spans="1:30" ht="15" x14ac:dyDescent="0.2">
      <c r="A16" s="11"/>
      <c r="B16" s="49" t="s">
        <v>1458</v>
      </c>
      <c r="C16" s="11"/>
      <c r="D16" s="11"/>
      <c r="E16" s="11"/>
    </row>
    <row r="17" spans="1:5" ht="28.5" x14ac:dyDescent="0.2">
      <c r="A17" s="25" t="s">
        <v>1359</v>
      </c>
      <c r="B17" s="25" t="s">
        <v>1361</v>
      </c>
      <c r="C17" s="25" t="s">
        <v>1459</v>
      </c>
      <c r="D17" s="25" t="s">
        <v>1460</v>
      </c>
      <c r="E17" s="50" t="s">
        <v>1461</v>
      </c>
    </row>
    <row r="18" spans="1:5" ht="14.25" x14ac:dyDescent="0.2">
      <c r="A18" s="52">
        <v>1</v>
      </c>
      <c r="B18" s="52">
        <v>2</v>
      </c>
      <c r="C18" s="52">
        <v>3</v>
      </c>
      <c r="D18" s="52">
        <v>4</v>
      </c>
      <c r="E18" s="53">
        <v>5</v>
      </c>
    </row>
    <row r="19" spans="1:5" ht="16.5" x14ac:dyDescent="0.25">
      <c r="A19" s="81" t="str">
        <f>CONCATENATE("Локальная смета: ", Source!G20)</f>
        <v>Локальная смета: Новая локальная смета</v>
      </c>
      <c r="B19" s="81"/>
      <c r="C19" s="81"/>
      <c r="D19" s="81"/>
      <c r="E19" s="81"/>
    </row>
    <row r="20" spans="1:5" ht="16.5" x14ac:dyDescent="0.25">
      <c r="A20" s="81" t="str">
        <f>CONCATENATE("Раздел: ", Source!G24)</f>
        <v>Раздел: Общестроительные работы</v>
      </c>
      <c r="B20" s="81"/>
      <c r="C20" s="81"/>
      <c r="D20" s="81"/>
      <c r="E20" s="81"/>
    </row>
    <row r="21" spans="1:5" ht="14.25" x14ac:dyDescent="0.2">
      <c r="A21" s="58">
        <v>1</v>
      </c>
      <c r="B21" s="59" t="str">
        <f>Source!G29</f>
        <v>Демонтаж табличек "Выход" с сохранением</v>
      </c>
      <c r="C21" s="60" t="str">
        <f>Source!H29</f>
        <v>100 ШТ</v>
      </c>
      <c r="D21" s="61">
        <f>Source!I29</f>
        <v>0.01</v>
      </c>
      <c r="E21" s="59"/>
    </row>
    <row r="22" spans="1:5" ht="14.25" x14ac:dyDescent="0.2">
      <c r="A22" s="58">
        <v>2</v>
      </c>
      <c r="B22" s="59" t="str">
        <f>Source!G30</f>
        <v>Демонтаж датчиков охранных с сохранением для последующего монтажа</v>
      </c>
      <c r="C22" s="60" t="str">
        <f>Source!H30</f>
        <v>ШТ</v>
      </c>
      <c r="D22" s="61">
        <f>Source!I30</f>
        <v>3</v>
      </c>
      <c r="E22" s="59"/>
    </row>
    <row r="23" spans="1:5" ht="28.5" x14ac:dyDescent="0.2">
      <c r="A23" s="58">
        <v>3</v>
      </c>
      <c r="B23" s="59" t="str">
        <f>Source!G31</f>
        <v>Разборка воздуховодов из листовой стали толщиной: до 0,9 мм диаметром/периметром до 495 мм /1550 мм</v>
      </c>
      <c r="C23" s="60" t="str">
        <f>Source!H31</f>
        <v>100 м2</v>
      </c>
      <c r="D23" s="61">
        <f>Source!I31</f>
        <v>0.02</v>
      </c>
      <c r="E23" s="59"/>
    </row>
    <row r="24" spans="1:5" ht="14.25" x14ac:dyDescent="0.2">
      <c r="A24" s="58">
        <v>4</v>
      </c>
      <c r="B24" s="59" t="str">
        <f>Source!G32</f>
        <v>Демонтаж входной группы металлической</v>
      </c>
      <c r="C24" s="60" t="str">
        <f>Source!H32</f>
        <v>м2</v>
      </c>
      <c r="D24" s="61">
        <f>Source!I32</f>
        <v>4.2</v>
      </c>
      <c r="E24" s="59"/>
    </row>
    <row r="25" spans="1:5" ht="14.25" x14ac:dyDescent="0.2">
      <c r="A25" s="58">
        <v>5</v>
      </c>
      <c r="B25" s="59" t="str">
        <f>Source!G33</f>
        <v>Демонтаж металлического тамбура с остеклением</v>
      </c>
      <c r="C25" s="60" t="str">
        <f>Source!H33</f>
        <v>100 м2</v>
      </c>
      <c r="D25" s="61">
        <f>Source!I33</f>
        <v>8.4400000000000003E-2</v>
      </c>
      <c r="E25" s="59"/>
    </row>
    <row r="26" spans="1:5" ht="14.25" x14ac:dyDescent="0.2">
      <c r="A26" s="58">
        <v>6</v>
      </c>
      <c r="B26" s="59" t="str">
        <f>Source!G34</f>
        <v>Разборка деревянных заполнений проемов: дверных и воротных</v>
      </c>
      <c r="C26" s="60" t="str">
        <f>Source!H34</f>
        <v>100 м2</v>
      </c>
      <c r="D26" s="61">
        <f>Source!I34</f>
        <v>4.3999999999999997E-2</v>
      </c>
      <c r="E26" s="59"/>
    </row>
    <row r="27" spans="1:5" ht="14.25" x14ac:dyDescent="0.2">
      <c r="A27" s="58">
        <v>7</v>
      </c>
      <c r="B27" s="59" t="str">
        <f>Source!G35</f>
        <v>Демонтаж плитки бетонной напольной (в тамбуре)</v>
      </c>
      <c r="C27" s="60" t="str">
        <f>Source!H35</f>
        <v>100 м2</v>
      </c>
      <c r="D27" s="61">
        <f>Source!I35</f>
        <v>3.2000000000000001E-2</v>
      </c>
      <c r="E27" s="59"/>
    </row>
    <row r="28" spans="1:5" ht="14.25" x14ac:dyDescent="0.2">
      <c r="A28" s="58">
        <v>8</v>
      </c>
      <c r="B28" s="59" t="str">
        <f>Source!G37</f>
        <v>Демонтаж потолка из а/ц листов</v>
      </c>
      <c r="C28" s="60" t="str">
        <f>Source!H37</f>
        <v>100 м2</v>
      </c>
      <c r="D28" s="61">
        <f>Source!I37</f>
        <v>3.2000000000000001E-2</v>
      </c>
      <c r="E28" s="59"/>
    </row>
    <row r="29" spans="1:5" ht="28.5" x14ac:dyDescent="0.2">
      <c r="A29" s="58">
        <v>9</v>
      </c>
      <c r="B29" s="59" t="str">
        <f>Source!G38</f>
        <v>Разборка элементов облицовки потолков с разборкой каркаса: Армстронг</v>
      </c>
      <c r="C29" s="60" t="str">
        <f>Source!H38</f>
        <v>100 м2</v>
      </c>
      <c r="D29" s="61">
        <f>Source!I38</f>
        <v>4.2000000000000003E-2</v>
      </c>
      <c r="E29" s="59"/>
    </row>
    <row r="30" spans="1:5" ht="14.25" x14ac:dyDescent="0.2">
      <c r="A30" s="58">
        <v>10</v>
      </c>
      <c r="B30" s="59" t="str">
        <f>Source!G40</f>
        <v>Разборка плинтусов: деревянных и из пластмассовых материалов</v>
      </c>
      <c r="C30" s="60" t="str">
        <f>Source!H40</f>
        <v>100 м</v>
      </c>
      <c r="D30" s="61">
        <f>Source!I40</f>
        <v>1.9E-2</v>
      </c>
      <c r="E30" s="59"/>
    </row>
    <row r="31" spans="1:5" ht="14.25" x14ac:dyDescent="0.2">
      <c r="A31" s="58">
        <v>11</v>
      </c>
      <c r="B31" s="59" t="str">
        <f>Source!G42</f>
        <v>Демонтаж кабельных каналов</v>
      </c>
      <c r="C31" s="60" t="str">
        <f>Source!H42</f>
        <v>100 м труб</v>
      </c>
      <c r="D31" s="61">
        <f>Source!I42</f>
        <v>4.2999999999999997E-2</v>
      </c>
      <c r="E31" s="59"/>
    </row>
    <row r="32" spans="1:5" ht="14.25" x14ac:dyDescent="0.2">
      <c r="A32" s="58">
        <v>12</v>
      </c>
      <c r="B32" s="59" t="str">
        <f>Source!G43</f>
        <v>Демонтаж бетонной плитки (площадка и ступени у входа)</v>
      </c>
      <c r="C32" s="60" t="str">
        <f>Source!H43</f>
        <v>100 м2</v>
      </c>
      <c r="D32" s="61">
        <f>Source!I43</f>
        <v>0.1275</v>
      </c>
      <c r="E32" s="59"/>
    </row>
    <row r="33" spans="1:5" ht="14.25" x14ac:dyDescent="0.2">
      <c r="A33" s="58">
        <v>13</v>
      </c>
      <c r="B33" s="59" t="str">
        <f>Source!G44</f>
        <v>Демонтаж площадки, ступеней и пандуса из асфальтобетона</v>
      </c>
      <c r="C33" s="60" t="str">
        <f>Source!H44</f>
        <v>м3</v>
      </c>
      <c r="D33" s="61">
        <f>Source!I44</f>
        <v>3.23</v>
      </c>
      <c r="E33" s="59"/>
    </row>
    <row r="34" spans="1:5" ht="14.25" x14ac:dyDescent="0.2">
      <c r="A34" s="58">
        <v>14</v>
      </c>
      <c r="B34" s="59" t="str">
        <f>Source!G45</f>
        <v>Демонтаж ограждения площадки из эл. сварн. трубы 20х20 мм</v>
      </c>
      <c r="C34" s="60" t="str">
        <f>Source!H45</f>
        <v>т</v>
      </c>
      <c r="D34" s="61">
        <f>Source!I45</f>
        <v>0.01</v>
      </c>
      <c r="E34" s="59"/>
    </row>
    <row r="35" spans="1:5" ht="14.25" x14ac:dyDescent="0.2">
      <c r="A35" s="58">
        <v>15</v>
      </c>
      <c r="B35" s="59" t="str">
        <f>Source!G46</f>
        <v>Демонтаж почтового ящика с сохранением</v>
      </c>
      <c r="C35" s="60" t="str">
        <f>Source!H46</f>
        <v>ШТ</v>
      </c>
      <c r="D35" s="61">
        <f>Source!I46</f>
        <v>1</v>
      </c>
      <c r="E35" s="59"/>
    </row>
    <row r="36" spans="1:5" ht="14.25" x14ac:dyDescent="0.2">
      <c r="A36" s="58">
        <v>16</v>
      </c>
      <c r="B36" s="59" t="str">
        <f>Source!G47</f>
        <v>Демонтаж вывески ПВХ (информационной) с сохранением</v>
      </c>
      <c r="C36" s="60" t="str">
        <f>Source!H47</f>
        <v>ШТ</v>
      </c>
      <c r="D36" s="61">
        <f>Source!I47</f>
        <v>1</v>
      </c>
      <c r="E36" s="59"/>
    </row>
    <row r="37" spans="1:5" ht="14.25" x14ac:dyDescent="0.2">
      <c r="A37" s="58">
        <v>17</v>
      </c>
      <c r="B37" s="59" t="str">
        <f>Source!G48</f>
        <v>Демонтаж урн с сохранением</v>
      </c>
      <c r="C37" s="60" t="str">
        <f>Source!H48</f>
        <v>т</v>
      </c>
      <c r="D37" s="61">
        <f>Source!I48</f>
        <v>7.0000000000000001E-3</v>
      </c>
      <c r="E37" s="59"/>
    </row>
    <row r="38" spans="1:5" ht="14.25" x14ac:dyDescent="0.2">
      <c r="A38" s="58">
        <v>18</v>
      </c>
      <c r="B38" s="59" t="str">
        <f>Source!G49</f>
        <v>Демонтаж доводчиков дверных</v>
      </c>
      <c r="C38" s="60" t="str">
        <f>Source!H49</f>
        <v>ШТ</v>
      </c>
      <c r="D38" s="61">
        <f>Source!I49</f>
        <v>2</v>
      </c>
      <c r="E38" s="59"/>
    </row>
    <row r="39" spans="1:5" ht="28.5" x14ac:dyDescent="0.2">
      <c r="A39" s="58">
        <v>19</v>
      </c>
      <c r="B39" s="59" t="str">
        <f>Source!G50</f>
        <v>Разборка асфальтового покрытия толщиной 50 мм с резкой - 9  м.п. (под площадку входа и тактильную плитку)</v>
      </c>
      <c r="C39" s="60" t="str">
        <f>Source!H50</f>
        <v>100 м3</v>
      </c>
      <c r="D39" s="61">
        <f>Source!I50</f>
        <v>2.0999999999999999E-3</v>
      </c>
      <c r="E39" s="59"/>
    </row>
    <row r="40" spans="1:5" ht="28.5" x14ac:dyDescent="0.2">
      <c r="A40" s="58">
        <v>20</v>
      </c>
      <c r="B40" s="59" t="str">
        <f>Source!G52</f>
        <v>Разработка грунта вручную в траншеях глубиной до 2 м без креплений с откосами, группа грунтов: 2</v>
      </c>
      <c r="C40" s="60" t="str">
        <f>Source!H52</f>
        <v>100 м3</v>
      </c>
      <c r="D40" s="61">
        <f>Source!I52</f>
        <v>4.1999999999999997E-3</v>
      </c>
      <c r="E40" s="59"/>
    </row>
    <row r="41" spans="1:5" ht="42.75" x14ac:dyDescent="0.2">
      <c r="A41" s="58">
        <v>21</v>
      </c>
      <c r="B41" s="59" t="str">
        <f>Source!G53</f>
        <v>Устройство перегородок из гипсоволокнистых листов (ГВЛв) с одинарным металлическим каркасом и двухслойной обшивкой с обеих сторон</v>
      </c>
      <c r="C41" s="60" t="str">
        <f>Source!H53</f>
        <v>100 м2</v>
      </c>
      <c r="D41" s="61">
        <f>Source!I53</f>
        <v>0.21</v>
      </c>
      <c r="E41" s="59"/>
    </row>
    <row r="42" spans="1:5" ht="42.75" x14ac:dyDescent="0.2">
      <c r="A42" s="58">
        <v>22</v>
      </c>
      <c r="B42" s="59" t="str">
        <f>Source!G55</f>
        <v>Сплошное выравнивание внутренних поверхностей (однослойное оштукатуривание) из сухих растворных смесей толщиной до 10 мм: стен</v>
      </c>
      <c r="C42" s="60" t="str">
        <f>Source!H55</f>
        <v>100 м2</v>
      </c>
      <c r="D42" s="61">
        <f>Source!I55</f>
        <v>0.42</v>
      </c>
      <c r="E42" s="59"/>
    </row>
    <row r="43" spans="1:5" ht="28.5" x14ac:dyDescent="0.2">
      <c r="A43" s="58">
        <v>23</v>
      </c>
      <c r="B43" s="59" t="str">
        <f>Source!G58</f>
        <v>Окраска водно-дисперсионными акриловыми составами улучшенная: по сборным конструкциям стен, подготовленным под окраску</v>
      </c>
      <c r="C43" s="60" t="str">
        <f>Source!H58</f>
        <v>100 м2</v>
      </c>
      <c r="D43" s="61">
        <f>Source!I58</f>
        <v>0.42</v>
      </c>
      <c r="E43" s="59"/>
    </row>
    <row r="44" spans="1:5" ht="28.5" x14ac:dyDescent="0.2">
      <c r="A44" s="58">
        <v>24</v>
      </c>
      <c r="B44" s="59" t="str">
        <f>Source!G61</f>
        <v>Устройство потолка подвесного кассетного Армстронг алюминиевого с перфорацией, 600х600 мм, белый матовый</v>
      </c>
      <c r="C44" s="60" t="str">
        <f>Source!H61</f>
        <v>100 м2</v>
      </c>
      <c r="D44" s="61">
        <f>Source!I61</f>
        <v>4.4999999999999998E-2</v>
      </c>
      <c r="E44" s="59"/>
    </row>
    <row r="45" spans="1:5" ht="14.25" x14ac:dyDescent="0.2">
      <c r="A45" s="58">
        <v>25</v>
      </c>
      <c r="B45" s="59" t="str">
        <f>Source!G64</f>
        <v>Светильник в подвесных потолках/Монтаж</v>
      </c>
      <c r="C45" s="60" t="str">
        <f>Source!H64</f>
        <v>100 ШТ</v>
      </c>
      <c r="D45" s="61">
        <f>Source!I64</f>
        <v>0.02</v>
      </c>
      <c r="E45" s="59"/>
    </row>
    <row r="46" spans="1:5" ht="28.5" x14ac:dyDescent="0.2">
      <c r="A46" s="58">
        <v>26</v>
      </c>
      <c r="B46" s="59" t="str">
        <f>Source!G66</f>
        <v>Устройство приямка в тамбуре  для укладки ячеистого резинового ковра</v>
      </c>
      <c r="C46" s="60" t="str">
        <f>Source!H66</f>
        <v>100 м2</v>
      </c>
      <c r="D46" s="61">
        <f>Source!I66</f>
        <v>1.2500000000000001E-2</v>
      </c>
      <c r="E46" s="59"/>
    </row>
    <row r="47" spans="1:5" ht="14.25" x14ac:dyDescent="0.2">
      <c r="A47" s="58">
        <v>27</v>
      </c>
      <c r="B47" s="59" t="str">
        <f>Source!G68</f>
        <v>Укладка ячеистого резинового ковра (толщина 16 мм) (приямок)</v>
      </c>
      <c r="C47" s="60" t="str">
        <f>Source!H68</f>
        <v>100 м2</v>
      </c>
      <c r="D47" s="61">
        <f>Source!I68</f>
        <v>1.0800000000000001E-2</v>
      </c>
      <c r="E47" s="59"/>
    </row>
    <row r="48" spans="1:5" ht="14.25" x14ac:dyDescent="0.2">
      <c r="A48" s="58">
        <v>28</v>
      </c>
      <c r="B48" s="59" t="str">
        <f>Source!G70</f>
        <v>Устройство покрытий из плит керамогранитных размером 30х30 см</v>
      </c>
      <c r="C48" s="60" t="str">
        <f>Source!H70</f>
        <v>100 м2</v>
      </c>
      <c r="D48" s="61">
        <f>Source!I70</f>
        <v>0.05</v>
      </c>
      <c r="E48" s="59"/>
    </row>
    <row r="49" spans="1:5" ht="14.25" x14ac:dyDescent="0.2">
      <c r="A49" s="58">
        <v>29</v>
      </c>
      <c r="B49" s="59" t="str">
        <f>Source!G76</f>
        <v>Устройство бетонной входной площадки с армированием</v>
      </c>
      <c r="C49" s="60" t="str">
        <f>Source!H76</f>
        <v>м3</v>
      </c>
      <c r="D49" s="61">
        <f>Source!I76</f>
        <v>1.8</v>
      </c>
      <c r="E49" s="59"/>
    </row>
    <row r="50" spans="1:5" ht="14.25" x14ac:dyDescent="0.2">
      <c r="A50" s="58">
        <v>30</v>
      </c>
      <c r="B50" s="59" t="str">
        <f>Source!G80</f>
        <v>Устройство бетонной подготовки 50 мм</v>
      </c>
      <c r="C50" s="60" t="str">
        <f>Source!H80</f>
        <v>100 м3</v>
      </c>
      <c r="D50" s="61">
        <f>Source!I80</f>
        <v>3.3800000000000002E-3</v>
      </c>
      <c r="E50" s="59"/>
    </row>
    <row r="51" spans="1:5" ht="42.75" x14ac:dyDescent="0.2">
      <c r="A51" s="58">
        <v>31</v>
      </c>
      <c r="B51" s="59" t="str">
        <f>Source!G82</f>
        <v>Устройство асфальтобетонных покрытий дорожек и тротуаров однослойных из литой мелкозернистой асфальтобетонной смеси толщиной 3 см</v>
      </c>
      <c r="C51" s="60" t="str">
        <f>Source!H82</f>
        <v>100 м2</v>
      </c>
      <c r="D51" s="61">
        <f>Source!I82</f>
        <v>6.7500000000000004E-2</v>
      </c>
      <c r="E51" s="59"/>
    </row>
    <row r="52" spans="1:5" ht="28.5" x14ac:dyDescent="0.2">
      <c r="A52" s="58">
        <v>32</v>
      </c>
      <c r="B52" s="59" t="str">
        <f>Source!G84</f>
        <v>На каждые 0,5 см изменения толщины покрытия добавлять к расценке 27-07-001-01 (до 5 см)</v>
      </c>
      <c r="C52" s="60" t="str">
        <f>Source!H84</f>
        <v>100 м2</v>
      </c>
      <c r="D52" s="61">
        <f>Source!I84</f>
        <v>6.7500000000000004E-2</v>
      </c>
      <c r="E52" s="59"/>
    </row>
    <row r="53" spans="1:5" ht="28.5" x14ac:dyDescent="0.2">
      <c r="A53" s="58">
        <v>33</v>
      </c>
      <c r="B53" s="59" t="str">
        <f>Source!G86</f>
        <v>Укладка тактильной бетонной плитки 300х300х30 мм (желтая, конусообразный риф)</v>
      </c>
      <c r="C53" s="60" t="str">
        <f>Source!H86</f>
        <v>100 м2</v>
      </c>
      <c r="D53" s="61">
        <f>Source!I86</f>
        <v>2.1000000000000001E-2</v>
      </c>
      <c r="E53" s="59"/>
    </row>
    <row r="54" spans="1:5" ht="14.25" x14ac:dyDescent="0.2">
      <c r="A54" s="58">
        <v>34</v>
      </c>
      <c r="B54" s="59" t="str">
        <f>Source!G88</f>
        <v>Укладка тротуарной плитки 300х300х30мм</v>
      </c>
      <c r="C54" s="60" t="str">
        <f>Source!H88</f>
        <v>100 м2</v>
      </c>
      <c r="D54" s="61">
        <f>Source!I88</f>
        <v>6.8000000000000005E-2</v>
      </c>
      <c r="E54" s="59"/>
    </row>
    <row r="55" spans="1:5" ht="14.25" x14ac:dyDescent="0.2">
      <c r="A55" s="58">
        <v>35</v>
      </c>
      <c r="B55" s="59" t="str">
        <f>Source!G90</f>
        <v>Устройство покрытий из плиток тактильных (ПВХ) 300х300х7 на клее</v>
      </c>
      <c r="C55" s="60" t="str">
        <f>Source!H90</f>
        <v>100 м2</v>
      </c>
      <c r="D55" s="61">
        <f>Source!I90</f>
        <v>3.5999999999999999E-3</v>
      </c>
      <c r="E55" s="59"/>
    </row>
    <row r="56" spans="1:5" ht="28.5" x14ac:dyDescent="0.2">
      <c r="A56" s="58">
        <v>36</v>
      </c>
      <c r="B56" s="59" t="str">
        <f>Source!G92</f>
        <v>Устройство подстилающих и выравнивающих слоев оснований из песка, 50 мм</v>
      </c>
      <c r="C56" s="60" t="str">
        <f>Source!H92</f>
        <v>100 м3</v>
      </c>
      <c r="D56" s="61">
        <f>Source!I92</f>
        <v>1.8500000000000001E-3</v>
      </c>
      <c r="E56" s="59"/>
    </row>
    <row r="57" spans="1:5" ht="14.25" x14ac:dyDescent="0.2">
      <c r="A57" s="58">
        <v>37</v>
      </c>
      <c r="B57" s="59" t="str">
        <f>Source!G94</f>
        <v>Устройство стяжек цементных толщиной 20 мм</v>
      </c>
      <c r="C57" s="60" t="str">
        <f>Source!H94</f>
        <v>100 м2</v>
      </c>
      <c r="D57" s="61">
        <f>Source!I94</f>
        <v>6.8000000000000005E-2</v>
      </c>
      <c r="E57" s="59"/>
    </row>
    <row r="58" spans="1:5" ht="14.25" x14ac:dyDescent="0.2">
      <c r="A58" s="58">
        <v>38</v>
      </c>
      <c r="B58" s="59" t="str">
        <f>Source!G96</f>
        <v>Армирование подстилающих слоев и набетонок</v>
      </c>
      <c r="C58" s="60" t="str">
        <f>Source!H96</f>
        <v>т</v>
      </c>
      <c r="D58" s="61">
        <f>Source!I96</f>
        <v>1.3599999999999999E-2</v>
      </c>
      <c r="E58" s="59"/>
    </row>
    <row r="59" spans="1:5" ht="28.5" x14ac:dyDescent="0.2">
      <c r="A59" s="58">
        <v>39</v>
      </c>
      <c r="B59" s="59" t="str">
        <f>Source!G98</f>
        <v>Устройство стяжек на каждые 5 мм изменения толщины стяжки добавлять или исключать к расценке 11- 01-011-01 (до 30мм)</v>
      </c>
      <c r="C59" s="60" t="str">
        <f>Source!H98</f>
        <v>100 м2</v>
      </c>
      <c r="D59" s="61">
        <f>Source!I98</f>
        <v>6.8000000000000005E-2</v>
      </c>
      <c r="E59" s="59"/>
    </row>
    <row r="60" spans="1:5" ht="28.5" x14ac:dyDescent="0.2">
      <c r="A60" s="58">
        <v>40</v>
      </c>
      <c r="B60" s="59" t="str">
        <f>Source!G100</f>
        <v>Нанесение контрастной полосы на площадку и пандус краской (ширина 50 мм)</v>
      </c>
      <c r="C60" s="60" t="str">
        <f>Source!H100</f>
        <v>100 м2</v>
      </c>
      <c r="D60" s="61">
        <f>Source!I100</f>
        <v>4.3E-3</v>
      </c>
      <c r="E60" s="59"/>
    </row>
    <row r="61" spans="1:5" ht="14.25" x14ac:dyDescent="0.2">
      <c r="A61" s="58">
        <v>41</v>
      </c>
      <c r="B61" s="59" t="str">
        <f>Source!G101</f>
        <v>Обрамление площадки металлическим уголком 50х50х3</v>
      </c>
      <c r="C61" s="60" t="str">
        <f>Source!H101</f>
        <v>100 м</v>
      </c>
      <c r="D61" s="61">
        <f>Source!I101</f>
        <v>0.14799999999999999</v>
      </c>
      <c r="E61" s="59"/>
    </row>
    <row r="62" spans="1:5" ht="14.25" x14ac:dyDescent="0.2">
      <c r="A62" s="58">
        <v>42</v>
      </c>
      <c r="B62" s="59" t="str">
        <f>Source!G103</f>
        <v>Установка дверного доводчика к металлическим дверям</v>
      </c>
      <c r="C62" s="60" t="str">
        <f>Source!H103</f>
        <v>ШТ</v>
      </c>
      <c r="D62" s="61">
        <f>Source!I103</f>
        <v>2</v>
      </c>
      <c r="E62" s="59"/>
    </row>
    <row r="63" spans="1:5" ht="28.5" x14ac:dyDescent="0.2">
      <c r="A63" s="58">
        <v>43</v>
      </c>
      <c r="B63" s="59" t="str">
        <f>Source!G105</f>
        <v>Сверление вертикальных отверстий в бетонных конструкциях полов перфоратором глубиной 200 мм диаметром: до 20 мм</v>
      </c>
      <c r="C63" s="60" t="str">
        <f>Source!H105</f>
        <v>100 отверстий</v>
      </c>
      <c r="D63" s="61">
        <f>Source!I105</f>
        <v>0.02</v>
      </c>
      <c r="E63" s="59"/>
    </row>
    <row r="64" spans="1:5" ht="14.25" x14ac:dyDescent="0.2">
      <c r="A64" s="58">
        <v>44</v>
      </c>
      <c r="B64" s="59" t="str">
        <f>Source!G106</f>
        <v>Установка ограничителя открывания двери</v>
      </c>
      <c r="C64" s="60" t="str">
        <f>Source!H106</f>
        <v>100 ШТ</v>
      </c>
      <c r="D64" s="61">
        <f>Source!I106</f>
        <v>0.02</v>
      </c>
      <c r="E64" s="59"/>
    </row>
    <row r="65" spans="1:5" ht="71.25" x14ac:dyDescent="0.2">
      <c r="A65" s="58">
        <v>45</v>
      </c>
      <c r="B65" s="59" t="str">
        <f>Source!G108</f>
        <v>Изготовление и установка металлического пандуса: Трубы ст. прямоуг (ГОСТ 8645-86) 80х40х3 мм -  23 м.п.; Трубы ст. прямоуг (ГОСТ 8645-86) 40х20х3 мм -16 м.п..; настил прессованный решетчатый оцинкованный, ячейка 33х11 мм, толщина 30х2 мм -7,2 м2; стальная полоса 3х150мм - 3,5 м.п.</v>
      </c>
      <c r="C65" s="60" t="str">
        <f>Source!H108</f>
        <v>т</v>
      </c>
      <c r="D65" s="61">
        <f>Source!I108</f>
        <v>0.38819999999999999</v>
      </c>
      <c r="E65" s="59"/>
    </row>
    <row r="66" spans="1:5" ht="71.25" x14ac:dyDescent="0.2">
      <c r="A66" s="58">
        <v>46</v>
      </c>
      <c r="B66" s="59" t="str">
        <f>Source!G113</f>
        <v>Изготовление и монтаж поручней пандуса и площадки из нержавеющей стали: Трубы из коррозионностойкой стали электросварные, марки 08Х18Н10:  1) Труба наружным диаметром 50,8 мм, толщиной ст. 2 мм - 22,5 м.п.  2) Труба наружным диаметром 38 мм, толщиной ст. 2 мм - 25 м.п.  3) Труба наружным диаметром 16 мм, толщиной ст. 2 мм - 41,6 м.п.</v>
      </c>
      <c r="C66" s="60" t="str">
        <f>Source!H113</f>
        <v>т</v>
      </c>
      <c r="D66" s="61">
        <f>Source!I113</f>
        <v>0.11</v>
      </c>
      <c r="E66" s="59"/>
    </row>
    <row r="67" spans="1:5" ht="28.5" x14ac:dyDescent="0.2">
      <c r="A67" s="58">
        <v>47</v>
      </c>
      <c r="B67" s="59" t="str">
        <f>Source!G124</f>
        <v>Огрунтовка металлических поверхностей за один раз: грунтовкой ГФ-021</v>
      </c>
      <c r="C67" s="60" t="str">
        <f>Source!H124</f>
        <v>100 м2</v>
      </c>
      <c r="D67" s="61">
        <f>Source!I124</f>
        <v>6.5000000000000002E-2</v>
      </c>
      <c r="E67" s="59"/>
    </row>
    <row r="68" spans="1:5" ht="28.5" x14ac:dyDescent="0.2">
      <c r="A68" s="58">
        <v>48</v>
      </c>
      <c r="B68" s="59" t="str">
        <f>Source!G125</f>
        <v>Масляная окраска металлических поверхностей: стальных балок, труб диаметром более 50 мм и т.п., количество окрасок 2</v>
      </c>
      <c r="C68" s="60" t="str">
        <f>Source!H125</f>
        <v>100 м2</v>
      </c>
      <c r="D68" s="61">
        <f>Source!I125</f>
        <v>6.5000000000000002E-2</v>
      </c>
      <c r="E68" s="59"/>
    </row>
    <row r="69" spans="1:5" ht="42.75" x14ac:dyDescent="0.2">
      <c r="A69" s="58">
        <v>49</v>
      </c>
      <c r="B69" s="59" t="str">
        <f>Source!G127</f>
        <v>Наружная облицовка поверхности стен в горизонтальном исполнении по металлическому каркасу (с его устройством): металлосайдингом без пароизоляционного слоя</v>
      </c>
      <c r="C69" s="60" t="str">
        <f>Source!H127</f>
        <v>100 м2</v>
      </c>
      <c r="D69" s="61">
        <f>Source!I127</f>
        <v>0.34899999999999998</v>
      </c>
      <c r="E69" s="59"/>
    </row>
    <row r="70" spans="1:5" ht="28.5" x14ac:dyDescent="0.2">
      <c r="A70" s="58">
        <v>50</v>
      </c>
      <c r="B70" s="59" t="str">
        <f>Source!G130</f>
        <v>Устройство плинтусов поливинилхлоридных: на винтах самонарезающих</v>
      </c>
      <c r="C70" s="60" t="str">
        <f>Source!H130</f>
        <v>100 м</v>
      </c>
      <c r="D70" s="61">
        <f>Source!I130</f>
        <v>0.13600000000000001</v>
      </c>
      <c r="E70" s="59"/>
    </row>
    <row r="71" spans="1:5" ht="99.75" x14ac:dyDescent="0.2">
      <c r="A71" s="58">
        <v>51</v>
      </c>
      <c r="B71" s="59" t="str">
        <f>Source!G132</f>
        <v>Установка входной группы алюминиевой остекленной в пол, двухстворчатой, утепленный профиль глубиной не менее 50мм (2 замка на двери главного входа, ручка-скоба, усиленная петля (3 шт.) с заполнением однокамерным стеклопакетом, RAL 9006) на 90° дверном полотне должна быть больше, либо фактическая ширина дверного проема при открытом равна 900мм (внутренняя) Стеклопакет класс защиты А2.</v>
      </c>
      <c r="C71" s="60" t="str">
        <f>Source!H132</f>
        <v>100 м2</v>
      </c>
      <c r="D71" s="61">
        <f>Source!I132</f>
        <v>4.3999999999999997E-2</v>
      </c>
      <c r="E71" s="59"/>
    </row>
    <row r="72" spans="1:5" ht="71.25" x14ac:dyDescent="0.2">
      <c r="A72" s="58">
        <v>52</v>
      </c>
      <c r="B72" s="59" t="str">
        <f>Source!G137</f>
        <v>Установка двери алюминиевой двухстворчатой остекленной в пол, холодный профиль (1 замок, ручка-скоба, усиленная петля (3 шт.) с заполнением однокамерным стеклопакетом, белый) фактическая ширина дверного проема при открытом на 90° дверном полотне должна быть больше, либо равна 900мм Стеклопакет класс защиты А2.</v>
      </c>
      <c r="C72" s="60" t="str">
        <f>Source!H137</f>
        <v>100 м2</v>
      </c>
      <c r="D72" s="61">
        <f>Source!I137</f>
        <v>4.3999999999999997E-2</v>
      </c>
      <c r="E72" s="59"/>
    </row>
    <row r="73" spans="1:5" ht="14.25" x14ac:dyDescent="0.2">
      <c r="A73" s="58">
        <v>53</v>
      </c>
      <c r="B73" s="59" t="str">
        <f>Source!G142</f>
        <v>Оклейка остекления дверей защитной пленкой класса защиты А2</v>
      </c>
      <c r="C73" s="60" t="str">
        <f>Source!H142</f>
        <v>100 м2</v>
      </c>
      <c r="D73" s="61">
        <f>Source!I142</f>
        <v>6.6000000000000003E-2</v>
      </c>
      <c r="E73" s="59"/>
    </row>
    <row r="74" spans="1:5" ht="14.25" x14ac:dyDescent="0.2">
      <c r="A74" s="58">
        <v>54</v>
      </c>
      <c r="B74" s="59" t="str">
        <f>Source!G144</f>
        <v>Светильник: местного освещения/Монтаж</v>
      </c>
      <c r="C74" s="60" t="str">
        <f>Source!H144</f>
        <v>100 ШТ</v>
      </c>
      <c r="D74" s="61">
        <f>Source!I144</f>
        <v>0.02</v>
      </c>
      <c r="E74" s="59"/>
    </row>
    <row r="75" spans="1:5" ht="14.25" x14ac:dyDescent="0.2">
      <c r="A75" s="58">
        <v>55</v>
      </c>
      <c r="B75" s="59" t="str">
        <f>Source!G146</f>
        <v>Монтаж табличек "Выход" ранее сохранённых</v>
      </c>
      <c r="C75" s="60" t="str">
        <f>Source!H146</f>
        <v>100 ШТ</v>
      </c>
      <c r="D75" s="61">
        <f>Source!I146</f>
        <v>0.01</v>
      </c>
      <c r="E75" s="59"/>
    </row>
    <row r="76" spans="1:5" ht="14.25" x14ac:dyDescent="0.2">
      <c r="A76" s="58">
        <v>56</v>
      </c>
      <c r="B76" s="59" t="str">
        <f>Source!G147</f>
        <v>Монтаж датчиков охранных ранее сохранённых</v>
      </c>
      <c r="C76" s="60" t="str">
        <f>Source!H147</f>
        <v>ШТ</v>
      </c>
      <c r="D76" s="61">
        <f>Source!I147</f>
        <v>3</v>
      </c>
      <c r="E76" s="59"/>
    </row>
    <row r="77" spans="1:5" ht="14.25" x14ac:dyDescent="0.2">
      <c r="A77" s="58">
        <v>57</v>
      </c>
      <c r="B77" s="59" t="str">
        <f>Source!G148</f>
        <v>Монтаж урн ранее сохранённых</v>
      </c>
      <c r="C77" s="60" t="str">
        <f>Source!H148</f>
        <v>т</v>
      </c>
      <c r="D77" s="61">
        <f>Source!I148</f>
        <v>7.0000000000000001E-3</v>
      </c>
      <c r="E77" s="59"/>
    </row>
    <row r="78" spans="1:5" ht="28.5" x14ac:dyDescent="0.2">
      <c r="A78" s="58">
        <v>58</v>
      </c>
      <c r="B78" s="59" t="str">
        <f>Source!G149</f>
        <v>Светильник отдельно устанавливаемый: на подвесах (штангах) с количеством ламп в светильнике 2/Монтаж</v>
      </c>
      <c r="C78" s="60" t="str">
        <f>Source!H149</f>
        <v>100 ШТ</v>
      </c>
      <c r="D78" s="61">
        <f>Source!I149</f>
        <v>0.01</v>
      </c>
      <c r="E78" s="59"/>
    </row>
    <row r="79" spans="1:5" ht="14.25" x14ac:dyDescent="0.2">
      <c r="A79" s="58">
        <v>59</v>
      </c>
      <c r="B79" s="59" t="str">
        <f>Source!G151</f>
        <v>Коробка ответвительная на стене/Монтаж</v>
      </c>
      <c r="C79" s="60" t="str">
        <f>Source!H151</f>
        <v>ШТ</v>
      </c>
      <c r="D79" s="61">
        <f>Source!I151</f>
        <v>3</v>
      </c>
      <c r="E79" s="59"/>
    </row>
    <row r="80" spans="1:5" ht="28.5" x14ac:dyDescent="0.2">
      <c r="A80" s="58">
        <v>60</v>
      </c>
      <c r="B80" s="59" t="str">
        <f>Source!G153</f>
        <v>Выключатель: одноклавишный неутопленного типа при открытой проводке/Монтаж</v>
      </c>
      <c r="C80" s="60" t="str">
        <f>Source!H153</f>
        <v>100 ШТ</v>
      </c>
      <c r="D80" s="61">
        <f>Source!I153</f>
        <v>0.03</v>
      </c>
      <c r="E80" s="59"/>
    </row>
    <row r="81" spans="1:5" ht="28.5" x14ac:dyDescent="0.2">
      <c r="A81" s="58">
        <v>61</v>
      </c>
      <c r="B81" s="59" t="str">
        <f>Source!G155</f>
        <v>Монтаж тепловой завесы 3-х фазной 6 кВт с настенным пультом (в тамбуре)</v>
      </c>
      <c r="C81" s="60" t="str">
        <f>Source!H155</f>
        <v>ШТ</v>
      </c>
      <c r="D81" s="61">
        <f>Source!I155</f>
        <v>1</v>
      </c>
      <c r="E81" s="59"/>
    </row>
    <row r="82" spans="1:5" ht="42.75" x14ac:dyDescent="0.2">
      <c r="A82" s="58">
        <v>62</v>
      </c>
      <c r="B82" s="59" t="str">
        <f>Source!G157</f>
        <v>Труба гофрированная ПВХ для защиты проводов и кабелей по установленным конструкциям, по стенам, колоннам, потолкам, основанию пола/Монтаж</v>
      </c>
      <c r="C82" s="60" t="str">
        <f>Source!H157</f>
        <v>100 м</v>
      </c>
      <c r="D82" s="61">
        <f>Source!I157</f>
        <v>1.22</v>
      </c>
      <c r="E82" s="59"/>
    </row>
    <row r="83" spans="1:5" ht="42.75" x14ac:dyDescent="0.2">
      <c r="A83" s="58">
        <v>63</v>
      </c>
      <c r="B83" s="59" t="str">
        <f>Source!G160</f>
        <v>Затягивание провода в проложенные трубы и металлические рукава первого одножильного или многожильного в общей оплетке, суммарное сечение: до 16 мм2</v>
      </c>
      <c r="C83" s="60" t="str">
        <f>Source!H160</f>
        <v>100 м</v>
      </c>
      <c r="D83" s="61">
        <f>Source!I160</f>
        <v>1.22</v>
      </c>
      <c r="E83" s="59"/>
    </row>
    <row r="84" spans="1:5" ht="14.25" x14ac:dyDescent="0.2">
      <c r="A84" s="58">
        <v>64</v>
      </c>
      <c r="B84" s="59" t="str">
        <f>Source!G162</f>
        <v>Установка АВДТ в щитовой на din-рейку</v>
      </c>
      <c r="C84" s="60" t="str">
        <f>Source!H162</f>
        <v>ШТ</v>
      </c>
      <c r="D84" s="61">
        <f>Source!I162</f>
        <v>1</v>
      </c>
      <c r="E84" s="59"/>
    </row>
    <row r="85" spans="1:5" ht="42.75" x14ac:dyDescent="0.2">
      <c r="A85" s="58">
        <v>65</v>
      </c>
      <c r="B85" s="59" t="str">
        <f>Source!G164</f>
        <v>Труба гофрированная ПВХ для защиты проводов и кабелей по установленным конструкциям, по стенам, колоннам, потолкам, основанию пола/Монтаж</v>
      </c>
      <c r="C85" s="60" t="str">
        <f>Source!H164</f>
        <v>100 м</v>
      </c>
      <c r="D85" s="61">
        <f>Source!I164</f>
        <v>0.1</v>
      </c>
      <c r="E85" s="59"/>
    </row>
    <row r="86" spans="1:5" ht="42.75" x14ac:dyDescent="0.2">
      <c r="A86" s="58">
        <v>66</v>
      </c>
      <c r="B86" s="59" t="str">
        <f>Source!G167</f>
        <v>Затягивание провода в проложенные трубы и металлические рукава первого одножильного или многожильного в общей оплетке, суммарное сечение: до 6 мм2</v>
      </c>
      <c r="C86" s="60" t="str">
        <f>Source!H167</f>
        <v>100 м</v>
      </c>
      <c r="D86" s="61">
        <f>Source!I167</f>
        <v>0.1</v>
      </c>
      <c r="E86" s="59"/>
    </row>
    <row r="87" spans="1:5" ht="14.25" x14ac:dyDescent="0.2">
      <c r="A87" s="58">
        <v>67</v>
      </c>
      <c r="B87" s="59" t="str">
        <f>Source!G169</f>
        <v>Короба пластмассовые: шириной до 40 мм/Монтаж</v>
      </c>
      <c r="C87" s="60" t="str">
        <f>Source!H169</f>
        <v>100 м</v>
      </c>
      <c r="D87" s="61">
        <f>Source!I169</f>
        <v>0.72</v>
      </c>
      <c r="E87" s="59"/>
    </row>
    <row r="88" spans="1:5" ht="14.25" x14ac:dyDescent="0.2">
      <c r="A88" s="58">
        <v>68</v>
      </c>
      <c r="B88" s="59" t="str">
        <f>Source!G171</f>
        <v>Провод в коробах, сечением: до 6 мм2/Монтаж</v>
      </c>
      <c r="C88" s="60" t="str">
        <f>Source!H171</f>
        <v>100 м</v>
      </c>
      <c r="D88" s="61">
        <f>Source!I171</f>
        <v>0.72</v>
      </c>
      <c r="E88" s="59"/>
    </row>
    <row r="89" spans="1:5" ht="28.5" x14ac:dyDescent="0.2">
      <c r="A89" s="58">
        <v>69</v>
      </c>
      <c r="B89" s="59" t="str">
        <f>Source!G174</f>
        <v>Пробивка в кирпичных стенах отверстий круглых диаметром: до 25 мм при толщине стен до 51 см</v>
      </c>
      <c r="C89" s="60" t="str">
        <f>Source!H174</f>
        <v>100 ШТ</v>
      </c>
      <c r="D89" s="61">
        <f>Source!I174</f>
        <v>0.04</v>
      </c>
      <c r="E89" s="59"/>
    </row>
    <row r="90" spans="1:5" ht="14.25" x14ac:dyDescent="0.2">
      <c r="A90" s="58">
        <v>70</v>
      </c>
      <c r="B90" s="59" t="str">
        <f>Source!G175</f>
        <v>Ремонт цоколя (ц/п смесь М300)</v>
      </c>
      <c r="C90" s="60" t="str">
        <f>Source!H175</f>
        <v>100 м2</v>
      </c>
      <c r="D90" s="61">
        <f>Source!I175</f>
        <v>0.24099999999999999</v>
      </c>
      <c r="E90" s="59"/>
    </row>
    <row r="91" spans="1:5" ht="28.5" x14ac:dyDescent="0.2">
      <c r="A91" s="58">
        <v>71</v>
      </c>
      <c r="B91" s="59" t="str">
        <f>Source!G177</f>
        <v>Улучшенная штукатурка фасадов цементно-известковым раствором по камню: стен (цоколя)</v>
      </c>
      <c r="C91" s="60" t="str">
        <f>Source!H177</f>
        <v>100 м2</v>
      </c>
      <c r="D91" s="61">
        <f>Source!I177</f>
        <v>0.24099999999999999</v>
      </c>
      <c r="E91" s="59"/>
    </row>
    <row r="92" spans="1:5" ht="28.5" x14ac:dyDescent="0.2">
      <c r="A92" s="58">
        <v>72</v>
      </c>
      <c r="B92" s="59" t="str">
        <f>Source!G178</f>
        <v>Окраска фасадов акриловыми составами: вручную с подготовкой поверхности (цоколя)</v>
      </c>
      <c r="C92" s="60" t="str">
        <f>Source!H178</f>
        <v>100 м2</v>
      </c>
      <c r="D92" s="61">
        <f>Source!I178</f>
        <v>0.24099999999999999</v>
      </c>
      <c r="E92" s="59"/>
    </row>
    <row r="93" spans="1:5" ht="14.25" x14ac:dyDescent="0.2">
      <c r="A93" s="58">
        <v>73</v>
      </c>
      <c r="B93" s="59" t="str">
        <f>Source!G181</f>
        <v>Монтаж почтового ящика ранее демонтированного</v>
      </c>
      <c r="C93" s="60" t="str">
        <f>Source!H181</f>
        <v>ШТ</v>
      </c>
      <c r="D93" s="61">
        <f>Source!I181</f>
        <v>1</v>
      </c>
      <c r="E93" s="59"/>
    </row>
    <row r="94" spans="1:5" ht="16.5" x14ac:dyDescent="0.25">
      <c r="A94" s="81" t="str">
        <f>CONCATENATE("Раздел: ", Source!G213)</f>
        <v>Раздел: Видеодомофон</v>
      </c>
      <c r="B94" s="81"/>
      <c r="C94" s="81"/>
      <c r="D94" s="81"/>
      <c r="E94" s="81"/>
    </row>
    <row r="95" spans="1:5" ht="14.25" x14ac:dyDescent="0.2">
      <c r="A95" s="58">
        <v>74</v>
      </c>
      <c r="B95" s="59" t="str">
        <f>Source!G217</f>
        <v>Монтаж видеодомофона</v>
      </c>
      <c r="C95" s="60" t="str">
        <f>Source!H217</f>
        <v>ШТ</v>
      </c>
      <c r="D95" s="61">
        <f>Source!I217</f>
        <v>1</v>
      </c>
      <c r="E95" s="59"/>
    </row>
    <row r="96" spans="1:5" ht="14.25" x14ac:dyDescent="0.2">
      <c r="A96" s="58">
        <v>75</v>
      </c>
      <c r="B96" s="59" t="str">
        <f>Source!G219</f>
        <v>Устройство второй вызывной панели</v>
      </c>
      <c r="C96" s="60" t="str">
        <f>Source!H219</f>
        <v>ШТ</v>
      </c>
      <c r="D96" s="61">
        <f>Source!I219</f>
        <v>1</v>
      </c>
      <c r="E96" s="59"/>
    </row>
    <row r="97" spans="1:5" ht="42.75" x14ac:dyDescent="0.2">
      <c r="A97" s="58">
        <v>76</v>
      </c>
      <c r="B97" s="59" t="str">
        <f>Source!G221</f>
        <v>Труба гофрированная ПВХ для защиты проводов и кабелей по установленным конструкциям, по стенам, колоннам, потолкам, основанию пола/Монтаж</v>
      </c>
      <c r="C97" s="60" t="str">
        <f>Source!H221</f>
        <v>100 м</v>
      </c>
      <c r="D97" s="61">
        <f>Source!I221</f>
        <v>0.5</v>
      </c>
      <c r="E97" s="59"/>
    </row>
    <row r="98" spans="1:5" ht="42.75" x14ac:dyDescent="0.2">
      <c r="A98" s="58">
        <v>77</v>
      </c>
      <c r="B98" s="59" t="str">
        <f>Source!G224</f>
        <v>Затягивание провода в проложенные трубы и металлические рукава первого одножильного или многожильного в общей оплетке, суммарное сечение: до 6 мм2</v>
      </c>
      <c r="C98" s="60" t="str">
        <f>Source!H224</f>
        <v>100 м</v>
      </c>
      <c r="D98" s="61">
        <f>Source!I224</f>
        <v>0.5</v>
      </c>
      <c r="E98" s="59"/>
    </row>
    <row r="99" spans="1:5" ht="14.25" x14ac:dyDescent="0.2">
      <c r="A99" s="58">
        <v>78</v>
      </c>
      <c r="B99" s="59" t="str">
        <f>Source!G226</f>
        <v>Короба пластмассовые: шириной до 40 мм/Монтаж</v>
      </c>
      <c r="C99" s="60" t="str">
        <f>Source!H226</f>
        <v>100 м</v>
      </c>
      <c r="D99" s="61">
        <f>Source!I226</f>
        <v>0.105</v>
      </c>
      <c r="E99" s="59"/>
    </row>
    <row r="100" spans="1:5" ht="14.25" x14ac:dyDescent="0.2">
      <c r="A100" s="58">
        <v>79</v>
      </c>
      <c r="B100" s="59" t="str">
        <f>Source!G229</f>
        <v>Провод в коробах, сечением: до 6 мм2/Монтаж</v>
      </c>
      <c r="C100" s="60" t="str">
        <f>Source!H229</f>
        <v>100 м</v>
      </c>
      <c r="D100" s="61">
        <f>Source!I229</f>
        <v>0.105</v>
      </c>
      <c r="E100" s="59"/>
    </row>
    <row r="101" spans="1:5" ht="28.5" x14ac:dyDescent="0.2">
      <c r="A101" s="58">
        <v>80</v>
      </c>
      <c r="B101" s="59" t="str">
        <f>Source!G231</f>
        <v>Розетка штепсельная: неутопленного типа при открытой проводке/Монтаж</v>
      </c>
      <c r="C101" s="60" t="str">
        <f>Source!H231</f>
        <v>100 ШТ</v>
      </c>
      <c r="D101" s="61">
        <f>Source!I231</f>
        <v>0.01</v>
      </c>
      <c r="E101" s="59"/>
    </row>
    <row r="102" spans="1:5" ht="28.5" x14ac:dyDescent="0.2">
      <c r="A102" s="58">
        <v>81</v>
      </c>
      <c r="B102" s="59" t="str">
        <f>Source!G233</f>
        <v>Пробивка в кирпичных стенах отверстий круглых диаметром: до 25 мм при толщине стен до 51 см</v>
      </c>
      <c r="C102" s="60" t="str">
        <f>Source!H233</f>
        <v>100 ШТ</v>
      </c>
      <c r="D102" s="61">
        <f>Source!I233</f>
        <v>0.02</v>
      </c>
      <c r="E102" s="59"/>
    </row>
    <row r="103" spans="1:5" ht="16.5" x14ac:dyDescent="0.25">
      <c r="A103" s="81" t="str">
        <f>CONCATENATE("Раздел: ", Source!G265)</f>
        <v>Раздел: Прочие работы</v>
      </c>
      <c r="B103" s="81"/>
      <c r="C103" s="81"/>
      <c r="D103" s="81"/>
      <c r="E103" s="81"/>
    </row>
    <row r="104" spans="1:5" ht="28.5" x14ac:dyDescent="0.2">
      <c r="A104" s="58">
        <v>82</v>
      </c>
      <c r="B104" s="59" t="str">
        <f>Source!G269</f>
        <v>Погрузочные работы при автомобильных перевозках мусора строительного с погрузкой вручную</v>
      </c>
      <c r="C104" s="60" t="str">
        <f>Source!H269</f>
        <v>1 Т ГРУЗА</v>
      </c>
      <c r="D104" s="61">
        <f>Source!I269</f>
        <v>3</v>
      </c>
      <c r="E104" s="59"/>
    </row>
    <row r="105" spans="1:5" ht="42.75" x14ac:dyDescent="0.2">
      <c r="A105" s="54">
        <v>83</v>
      </c>
      <c r="B105" s="55" t="str">
        <f>Source!G270</f>
        <v>Перевозка грузов I класса автомобилями-самосвалами грузоподъемностью 10 т работающих вне карьера на расстояние: до 100 км</v>
      </c>
      <c r="C105" s="56" t="str">
        <f>Source!H270</f>
        <v>1 Т ГРУЗА</v>
      </c>
      <c r="D105" s="57">
        <f>Source!I270</f>
        <v>3</v>
      </c>
      <c r="E105" s="55"/>
    </row>
    <row r="108" spans="1:5" ht="15" x14ac:dyDescent="0.25">
      <c r="A108" s="30" t="s">
        <v>1462</v>
      </c>
      <c r="B108" s="30"/>
      <c r="C108" s="30" t="s">
        <v>1463</v>
      </c>
      <c r="D108" s="30"/>
      <c r="E108" s="30"/>
    </row>
  </sheetData>
  <mergeCells count="8">
    <mergeCell ref="A94:E94"/>
    <mergeCell ref="A103:E103"/>
    <mergeCell ref="C5:D5"/>
    <mergeCell ref="C7:D7"/>
    <mergeCell ref="A11:D11"/>
    <mergeCell ref="A12:D12"/>
    <mergeCell ref="A19:E19"/>
    <mergeCell ref="A20:E20"/>
  </mergeCells>
  <pageMargins left="0.4" right="0.2" top="0.2" bottom="0.4" header="0.2" footer="0.2"/>
  <pageSetup paperSize="9" scale="77" fitToHeight="0" orientation="portrait" r:id="rId1"/>
  <headerFooter>
    <oddHeader>&amp;L&amp;8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402"/>
  <sheetViews>
    <sheetView workbookViewId="0">
      <selection activeCell="A398" sqref="A398:AN398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63834</v>
      </c>
      <c r="M1">
        <v>10</v>
      </c>
      <c r="N1">
        <v>11</v>
      </c>
      <c r="O1">
        <v>2</v>
      </c>
      <c r="P1">
        <v>0</v>
      </c>
      <c r="Q1">
        <v>3</v>
      </c>
    </row>
    <row r="12" spans="1:133" x14ac:dyDescent="0.2">
      <c r="A12" s="1">
        <v>1</v>
      </c>
      <c r="B12" s="1">
        <v>396</v>
      </c>
      <c r="C12" s="1">
        <v>0</v>
      </c>
      <c r="D12" s="1">
        <f>ROW(A332)</f>
        <v>332</v>
      </c>
      <c r="E12" s="1">
        <v>0</v>
      </c>
      <c r="F12" s="1" t="s">
        <v>3</v>
      </c>
      <c r="G12" s="1" t="s">
        <v>4</v>
      </c>
      <c r="H12" s="1" t="s">
        <v>3</v>
      </c>
      <c r="I12" s="1">
        <v>0</v>
      </c>
      <c r="J12" s="1" t="s">
        <v>3</v>
      </c>
      <c r="K12" s="1">
        <v>0</v>
      </c>
      <c r="L12" s="1">
        <v>0</v>
      </c>
      <c r="M12" s="1">
        <v>2</v>
      </c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>
        <v>1</v>
      </c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5</v>
      </c>
      <c r="BI12" s="1" t="s">
        <v>6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7</v>
      </c>
      <c r="BZ12" s="1" t="s">
        <v>8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10</v>
      </c>
      <c r="CF12" s="1">
        <v>0</v>
      </c>
      <c r="CG12" s="1">
        <v>0</v>
      </c>
      <c r="CH12" s="1">
        <v>917512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B332</f>
        <v>396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/>
      </c>
      <c r="G18" s="2" t="str">
        <f t="shared" si="0"/>
        <v>ДС, 115582, г. Москва, Шипиловский проезд, дом 59, к.2, стр.2</v>
      </c>
      <c r="H18" s="2"/>
      <c r="I18" s="2"/>
      <c r="J18" s="2"/>
      <c r="K18" s="2"/>
      <c r="L18" s="2"/>
      <c r="M18" s="2"/>
      <c r="N18" s="2"/>
      <c r="O18" s="2">
        <f t="shared" ref="O18:AT18" si="1">O332</f>
        <v>600427.43000000005</v>
      </c>
      <c r="P18" s="2">
        <f t="shared" si="1"/>
        <v>401321.06</v>
      </c>
      <c r="Q18" s="2">
        <f t="shared" si="1"/>
        <v>11489.84</v>
      </c>
      <c r="R18" s="2">
        <f t="shared" si="1"/>
        <v>4308.3</v>
      </c>
      <c r="S18" s="2">
        <f t="shared" si="1"/>
        <v>187616.53</v>
      </c>
      <c r="T18" s="2">
        <f t="shared" si="1"/>
        <v>0</v>
      </c>
      <c r="U18" s="2">
        <f t="shared" si="1"/>
        <v>609.03861865499994</v>
      </c>
      <c r="V18" s="2">
        <f t="shared" si="1"/>
        <v>10.676120767499999</v>
      </c>
      <c r="W18" s="2">
        <f t="shared" si="1"/>
        <v>0</v>
      </c>
      <c r="X18" s="2">
        <f t="shared" si="1"/>
        <v>172849.97</v>
      </c>
      <c r="Y18" s="2">
        <f t="shared" si="1"/>
        <v>107035.08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883137.35</v>
      </c>
      <c r="AS18" s="2">
        <f t="shared" si="1"/>
        <v>571502.42000000004</v>
      </c>
      <c r="AT18" s="2">
        <f t="shared" si="1"/>
        <v>311634.93</v>
      </c>
      <c r="AU18" s="2">
        <f t="shared" ref="AU18:BZ18" si="2">AU332</f>
        <v>0</v>
      </c>
      <c r="AV18" s="2">
        <f t="shared" si="2"/>
        <v>401321.06</v>
      </c>
      <c r="AW18" s="2">
        <f t="shared" si="2"/>
        <v>401321.06</v>
      </c>
      <c r="AX18" s="2">
        <f t="shared" si="2"/>
        <v>0</v>
      </c>
      <c r="AY18" s="2">
        <f t="shared" si="2"/>
        <v>401321.06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2824.87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CA332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DG332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EM332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FS332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ROW(A302)</f>
        <v>302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 t="s">
        <v>3</v>
      </c>
      <c r="N20" s="1"/>
      <c r="O20" s="1"/>
      <c r="P20" s="1"/>
      <c r="Q20" s="1"/>
      <c r="R20" s="1"/>
      <c r="S20" s="1">
        <v>0</v>
      </c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  <c r="CK20" t="s">
        <v>3</v>
      </c>
      <c r="CL20" t="s">
        <v>3</v>
      </c>
      <c r="CM20" t="s">
        <v>3</v>
      </c>
      <c r="CN20" t="s">
        <v>3</v>
      </c>
      <c r="CO20" t="s">
        <v>3</v>
      </c>
      <c r="CP20" t="s">
        <v>3</v>
      </c>
      <c r="CQ20" t="s">
        <v>3</v>
      </c>
    </row>
    <row r="22" spans="1:245" x14ac:dyDescent="0.2">
      <c r="A22" s="2">
        <v>52</v>
      </c>
      <c r="B22" s="2">
        <f t="shared" ref="B22:G22" si="7">B302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O302</f>
        <v>600427.43000000005</v>
      </c>
      <c r="P22" s="2">
        <f t="shared" si="8"/>
        <v>401321.06</v>
      </c>
      <c r="Q22" s="2">
        <f t="shared" si="8"/>
        <v>11489.84</v>
      </c>
      <c r="R22" s="2">
        <f t="shared" si="8"/>
        <v>4308.3</v>
      </c>
      <c r="S22" s="2">
        <f t="shared" si="8"/>
        <v>187616.53</v>
      </c>
      <c r="T22" s="2">
        <f t="shared" si="8"/>
        <v>0</v>
      </c>
      <c r="U22" s="2">
        <f t="shared" si="8"/>
        <v>609.03861865499994</v>
      </c>
      <c r="V22" s="2">
        <f t="shared" si="8"/>
        <v>10.676120767499999</v>
      </c>
      <c r="W22" s="2">
        <f t="shared" si="8"/>
        <v>0</v>
      </c>
      <c r="X22" s="2">
        <f t="shared" si="8"/>
        <v>172849.97</v>
      </c>
      <c r="Y22" s="2">
        <f t="shared" si="8"/>
        <v>107035.08</v>
      </c>
      <c r="Z22" s="2">
        <f t="shared" si="8"/>
        <v>0</v>
      </c>
      <c r="AA22" s="2">
        <f t="shared" si="8"/>
        <v>0</v>
      </c>
      <c r="AB22" s="2">
        <f t="shared" si="8"/>
        <v>0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0</v>
      </c>
      <c r="AG22" s="2">
        <f t="shared" si="8"/>
        <v>0</v>
      </c>
      <c r="AH22" s="2">
        <f t="shared" si="8"/>
        <v>0</v>
      </c>
      <c r="AI22" s="2">
        <f t="shared" si="8"/>
        <v>0</v>
      </c>
      <c r="AJ22" s="2">
        <f t="shared" si="8"/>
        <v>0</v>
      </c>
      <c r="AK22" s="2">
        <f t="shared" si="8"/>
        <v>0</v>
      </c>
      <c r="AL22" s="2">
        <f t="shared" si="8"/>
        <v>0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883137.35</v>
      </c>
      <c r="AS22" s="2">
        <f t="shared" si="8"/>
        <v>571502.42000000004</v>
      </c>
      <c r="AT22" s="2">
        <f t="shared" si="8"/>
        <v>311634.93</v>
      </c>
      <c r="AU22" s="2">
        <f t="shared" ref="AU22:BZ22" si="9">AU302</f>
        <v>0</v>
      </c>
      <c r="AV22" s="2">
        <f t="shared" si="9"/>
        <v>401321.06</v>
      </c>
      <c r="AW22" s="2">
        <f t="shared" si="9"/>
        <v>401321.06</v>
      </c>
      <c r="AX22" s="2">
        <f t="shared" si="9"/>
        <v>0</v>
      </c>
      <c r="AY22" s="2">
        <f t="shared" si="9"/>
        <v>401321.06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2824.87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CA302</f>
        <v>0</v>
      </c>
      <c r="CB22" s="2">
        <f t="shared" si="10"/>
        <v>0</v>
      </c>
      <c r="CC22" s="2">
        <f t="shared" si="10"/>
        <v>0</v>
      </c>
      <c r="CD22" s="2">
        <f t="shared" si="10"/>
        <v>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DG302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EM302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FS302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 s="1">
        <v>4</v>
      </c>
      <c r="B24" s="1">
        <v>1</v>
      </c>
      <c r="C24" s="1"/>
      <c r="D24" s="1">
        <f>ROW(A183)</f>
        <v>183</v>
      </c>
      <c r="E24" s="1"/>
      <c r="F24" s="1" t="s">
        <v>12</v>
      </c>
      <c r="G24" s="1" t="s">
        <v>13</v>
      </c>
      <c r="H24" s="1" t="s">
        <v>3</v>
      </c>
      <c r="I24" s="1">
        <v>0</v>
      </c>
      <c r="J24" s="1"/>
      <c r="K24" s="1">
        <v>0</v>
      </c>
      <c r="L24" s="1"/>
      <c r="M24" s="1" t="s">
        <v>3</v>
      </c>
      <c r="N24" s="1"/>
      <c r="O24" s="1"/>
      <c r="P24" s="1"/>
      <c r="Q24" s="1"/>
      <c r="R24" s="1"/>
      <c r="S24" s="1">
        <v>0</v>
      </c>
      <c r="T24" s="1"/>
      <c r="U24" s="1" t="s">
        <v>3</v>
      </c>
      <c r="V24" s="1">
        <v>0</v>
      </c>
      <c r="W24" s="1"/>
      <c r="X24" s="1"/>
      <c r="Y24" s="1"/>
      <c r="Z24" s="1"/>
      <c r="AA24" s="1"/>
      <c r="AB24" s="1" t="s">
        <v>3</v>
      </c>
      <c r="AC24" s="1" t="s">
        <v>3</v>
      </c>
      <c r="AD24" s="1" t="s">
        <v>3</v>
      </c>
      <c r="AE24" s="1" t="s">
        <v>3</v>
      </c>
      <c r="AF24" s="1" t="s">
        <v>3</v>
      </c>
      <c r="AG24" s="1" t="s">
        <v>3</v>
      </c>
      <c r="AH24" s="1"/>
      <c r="AI24" s="1"/>
      <c r="AJ24" s="1"/>
      <c r="AK24" s="1"/>
      <c r="AL24" s="1"/>
      <c r="AM24" s="1"/>
      <c r="AN24" s="1"/>
      <c r="AO24" s="1"/>
      <c r="AP24" s="1" t="s">
        <v>3</v>
      </c>
      <c r="AQ24" s="1" t="s">
        <v>3</v>
      </c>
      <c r="AR24" s="1" t="s">
        <v>3</v>
      </c>
      <c r="AS24" s="1"/>
      <c r="AT24" s="1"/>
      <c r="AU24" s="1"/>
      <c r="AV24" s="1"/>
      <c r="AW24" s="1"/>
      <c r="AX24" s="1"/>
      <c r="AY24" s="1"/>
      <c r="AZ24" s="1" t="s">
        <v>3</v>
      </c>
      <c r="BA24" s="1"/>
      <c r="BB24" s="1" t="s">
        <v>3</v>
      </c>
      <c r="BC24" s="1" t="s">
        <v>3</v>
      </c>
      <c r="BD24" s="1" t="s">
        <v>3</v>
      </c>
      <c r="BE24" s="1" t="s">
        <v>3</v>
      </c>
      <c r="BF24" s="1" t="s">
        <v>3</v>
      </c>
      <c r="BG24" s="1" t="s">
        <v>3</v>
      </c>
      <c r="BH24" s="1" t="s">
        <v>3</v>
      </c>
      <c r="BI24" s="1" t="s">
        <v>3</v>
      </c>
      <c r="BJ24" s="1" t="s">
        <v>3</v>
      </c>
      <c r="BK24" s="1" t="s">
        <v>3</v>
      </c>
      <c r="BL24" s="1" t="s">
        <v>3</v>
      </c>
      <c r="BM24" s="1" t="s">
        <v>3</v>
      </c>
      <c r="BN24" s="1" t="s">
        <v>3</v>
      </c>
      <c r="BO24" s="1" t="s">
        <v>3</v>
      </c>
      <c r="BP24" s="1" t="s">
        <v>3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45" x14ac:dyDescent="0.2">
      <c r="A26" s="2">
        <v>52</v>
      </c>
      <c r="B26" s="2">
        <f t="shared" ref="B26:G26" si="14">B183</f>
        <v>1</v>
      </c>
      <c r="C26" s="2">
        <f t="shared" si="14"/>
        <v>4</v>
      </c>
      <c r="D26" s="2">
        <f t="shared" si="14"/>
        <v>24</v>
      </c>
      <c r="E26" s="2">
        <f t="shared" si="14"/>
        <v>0</v>
      </c>
      <c r="F26" s="2" t="str">
        <f t="shared" si="14"/>
        <v>Новый раздел</v>
      </c>
      <c r="G26" s="2" t="str">
        <f t="shared" si="14"/>
        <v>Общестроительные работы</v>
      </c>
      <c r="H26" s="2"/>
      <c r="I26" s="2"/>
      <c r="J26" s="2"/>
      <c r="K26" s="2"/>
      <c r="L26" s="2"/>
      <c r="M26" s="2"/>
      <c r="N26" s="2"/>
      <c r="O26" s="2">
        <f t="shared" ref="O26:AT26" si="15">O183</f>
        <v>577695.47</v>
      </c>
      <c r="P26" s="2">
        <f t="shared" si="15"/>
        <v>387467.76</v>
      </c>
      <c r="Q26" s="2">
        <f t="shared" si="15"/>
        <v>11372.23</v>
      </c>
      <c r="R26" s="2">
        <f t="shared" si="15"/>
        <v>4294.66</v>
      </c>
      <c r="S26" s="2">
        <f t="shared" si="15"/>
        <v>178855.48</v>
      </c>
      <c r="T26" s="2">
        <f t="shared" si="15"/>
        <v>0</v>
      </c>
      <c r="U26" s="2">
        <f t="shared" si="15"/>
        <v>581.09347615499996</v>
      </c>
      <c r="V26" s="2">
        <f t="shared" si="15"/>
        <v>10.644193267499999</v>
      </c>
      <c r="W26" s="2">
        <f t="shared" si="15"/>
        <v>0</v>
      </c>
      <c r="X26" s="2">
        <f t="shared" si="15"/>
        <v>164908.65</v>
      </c>
      <c r="Y26" s="2">
        <f t="shared" si="15"/>
        <v>101502.49</v>
      </c>
      <c r="Z26" s="2">
        <f t="shared" si="15"/>
        <v>0</v>
      </c>
      <c r="AA26" s="2">
        <f t="shared" si="15"/>
        <v>0</v>
      </c>
      <c r="AB26" s="2">
        <f t="shared" si="15"/>
        <v>577695.47</v>
      </c>
      <c r="AC26" s="2">
        <f t="shared" si="15"/>
        <v>387467.76</v>
      </c>
      <c r="AD26" s="2">
        <f t="shared" si="15"/>
        <v>11372.23</v>
      </c>
      <c r="AE26" s="2">
        <f t="shared" si="15"/>
        <v>4294.66</v>
      </c>
      <c r="AF26" s="2">
        <f t="shared" si="15"/>
        <v>178855.48</v>
      </c>
      <c r="AG26" s="2">
        <f t="shared" si="15"/>
        <v>0</v>
      </c>
      <c r="AH26" s="2">
        <f t="shared" si="15"/>
        <v>581.09347615499996</v>
      </c>
      <c r="AI26" s="2">
        <f t="shared" si="15"/>
        <v>10.644193267499999</v>
      </c>
      <c r="AJ26" s="2">
        <f t="shared" si="15"/>
        <v>0</v>
      </c>
      <c r="AK26" s="2">
        <f t="shared" si="15"/>
        <v>164908.65</v>
      </c>
      <c r="AL26" s="2">
        <f t="shared" si="15"/>
        <v>101502.49</v>
      </c>
      <c r="AM26" s="2">
        <f t="shared" si="15"/>
        <v>0</v>
      </c>
      <c r="AN26" s="2">
        <f t="shared" si="15"/>
        <v>0</v>
      </c>
      <c r="AO26" s="2">
        <f t="shared" si="15"/>
        <v>0</v>
      </c>
      <c r="AP26" s="2">
        <f t="shared" si="15"/>
        <v>0</v>
      </c>
      <c r="AQ26" s="2">
        <f t="shared" si="15"/>
        <v>0</v>
      </c>
      <c r="AR26" s="2">
        <f t="shared" si="15"/>
        <v>844106.61</v>
      </c>
      <c r="AS26" s="2">
        <f t="shared" si="15"/>
        <v>566976.31999999995</v>
      </c>
      <c r="AT26" s="2">
        <f t="shared" si="15"/>
        <v>277130.28999999998</v>
      </c>
      <c r="AU26" s="2">
        <f t="shared" ref="AU26:BZ26" si="16">AU183</f>
        <v>0</v>
      </c>
      <c r="AV26" s="2">
        <f t="shared" si="16"/>
        <v>387467.76</v>
      </c>
      <c r="AW26" s="2">
        <f t="shared" si="16"/>
        <v>387467.76</v>
      </c>
      <c r="AX26" s="2">
        <f t="shared" si="16"/>
        <v>0</v>
      </c>
      <c r="AY26" s="2">
        <f t="shared" si="16"/>
        <v>387467.76</v>
      </c>
      <c r="AZ26" s="2">
        <f t="shared" si="16"/>
        <v>0</v>
      </c>
      <c r="BA26" s="2">
        <f t="shared" si="16"/>
        <v>0</v>
      </c>
      <c r="BB26" s="2">
        <f t="shared" si="16"/>
        <v>0</v>
      </c>
      <c r="BC26" s="2">
        <f t="shared" si="16"/>
        <v>0</v>
      </c>
      <c r="BD26" s="2">
        <f t="shared" si="16"/>
        <v>0</v>
      </c>
      <c r="BE26" s="2">
        <f t="shared" si="16"/>
        <v>0</v>
      </c>
      <c r="BF26" s="2">
        <f t="shared" si="16"/>
        <v>0</v>
      </c>
      <c r="BG26" s="2">
        <f t="shared" si="16"/>
        <v>0</v>
      </c>
      <c r="BH26" s="2">
        <f t="shared" si="16"/>
        <v>0</v>
      </c>
      <c r="BI26" s="2">
        <f t="shared" si="16"/>
        <v>0</v>
      </c>
      <c r="BJ26" s="2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2">
        <f t="shared" si="16"/>
        <v>0</v>
      </c>
      <c r="BQ26" s="2">
        <f t="shared" si="16"/>
        <v>0</v>
      </c>
      <c r="BR26" s="2">
        <f t="shared" si="16"/>
        <v>0</v>
      </c>
      <c r="BS26" s="2">
        <f t="shared" si="16"/>
        <v>0</v>
      </c>
      <c r="BT26" s="2">
        <f t="shared" si="16"/>
        <v>0</v>
      </c>
      <c r="BU26" s="2">
        <f t="shared" si="16"/>
        <v>0</v>
      </c>
      <c r="BV26" s="2">
        <f t="shared" si="16"/>
        <v>0</v>
      </c>
      <c r="BW26" s="2">
        <f t="shared" si="16"/>
        <v>0</v>
      </c>
      <c r="BX26" s="2">
        <f t="shared" si="16"/>
        <v>0</v>
      </c>
      <c r="BY26" s="2">
        <f t="shared" si="16"/>
        <v>0</v>
      </c>
      <c r="BZ26" s="2">
        <f t="shared" si="16"/>
        <v>0</v>
      </c>
      <c r="CA26" s="2">
        <f t="shared" ref="CA26:DF26" si="17">CA183</f>
        <v>844106.61</v>
      </c>
      <c r="CB26" s="2">
        <f t="shared" si="17"/>
        <v>566976.31999999995</v>
      </c>
      <c r="CC26" s="2">
        <f t="shared" si="17"/>
        <v>277130.28999999998</v>
      </c>
      <c r="CD26" s="2">
        <f t="shared" si="17"/>
        <v>0</v>
      </c>
      <c r="CE26" s="2">
        <f t="shared" si="17"/>
        <v>387467.76</v>
      </c>
      <c r="CF26" s="2">
        <f t="shared" si="17"/>
        <v>387467.76</v>
      </c>
      <c r="CG26" s="2">
        <f t="shared" si="17"/>
        <v>0</v>
      </c>
      <c r="CH26" s="2">
        <f t="shared" si="17"/>
        <v>387467.76</v>
      </c>
      <c r="CI26" s="2">
        <f t="shared" si="17"/>
        <v>0</v>
      </c>
      <c r="CJ26" s="2">
        <f t="shared" si="17"/>
        <v>0</v>
      </c>
      <c r="CK26" s="2">
        <f t="shared" si="17"/>
        <v>0</v>
      </c>
      <c r="CL26" s="2">
        <f t="shared" si="17"/>
        <v>0</v>
      </c>
      <c r="CM26" s="2">
        <f t="shared" si="17"/>
        <v>0</v>
      </c>
      <c r="CN26" s="2">
        <f t="shared" si="17"/>
        <v>0</v>
      </c>
      <c r="CO26" s="2">
        <f t="shared" si="17"/>
        <v>0</v>
      </c>
      <c r="CP26" s="2">
        <f t="shared" si="17"/>
        <v>0</v>
      </c>
      <c r="CQ26" s="2">
        <f t="shared" si="17"/>
        <v>0</v>
      </c>
      <c r="CR26" s="2">
        <f t="shared" si="17"/>
        <v>0</v>
      </c>
      <c r="CS26" s="2">
        <f t="shared" si="17"/>
        <v>0</v>
      </c>
      <c r="CT26" s="2">
        <f t="shared" si="17"/>
        <v>0</v>
      </c>
      <c r="CU26" s="2">
        <f t="shared" si="17"/>
        <v>0</v>
      </c>
      <c r="CV26" s="2">
        <f t="shared" si="17"/>
        <v>0</v>
      </c>
      <c r="CW26" s="2">
        <f t="shared" si="17"/>
        <v>0</v>
      </c>
      <c r="CX26" s="2">
        <f t="shared" si="17"/>
        <v>0</v>
      </c>
      <c r="CY26" s="2">
        <f t="shared" si="17"/>
        <v>0</v>
      </c>
      <c r="CZ26" s="2">
        <f t="shared" si="17"/>
        <v>0</v>
      </c>
      <c r="DA26" s="2">
        <f t="shared" si="17"/>
        <v>0</v>
      </c>
      <c r="DB26" s="2">
        <f t="shared" si="17"/>
        <v>0</v>
      </c>
      <c r="DC26" s="2">
        <f t="shared" si="17"/>
        <v>0</v>
      </c>
      <c r="DD26" s="2">
        <f t="shared" si="17"/>
        <v>0</v>
      </c>
      <c r="DE26" s="2">
        <f t="shared" si="17"/>
        <v>0</v>
      </c>
      <c r="DF26" s="2">
        <f t="shared" si="17"/>
        <v>0</v>
      </c>
      <c r="DG26" s="3">
        <f t="shared" ref="DG26:EL26" si="18">DG183</f>
        <v>0</v>
      </c>
      <c r="DH26" s="3">
        <f t="shared" si="18"/>
        <v>0</v>
      </c>
      <c r="DI26" s="3">
        <f t="shared" si="18"/>
        <v>0</v>
      </c>
      <c r="DJ26" s="3">
        <f t="shared" si="18"/>
        <v>0</v>
      </c>
      <c r="DK26" s="3">
        <f t="shared" si="18"/>
        <v>0</v>
      </c>
      <c r="DL26" s="3">
        <f t="shared" si="18"/>
        <v>0</v>
      </c>
      <c r="DM26" s="3">
        <f t="shared" si="18"/>
        <v>0</v>
      </c>
      <c r="DN26" s="3">
        <f t="shared" si="18"/>
        <v>0</v>
      </c>
      <c r="DO26" s="3">
        <f t="shared" si="18"/>
        <v>0</v>
      </c>
      <c r="DP26" s="3">
        <f t="shared" si="18"/>
        <v>0</v>
      </c>
      <c r="DQ26" s="3">
        <f t="shared" si="18"/>
        <v>0</v>
      </c>
      <c r="DR26" s="3">
        <f t="shared" si="18"/>
        <v>0</v>
      </c>
      <c r="DS26" s="3">
        <f t="shared" si="18"/>
        <v>0</v>
      </c>
      <c r="DT26" s="3">
        <f t="shared" si="18"/>
        <v>0</v>
      </c>
      <c r="DU26" s="3">
        <f t="shared" si="18"/>
        <v>0</v>
      </c>
      <c r="DV26" s="3">
        <f t="shared" si="18"/>
        <v>0</v>
      </c>
      <c r="DW26" s="3">
        <f t="shared" si="18"/>
        <v>0</v>
      </c>
      <c r="DX26" s="3">
        <f t="shared" si="18"/>
        <v>0</v>
      </c>
      <c r="DY26" s="3">
        <f t="shared" si="18"/>
        <v>0</v>
      </c>
      <c r="DZ26" s="3">
        <f t="shared" si="18"/>
        <v>0</v>
      </c>
      <c r="EA26" s="3">
        <f t="shared" si="18"/>
        <v>0</v>
      </c>
      <c r="EB26" s="3">
        <f t="shared" si="18"/>
        <v>0</v>
      </c>
      <c r="EC26" s="3">
        <f t="shared" si="18"/>
        <v>0</v>
      </c>
      <c r="ED26" s="3">
        <f t="shared" si="18"/>
        <v>0</v>
      </c>
      <c r="EE26" s="3">
        <f t="shared" si="18"/>
        <v>0</v>
      </c>
      <c r="EF26" s="3">
        <f t="shared" si="18"/>
        <v>0</v>
      </c>
      <c r="EG26" s="3">
        <f t="shared" si="18"/>
        <v>0</v>
      </c>
      <c r="EH26" s="3">
        <f t="shared" si="18"/>
        <v>0</v>
      </c>
      <c r="EI26" s="3">
        <f t="shared" si="18"/>
        <v>0</v>
      </c>
      <c r="EJ26" s="3">
        <f t="shared" si="18"/>
        <v>0</v>
      </c>
      <c r="EK26" s="3">
        <f t="shared" si="18"/>
        <v>0</v>
      </c>
      <c r="EL26" s="3">
        <f t="shared" si="18"/>
        <v>0</v>
      </c>
      <c r="EM26" s="3">
        <f t="shared" ref="EM26:FR26" si="19">EM183</f>
        <v>0</v>
      </c>
      <c r="EN26" s="3">
        <f t="shared" si="19"/>
        <v>0</v>
      </c>
      <c r="EO26" s="3">
        <f t="shared" si="19"/>
        <v>0</v>
      </c>
      <c r="EP26" s="3">
        <f t="shared" si="19"/>
        <v>0</v>
      </c>
      <c r="EQ26" s="3">
        <f t="shared" si="19"/>
        <v>0</v>
      </c>
      <c r="ER26" s="3">
        <f t="shared" si="19"/>
        <v>0</v>
      </c>
      <c r="ES26" s="3">
        <f t="shared" si="19"/>
        <v>0</v>
      </c>
      <c r="ET26" s="3">
        <f t="shared" si="19"/>
        <v>0</v>
      </c>
      <c r="EU26" s="3">
        <f t="shared" si="19"/>
        <v>0</v>
      </c>
      <c r="EV26" s="3">
        <f t="shared" si="19"/>
        <v>0</v>
      </c>
      <c r="EW26" s="3">
        <f t="shared" si="19"/>
        <v>0</v>
      </c>
      <c r="EX26" s="3">
        <f t="shared" si="19"/>
        <v>0</v>
      </c>
      <c r="EY26" s="3">
        <f t="shared" si="19"/>
        <v>0</v>
      </c>
      <c r="EZ26" s="3">
        <f t="shared" si="19"/>
        <v>0</v>
      </c>
      <c r="FA26" s="3">
        <f t="shared" si="19"/>
        <v>0</v>
      </c>
      <c r="FB26" s="3">
        <f t="shared" si="19"/>
        <v>0</v>
      </c>
      <c r="FC26" s="3">
        <f t="shared" si="19"/>
        <v>0</v>
      </c>
      <c r="FD26" s="3">
        <f t="shared" si="19"/>
        <v>0</v>
      </c>
      <c r="FE26" s="3">
        <f t="shared" si="19"/>
        <v>0</v>
      </c>
      <c r="FF26" s="3">
        <f t="shared" si="19"/>
        <v>0</v>
      </c>
      <c r="FG26" s="3">
        <f t="shared" si="19"/>
        <v>0</v>
      </c>
      <c r="FH26" s="3">
        <f t="shared" si="19"/>
        <v>0</v>
      </c>
      <c r="FI26" s="3">
        <f t="shared" si="19"/>
        <v>0</v>
      </c>
      <c r="FJ26" s="3">
        <f t="shared" si="19"/>
        <v>0</v>
      </c>
      <c r="FK26" s="3">
        <f t="shared" si="19"/>
        <v>0</v>
      </c>
      <c r="FL26" s="3">
        <f t="shared" si="19"/>
        <v>0</v>
      </c>
      <c r="FM26" s="3">
        <f t="shared" si="19"/>
        <v>0</v>
      </c>
      <c r="FN26" s="3">
        <f t="shared" si="19"/>
        <v>0</v>
      </c>
      <c r="FO26" s="3">
        <f t="shared" si="19"/>
        <v>0</v>
      </c>
      <c r="FP26" s="3">
        <f t="shared" si="19"/>
        <v>0</v>
      </c>
      <c r="FQ26" s="3">
        <f t="shared" si="19"/>
        <v>0</v>
      </c>
      <c r="FR26" s="3">
        <f t="shared" si="19"/>
        <v>0</v>
      </c>
      <c r="FS26" s="3">
        <f t="shared" ref="FS26:GX26" si="20">FS183</f>
        <v>0</v>
      </c>
      <c r="FT26" s="3">
        <f t="shared" si="20"/>
        <v>0</v>
      </c>
      <c r="FU26" s="3">
        <f t="shared" si="20"/>
        <v>0</v>
      </c>
      <c r="FV26" s="3">
        <f t="shared" si="20"/>
        <v>0</v>
      </c>
      <c r="FW26" s="3">
        <f t="shared" si="20"/>
        <v>0</v>
      </c>
      <c r="FX26" s="3">
        <f t="shared" si="20"/>
        <v>0</v>
      </c>
      <c r="FY26" s="3">
        <f t="shared" si="20"/>
        <v>0</v>
      </c>
      <c r="FZ26" s="3">
        <f t="shared" si="20"/>
        <v>0</v>
      </c>
      <c r="GA26" s="3">
        <f t="shared" si="20"/>
        <v>0</v>
      </c>
      <c r="GB26" s="3">
        <f t="shared" si="20"/>
        <v>0</v>
      </c>
      <c r="GC26" s="3">
        <f t="shared" si="20"/>
        <v>0</v>
      </c>
      <c r="GD26" s="3">
        <f t="shared" si="20"/>
        <v>0</v>
      </c>
      <c r="GE26" s="3">
        <f t="shared" si="20"/>
        <v>0</v>
      </c>
      <c r="GF26" s="3">
        <f t="shared" si="20"/>
        <v>0</v>
      </c>
      <c r="GG26" s="3">
        <f t="shared" si="20"/>
        <v>0</v>
      </c>
      <c r="GH26" s="3">
        <f t="shared" si="20"/>
        <v>0</v>
      </c>
      <c r="GI26" s="3">
        <f t="shared" si="20"/>
        <v>0</v>
      </c>
      <c r="GJ26" s="3">
        <f t="shared" si="20"/>
        <v>0</v>
      </c>
      <c r="GK26" s="3">
        <f t="shared" si="20"/>
        <v>0</v>
      </c>
      <c r="GL26" s="3">
        <f t="shared" si="20"/>
        <v>0</v>
      </c>
      <c r="GM26" s="3">
        <f t="shared" si="20"/>
        <v>0</v>
      </c>
      <c r="GN26" s="3">
        <f t="shared" si="20"/>
        <v>0</v>
      </c>
      <c r="GO26" s="3">
        <f t="shared" si="20"/>
        <v>0</v>
      </c>
      <c r="GP26" s="3">
        <f t="shared" si="20"/>
        <v>0</v>
      </c>
      <c r="GQ26" s="3">
        <f t="shared" si="20"/>
        <v>0</v>
      </c>
      <c r="GR26" s="3">
        <f t="shared" si="20"/>
        <v>0</v>
      </c>
      <c r="GS26" s="3">
        <f t="shared" si="20"/>
        <v>0</v>
      </c>
      <c r="GT26" s="3">
        <f t="shared" si="20"/>
        <v>0</v>
      </c>
      <c r="GU26" s="3">
        <f t="shared" si="20"/>
        <v>0</v>
      </c>
      <c r="GV26" s="3">
        <f t="shared" si="20"/>
        <v>0</v>
      </c>
      <c r="GW26" s="3">
        <f t="shared" si="20"/>
        <v>0</v>
      </c>
      <c r="GX26" s="3">
        <f t="shared" si="20"/>
        <v>0</v>
      </c>
    </row>
    <row r="28" spans="1:245" x14ac:dyDescent="0.2">
      <c r="A28">
        <v>19</v>
      </c>
      <c r="B28">
        <v>1</v>
      </c>
      <c r="F28" t="s">
        <v>3</v>
      </c>
      <c r="G28" t="s">
        <v>14</v>
      </c>
      <c r="H28" t="s">
        <v>3</v>
      </c>
      <c r="AA28">
        <v>1</v>
      </c>
      <c r="IK28">
        <v>0</v>
      </c>
    </row>
    <row r="29" spans="1:245" x14ac:dyDescent="0.2">
      <c r="A29">
        <v>17</v>
      </c>
      <c r="B29">
        <v>1</v>
      </c>
      <c r="C29">
        <f>ROW(SmtRes!A8)</f>
        <v>8</v>
      </c>
      <c r="D29">
        <f>ROW(EtalonRes!A8)</f>
        <v>8</v>
      </c>
      <c r="E29" t="s">
        <v>15</v>
      </c>
      <c r="F29" t="s">
        <v>16</v>
      </c>
      <c r="G29" t="s">
        <v>17</v>
      </c>
      <c r="H29" t="s">
        <v>18</v>
      </c>
      <c r="I29">
        <f>ROUND(1/100,5)</f>
        <v>0.01</v>
      </c>
      <c r="J29">
        <v>0</v>
      </c>
      <c r="O29">
        <f t="shared" ref="O29:O50" si="21">ROUND(CP29,2)</f>
        <v>215.42</v>
      </c>
      <c r="P29">
        <f t="shared" ref="P29:P50" si="22">ROUND(CQ29*I29,2)</f>
        <v>0</v>
      </c>
      <c r="Q29">
        <f t="shared" ref="Q29:Q50" si="23">ROUND(CR29*I29,2)</f>
        <v>3</v>
      </c>
      <c r="R29">
        <f t="shared" ref="R29:R50" si="24">ROUND(CS29*I29,2)</f>
        <v>1.37</v>
      </c>
      <c r="S29">
        <f t="shared" ref="S29:S50" si="25">ROUND(CT29*I29,2)</f>
        <v>212.42</v>
      </c>
      <c r="T29">
        <f t="shared" ref="T29:T50" si="26">ROUND(CU29*I29,2)</f>
        <v>0</v>
      </c>
      <c r="U29">
        <f t="shared" ref="U29:U50" si="27">CV29*I29</f>
        <v>0.63633600000000001</v>
      </c>
      <c r="V29">
        <f t="shared" ref="V29:V50" si="28">CW29*I29</f>
        <v>3.2400000000000003E-3</v>
      </c>
      <c r="W29">
        <f t="shared" ref="W29:W50" si="29">ROUND(CX29*I29,2)</f>
        <v>0</v>
      </c>
      <c r="X29">
        <f t="shared" ref="X29:X50" si="30">ROUND(CY29,2)</f>
        <v>203.1</v>
      </c>
      <c r="Y29">
        <f t="shared" ref="Y29:Y50" si="31">ROUND(CZ29,2)</f>
        <v>138.96</v>
      </c>
      <c r="AA29">
        <v>68990560</v>
      </c>
      <c r="AB29">
        <f t="shared" ref="AB29:AB50" si="32">ROUND((AC29+AD29+AF29),2)</f>
        <v>660.59</v>
      </c>
      <c r="AC29">
        <f>ROUND(((ES29*0)),2)</f>
        <v>0</v>
      </c>
      <c r="AD29">
        <f>ROUND((((((ET29*1.35)*0.6))-(((EU29*1.35)*0.6)))+AE29),2)</f>
        <v>29.34</v>
      </c>
      <c r="AE29">
        <f>ROUND((((EU29*1.35)*0.6)),2)</f>
        <v>4.07</v>
      </c>
      <c r="AF29">
        <f>ROUND((((EV29*1.35)*0.6)),2)</f>
        <v>631.25</v>
      </c>
      <c r="AG29">
        <f t="shared" ref="AG29:AG50" si="33">ROUND((AP29),2)</f>
        <v>0</v>
      </c>
      <c r="AH29">
        <f>(((EW29*1.35)*0.6))</f>
        <v>63.633600000000001</v>
      </c>
      <c r="AI29">
        <f>(((EX29*1.35)*0.6))</f>
        <v>0.32400000000000001</v>
      </c>
      <c r="AJ29">
        <f t="shared" ref="AJ29:AJ50" si="34">(AS29)</f>
        <v>0</v>
      </c>
      <c r="AK29">
        <v>1335.94</v>
      </c>
      <c r="AL29">
        <v>520.4</v>
      </c>
      <c r="AM29">
        <v>36.22</v>
      </c>
      <c r="AN29">
        <v>5.0199999999999996</v>
      </c>
      <c r="AO29">
        <v>779.32</v>
      </c>
      <c r="AP29">
        <v>0</v>
      </c>
      <c r="AQ29">
        <v>78.56</v>
      </c>
      <c r="AR29">
        <v>0.4</v>
      </c>
      <c r="AS29">
        <v>0</v>
      </c>
      <c r="AT29">
        <v>95</v>
      </c>
      <c r="AU29">
        <v>65</v>
      </c>
      <c r="AV29">
        <v>1</v>
      </c>
      <c r="AW29">
        <v>1</v>
      </c>
      <c r="AZ29">
        <v>1</v>
      </c>
      <c r="BA29">
        <v>33.65</v>
      </c>
      <c r="BB29">
        <v>10.220000000000001</v>
      </c>
      <c r="BC29">
        <v>6.11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2</v>
      </c>
      <c r="BJ29" t="s">
        <v>19</v>
      </c>
      <c r="BM29">
        <v>108001</v>
      </c>
      <c r="BN29">
        <v>0</v>
      </c>
      <c r="BO29" t="s">
        <v>16</v>
      </c>
      <c r="BP29">
        <v>1</v>
      </c>
      <c r="BQ29">
        <v>3</v>
      </c>
      <c r="BR29">
        <v>0</v>
      </c>
      <c r="BS29">
        <v>33.65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95</v>
      </c>
      <c r="CA29">
        <v>65</v>
      </c>
      <c r="CE29">
        <v>0</v>
      </c>
      <c r="CF29">
        <v>0</v>
      </c>
      <c r="CG29">
        <v>0</v>
      </c>
      <c r="CM29">
        <v>0</v>
      </c>
      <c r="CN29" t="s">
        <v>1328</v>
      </c>
      <c r="CO29">
        <v>0</v>
      </c>
      <c r="CP29">
        <f t="shared" ref="CP29:CP50" si="35">(P29+Q29+S29)</f>
        <v>215.42</v>
      </c>
      <c r="CQ29">
        <f t="shared" ref="CQ29:CQ50" si="36">AC29*BC29</f>
        <v>0</v>
      </c>
      <c r="CR29">
        <f t="shared" ref="CR29:CR50" si="37">AD29*BB29</f>
        <v>299.85480000000001</v>
      </c>
      <c r="CS29">
        <f t="shared" ref="CS29:CS50" si="38">AE29*BS29</f>
        <v>136.9555</v>
      </c>
      <c r="CT29">
        <f t="shared" ref="CT29:CT50" si="39">AF29*BA29</f>
        <v>21241.5625</v>
      </c>
      <c r="CU29">
        <f t="shared" ref="CU29:CU50" si="40">AG29</f>
        <v>0</v>
      </c>
      <c r="CV29">
        <f t="shared" ref="CV29:CV50" si="41">AH29</f>
        <v>63.633600000000001</v>
      </c>
      <c r="CW29">
        <f t="shared" ref="CW29:CW50" si="42">AI29</f>
        <v>0.32400000000000001</v>
      </c>
      <c r="CX29">
        <f t="shared" ref="CX29:CX50" si="43">AJ29</f>
        <v>0</v>
      </c>
      <c r="CY29">
        <f t="shared" ref="CY29:CY50" si="44">(((S29+R29)*AT29)/100)</f>
        <v>203.10049999999998</v>
      </c>
      <c r="CZ29">
        <f t="shared" ref="CZ29:CZ50" si="45">(((S29+R29)*AU29)/100)</f>
        <v>138.96350000000001</v>
      </c>
      <c r="DC29" t="s">
        <v>3</v>
      </c>
      <c r="DD29" t="s">
        <v>20</v>
      </c>
      <c r="DE29" t="s">
        <v>21</v>
      </c>
      <c r="DF29" t="s">
        <v>21</v>
      </c>
      <c r="DG29" t="s">
        <v>21</v>
      </c>
      <c r="DH29" t="s">
        <v>3</v>
      </c>
      <c r="DI29" t="s">
        <v>21</v>
      </c>
      <c r="DJ29" t="s">
        <v>21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1013</v>
      </c>
      <c r="DV29" t="s">
        <v>18</v>
      </c>
      <c r="DW29" t="s">
        <v>18</v>
      </c>
      <c r="DX29">
        <v>1</v>
      </c>
      <c r="DZ29" t="s">
        <v>3</v>
      </c>
      <c r="EA29" t="s">
        <v>3</v>
      </c>
      <c r="EB29" t="s">
        <v>3</v>
      </c>
      <c r="EC29" t="s">
        <v>3</v>
      </c>
      <c r="EE29">
        <v>64094909</v>
      </c>
      <c r="EF29">
        <v>3</v>
      </c>
      <c r="EG29" t="s">
        <v>22</v>
      </c>
      <c r="EH29">
        <v>0</v>
      </c>
      <c r="EI29" t="s">
        <v>3</v>
      </c>
      <c r="EJ29">
        <v>2</v>
      </c>
      <c r="EK29">
        <v>108001</v>
      </c>
      <c r="EL29" t="s">
        <v>23</v>
      </c>
      <c r="EM29" t="s">
        <v>24</v>
      </c>
      <c r="EO29" t="s">
        <v>25</v>
      </c>
      <c r="EQ29">
        <v>0</v>
      </c>
      <c r="ER29">
        <v>1335.94</v>
      </c>
      <c r="ES29">
        <v>520.4</v>
      </c>
      <c r="ET29">
        <v>36.22</v>
      </c>
      <c r="EU29">
        <v>5.0199999999999996</v>
      </c>
      <c r="EV29">
        <v>779.32</v>
      </c>
      <c r="EW29">
        <v>78.56</v>
      </c>
      <c r="EX29">
        <v>0.4</v>
      </c>
      <c r="EY29">
        <v>0</v>
      </c>
      <c r="FQ29">
        <v>0</v>
      </c>
      <c r="FR29">
        <f t="shared" ref="FR29:FR50" si="46">ROUND(IF(AND(BH29=3,BI29=3),P29,0),2)</f>
        <v>0</v>
      </c>
      <c r="FS29">
        <v>0</v>
      </c>
      <c r="FX29">
        <v>95</v>
      </c>
      <c r="FY29">
        <v>65</v>
      </c>
      <c r="GA29" t="s">
        <v>3</v>
      </c>
      <c r="GD29">
        <v>1</v>
      </c>
      <c r="GF29">
        <v>-531955822</v>
      </c>
      <c r="GG29">
        <v>2</v>
      </c>
      <c r="GH29">
        <v>1</v>
      </c>
      <c r="GI29">
        <v>2</v>
      </c>
      <c r="GJ29">
        <v>0</v>
      </c>
      <c r="GK29">
        <v>0</v>
      </c>
      <c r="GL29">
        <f t="shared" ref="GL29:GL50" si="47">ROUND(IF(AND(BH29=3,BI29=3,FS29&lt;&gt;0),P29,0),2)</f>
        <v>0</v>
      </c>
      <c r="GM29">
        <f t="shared" ref="GM29:GM50" si="48">ROUND(O29+X29+Y29,2)+GX29</f>
        <v>557.48</v>
      </c>
      <c r="GN29">
        <f t="shared" ref="GN29:GN50" si="49">IF(OR(BI29=0,BI29=1),ROUND(O29+X29+Y29,2),0)</f>
        <v>0</v>
      </c>
      <c r="GO29">
        <f t="shared" ref="GO29:GO50" si="50">IF(BI29=2,ROUND(O29+X29+Y29,2),0)</f>
        <v>557.48</v>
      </c>
      <c r="GP29">
        <f t="shared" ref="GP29:GP50" si="51">IF(BI29=4,ROUND(O29+X29+Y29,2)+GX29,0)</f>
        <v>0</v>
      </c>
      <c r="GR29">
        <v>0</v>
      </c>
      <c r="GS29">
        <v>3</v>
      </c>
      <c r="GT29">
        <v>0</v>
      </c>
      <c r="GU29" t="s">
        <v>3</v>
      </c>
      <c r="GV29">
        <f t="shared" ref="GV29:GV50" si="52">ROUND((GT29),2)</f>
        <v>0</v>
      </c>
      <c r="GW29">
        <v>1</v>
      </c>
      <c r="GX29">
        <f t="shared" ref="GX29:GX50" si="53">ROUND(HC29*I29,2)</f>
        <v>0</v>
      </c>
      <c r="HA29">
        <v>0</v>
      </c>
      <c r="HB29">
        <v>0</v>
      </c>
      <c r="HC29">
        <f t="shared" ref="HC29:HC50" si="54">GV29*GW29</f>
        <v>0</v>
      </c>
      <c r="HE29" t="s">
        <v>3</v>
      </c>
      <c r="HF29" t="s">
        <v>3</v>
      </c>
      <c r="IK29">
        <v>0</v>
      </c>
    </row>
    <row r="30" spans="1:245" x14ac:dyDescent="0.2">
      <c r="A30">
        <v>17</v>
      </c>
      <c r="B30">
        <v>1</v>
      </c>
      <c r="C30">
        <f>ROW(SmtRes!A15)</f>
        <v>15</v>
      </c>
      <c r="D30">
        <f>ROW(EtalonRes!A15)</f>
        <v>15</v>
      </c>
      <c r="E30" t="s">
        <v>26</v>
      </c>
      <c r="F30" t="s">
        <v>27</v>
      </c>
      <c r="G30" t="s">
        <v>28</v>
      </c>
      <c r="H30" t="s">
        <v>29</v>
      </c>
      <c r="I30">
        <f>ROUND(3,5)</f>
        <v>3</v>
      </c>
      <c r="J30">
        <v>0</v>
      </c>
      <c r="O30">
        <f t="shared" si="21"/>
        <v>660.21</v>
      </c>
      <c r="P30">
        <f t="shared" si="22"/>
        <v>0</v>
      </c>
      <c r="Q30">
        <f t="shared" si="23"/>
        <v>0</v>
      </c>
      <c r="R30">
        <f t="shared" si="24"/>
        <v>0</v>
      </c>
      <c r="S30">
        <f t="shared" si="25"/>
        <v>660.21</v>
      </c>
      <c r="T30">
        <f t="shared" si="26"/>
        <v>0</v>
      </c>
      <c r="U30">
        <f t="shared" si="27"/>
        <v>2.0411999999999999</v>
      </c>
      <c r="V30">
        <f t="shared" si="28"/>
        <v>0</v>
      </c>
      <c r="W30">
        <f t="shared" si="29"/>
        <v>0</v>
      </c>
      <c r="X30">
        <f t="shared" si="30"/>
        <v>528.16999999999996</v>
      </c>
      <c r="Y30">
        <f t="shared" si="31"/>
        <v>396.13</v>
      </c>
      <c r="AA30">
        <v>68990560</v>
      </c>
      <c r="AB30">
        <f t="shared" si="32"/>
        <v>6.54</v>
      </c>
      <c r="AC30">
        <f>ROUND(((ES30*0)),2)</f>
        <v>0</v>
      </c>
      <c r="AD30">
        <f>ROUND((((((ET30*1.35)*0.6))-(((EU30*1.35)*0.6)))+AE30),2)</f>
        <v>0</v>
      </c>
      <c r="AE30">
        <f>ROUND((((EU30*1.35)*0.6)),2)</f>
        <v>0</v>
      </c>
      <c r="AF30">
        <f>ROUND((((EV30*1.35)*0.6)),2)</f>
        <v>6.54</v>
      </c>
      <c r="AG30">
        <f t="shared" si="33"/>
        <v>0</v>
      </c>
      <c r="AH30">
        <f>(((EW30*1.35)*0.6))</f>
        <v>0.6804</v>
      </c>
      <c r="AI30">
        <f>(((EX30*1.35)*0.6))</f>
        <v>0</v>
      </c>
      <c r="AJ30">
        <f t="shared" si="34"/>
        <v>0</v>
      </c>
      <c r="AK30">
        <v>9.9600000000000009</v>
      </c>
      <c r="AL30">
        <v>1.88</v>
      </c>
      <c r="AM30">
        <v>0</v>
      </c>
      <c r="AN30">
        <v>0</v>
      </c>
      <c r="AO30">
        <v>8.08</v>
      </c>
      <c r="AP30">
        <v>0</v>
      </c>
      <c r="AQ30">
        <v>0.84</v>
      </c>
      <c r="AR30">
        <v>0</v>
      </c>
      <c r="AS30">
        <v>0</v>
      </c>
      <c r="AT30">
        <v>80</v>
      </c>
      <c r="AU30">
        <v>60</v>
      </c>
      <c r="AV30">
        <v>1</v>
      </c>
      <c r="AW30">
        <v>1</v>
      </c>
      <c r="AZ30">
        <v>1</v>
      </c>
      <c r="BA30">
        <v>33.65</v>
      </c>
      <c r="BB30">
        <v>1</v>
      </c>
      <c r="BC30">
        <v>8.51</v>
      </c>
      <c r="BD30" t="s">
        <v>3</v>
      </c>
      <c r="BE30" t="s">
        <v>3</v>
      </c>
      <c r="BF30" t="s">
        <v>3</v>
      </c>
      <c r="BG30" t="s">
        <v>3</v>
      </c>
      <c r="BH30">
        <v>0</v>
      </c>
      <c r="BI30">
        <v>2</v>
      </c>
      <c r="BJ30" t="s">
        <v>30</v>
      </c>
      <c r="BM30">
        <v>110011</v>
      </c>
      <c r="BN30">
        <v>0</v>
      </c>
      <c r="BO30" t="s">
        <v>27</v>
      </c>
      <c r="BP30">
        <v>1</v>
      </c>
      <c r="BQ30">
        <v>3</v>
      </c>
      <c r="BR30">
        <v>0</v>
      </c>
      <c r="BS30">
        <v>33.65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80</v>
      </c>
      <c r="CA30">
        <v>60</v>
      </c>
      <c r="CE30">
        <v>0</v>
      </c>
      <c r="CF30">
        <v>0</v>
      </c>
      <c r="CG30">
        <v>0</v>
      </c>
      <c r="CM30">
        <v>0</v>
      </c>
      <c r="CN30" t="s">
        <v>1328</v>
      </c>
      <c r="CO30">
        <v>0</v>
      </c>
      <c r="CP30">
        <f t="shared" si="35"/>
        <v>660.21</v>
      </c>
      <c r="CQ30">
        <f t="shared" si="36"/>
        <v>0</v>
      </c>
      <c r="CR30">
        <f t="shared" si="37"/>
        <v>0</v>
      </c>
      <c r="CS30">
        <f t="shared" si="38"/>
        <v>0</v>
      </c>
      <c r="CT30">
        <f t="shared" si="39"/>
        <v>220.071</v>
      </c>
      <c r="CU30">
        <f t="shared" si="40"/>
        <v>0</v>
      </c>
      <c r="CV30">
        <f t="shared" si="41"/>
        <v>0.6804</v>
      </c>
      <c r="CW30">
        <f t="shared" si="42"/>
        <v>0</v>
      </c>
      <c r="CX30">
        <f t="shared" si="43"/>
        <v>0</v>
      </c>
      <c r="CY30">
        <f t="shared" si="44"/>
        <v>528.16800000000001</v>
      </c>
      <c r="CZ30">
        <f t="shared" si="45"/>
        <v>396.12600000000003</v>
      </c>
      <c r="DC30" t="s">
        <v>3</v>
      </c>
      <c r="DD30" t="s">
        <v>20</v>
      </c>
      <c r="DE30" t="s">
        <v>21</v>
      </c>
      <c r="DF30" t="s">
        <v>21</v>
      </c>
      <c r="DG30" t="s">
        <v>21</v>
      </c>
      <c r="DH30" t="s">
        <v>3</v>
      </c>
      <c r="DI30" t="s">
        <v>21</v>
      </c>
      <c r="DJ30" t="s">
        <v>21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1013</v>
      </c>
      <c r="DV30" t="s">
        <v>29</v>
      </c>
      <c r="DW30" t="s">
        <v>29</v>
      </c>
      <c r="DX30">
        <v>1</v>
      </c>
      <c r="DZ30" t="s">
        <v>3</v>
      </c>
      <c r="EA30" t="s">
        <v>3</v>
      </c>
      <c r="EB30" t="s">
        <v>3</v>
      </c>
      <c r="EC30" t="s">
        <v>3</v>
      </c>
      <c r="EE30">
        <v>64094956</v>
      </c>
      <c r="EF30">
        <v>3</v>
      </c>
      <c r="EG30" t="s">
        <v>22</v>
      </c>
      <c r="EH30">
        <v>0</v>
      </c>
      <c r="EI30" t="s">
        <v>3</v>
      </c>
      <c r="EJ30">
        <v>2</v>
      </c>
      <c r="EK30">
        <v>110011</v>
      </c>
      <c r="EL30" t="s">
        <v>31</v>
      </c>
      <c r="EM30" t="s">
        <v>32</v>
      </c>
      <c r="EO30" t="s">
        <v>25</v>
      </c>
      <c r="EQ30">
        <v>0</v>
      </c>
      <c r="ER30">
        <v>9.9600000000000009</v>
      </c>
      <c r="ES30">
        <v>1.88</v>
      </c>
      <c r="ET30">
        <v>0</v>
      </c>
      <c r="EU30">
        <v>0</v>
      </c>
      <c r="EV30">
        <v>8.08</v>
      </c>
      <c r="EW30">
        <v>0.84</v>
      </c>
      <c r="EX30">
        <v>0</v>
      </c>
      <c r="EY30">
        <v>0</v>
      </c>
      <c r="FQ30">
        <v>0</v>
      </c>
      <c r="FR30">
        <f t="shared" si="46"/>
        <v>0</v>
      </c>
      <c r="FS30">
        <v>0</v>
      </c>
      <c r="FX30">
        <v>80</v>
      </c>
      <c r="FY30">
        <v>60</v>
      </c>
      <c r="GA30" t="s">
        <v>3</v>
      </c>
      <c r="GD30">
        <v>1</v>
      </c>
      <c r="GF30">
        <v>317115444</v>
      </c>
      <c r="GG30">
        <v>2</v>
      </c>
      <c r="GH30">
        <v>1</v>
      </c>
      <c r="GI30">
        <v>2</v>
      </c>
      <c r="GJ30">
        <v>0</v>
      </c>
      <c r="GK30">
        <v>0</v>
      </c>
      <c r="GL30">
        <f t="shared" si="47"/>
        <v>0</v>
      </c>
      <c r="GM30">
        <f t="shared" si="48"/>
        <v>1584.51</v>
      </c>
      <c r="GN30">
        <f t="shared" si="49"/>
        <v>0</v>
      </c>
      <c r="GO30">
        <f t="shared" si="50"/>
        <v>1584.51</v>
      </c>
      <c r="GP30">
        <f t="shared" si="51"/>
        <v>0</v>
      </c>
      <c r="GR30">
        <v>0</v>
      </c>
      <c r="GS30">
        <v>3</v>
      </c>
      <c r="GT30">
        <v>0</v>
      </c>
      <c r="GU30" t="s">
        <v>3</v>
      </c>
      <c r="GV30">
        <f t="shared" si="52"/>
        <v>0</v>
      </c>
      <c r="GW30">
        <v>1</v>
      </c>
      <c r="GX30">
        <f t="shared" si="53"/>
        <v>0</v>
      </c>
      <c r="HA30">
        <v>0</v>
      </c>
      <c r="HB30">
        <v>0</v>
      </c>
      <c r="HC30">
        <f t="shared" si="54"/>
        <v>0</v>
      </c>
      <c r="HE30" t="s">
        <v>3</v>
      </c>
      <c r="HF30" t="s">
        <v>3</v>
      </c>
      <c r="IK30">
        <v>0</v>
      </c>
    </row>
    <row r="31" spans="1:245" x14ac:dyDescent="0.2">
      <c r="A31">
        <v>17</v>
      </c>
      <c r="B31">
        <v>1</v>
      </c>
      <c r="C31">
        <f>ROW(SmtRes!A18)</f>
        <v>18</v>
      </c>
      <c r="D31">
        <f>ROW(EtalonRes!A18)</f>
        <v>18</v>
      </c>
      <c r="E31" t="s">
        <v>33</v>
      </c>
      <c r="F31" t="s">
        <v>34</v>
      </c>
      <c r="G31" t="s">
        <v>35</v>
      </c>
      <c r="H31" t="s">
        <v>36</v>
      </c>
      <c r="I31">
        <f>ROUND(2/100,5)</f>
        <v>0.02</v>
      </c>
      <c r="J31">
        <v>0</v>
      </c>
      <c r="O31">
        <f t="shared" si="21"/>
        <v>159.87</v>
      </c>
      <c r="P31">
        <f t="shared" si="22"/>
        <v>0</v>
      </c>
      <c r="Q31">
        <f t="shared" si="23"/>
        <v>8.0299999999999994</v>
      </c>
      <c r="R31">
        <f t="shared" si="24"/>
        <v>7.84</v>
      </c>
      <c r="S31">
        <f t="shared" si="25"/>
        <v>151.84</v>
      </c>
      <c r="T31">
        <f t="shared" si="26"/>
        <v>0</v>
      </c>
      <c r="U31">
        <f t="shared" si="27"/>
        <v>0.52900000000000003</v>
      </c>
      <c r="V31">
        <f t="shared" si="28"/>
        <v>1.7249999999999998E-2</v>
      </c>
      <c r="W31">
        <f t="shared" si="29"/>
        <v>0</v>
      </c>
      <c r="X31">
        <f t="shared" si="30"/>
        <v>118.16</v>
      </c>
      <c r="Y31">
        <f t="shared" si="31"/>
        <v>79.84</v>
      </c>
      <c r="AA31">
        <v>68990560</v>
      </c>
      <c r="AB31">
        <f t="shared" si="32"/>
        <v>252.59</v>
      </c>
      <c r="AC31">
        <f>ROUND((ES31),2)</f>
        <v>0</v>
      </c>
      <c r="AD31">
        <f>ROUND(((((ET31*1.15))-((EU31*1.15)))+AE31),2)</f>
        <v>26.97</v>
      </c>
      <c r="AE31">
        <f>ROUND(((EU31*1.15)),2)</f>
        <v>11.65</v>
      </c>
      <c r="AF31">
        <f>ROUND(((EV31*1.15)),2)</f>
        <v>225.62</v>
      </c>
      <c r="AG31">
        <f t="shared" si="33"/>
        <v>0</v>
      </c>
      <c r="AH31">
        <f>((EW31*1.15))</f>
        <v>26.45</v>
      </c>
      <c r="AI31">
        <f>((EX31*1.15))</f>
        <v>0.86249999999999993</v>
      </c>
      <c r="AJ31">
        <f t="shared" si="34"/>
        <v>0</v>
      </c>
      <c r="AK31">
        <v>219.64</v>
      </c>
      <c r="AL31">
        <v>0</v>
      </c>
      <c r="AM31">
        <v>23.45</v>
      </c>
      <c r="AN31">
        <v>10.130000000000001</v>
      </c>
      <c r="AO31">
        <v>196.19</v>
      </c>
      <c r="AP31">
        <v>0</v>
      </c>
      <c r="AQ31">
        <v>23</v>
      </c>
      <c r="AR31">
        <v>0.75</v>
      </c>
      <c r="AS31">
        <v>0</v>
      </c>
      <c r="AT31">
        <v>74</v>
      </c>
      <c r="AU31">
        <v>50</v>
      </c>
      <c r="AV31">
        <v>1</v>
      </c>
      <c r="AW31">
        <v>1</v>
      </c>
      <c r="AZ31">
        <v>1</v>
      </c>
      <c r="BA31">
        <v>33.65</v>
      </c>
      <c r="BB31">
        <v>14.88</v>
      </c>
      <c r="BC31">
        <v>1</v>
      </c>
      <c r="BD31" t="s">
        <v>3</v>
      </c>
      <c r="BE31" t="s">
        <v>3</v>
      </c>
      <c r="BF31" t="s">
        <v>3</v>
      </c>
      <c r="BG31" t="s">
        <v>3</v>
      </c>
      <c r="BH31">
        <v>0</v>
      </c>
      <c r="BI31">
        <v>1</v>
      </c>
      <c r="BJ31" t="s">
        <v>37</v>
      </c>
      <c r="BM31">
        <v>65005</v>
      </c>
      <c r="BN31">
        <v>0</v>
      </c>
      <c r="BO31" t="s">
        <v>34</v>
      </c>
      <c r="BP31">
        <v>1</v>
      </c>
      <c r="BQ31">
        <v>6</v>
      </c>
      <c r="BR31">
        <v>0</v>
      </c>
      <c r="BS31">
        <v>33.65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74</v>
      </c>
      <c r="CA31">
        <v>50</v>
      </c>
      <c r="CE31">
        <v>0</v>
      </c>
      <c r="CF31">
        <v>0</v>
      </c>
      <c r="CG31">
        <v>0</v>
      </c>
      <c r="CM31">
        <v>0</v>
      </c>
      <c r="CN31" t="s">
        <v>1329</v>
      </c>
      <c r="CO31">
        <v>0</v>
      </c>
      <c r="CP31">
        <f t="shared" si="35"/>
        <v>159.87</v>
      </c>
      <c r="CQ31">
        <f t="shared" si="36"/>
        <v>0</v>
      </c>
      <c r="CR31">
        <f t="shared" si="37"/>
        <v>401.31360000000001</v>
      </c>
      <c r="CS31">
        <f t="shared" si="38"/>
        <v>392.02249999999998</v>
      </c>
      <c r="CT31">
        <f t="shared" si="39"/>
        <v>7592.1130000000003</v>
      </c>
      <c r="CU31">
        <f t="shared" si="40"/>
        <v>0</v>
      </c>
      <c r="CV31">
        <f t="shared" si="41"/>
        <v>26.45</v>
      </c>
      <c r="CW31">
        <f t="shared" si="42"/>
        <v>0.86249999999999993</v>
      </c>
      <c r="CX31">
        <f t="shared" si="43"/>
        <v>0</v>
      </c>
      <c r="CY31">
        <f t="shared" si="44"/>
        <v>118.1632</v>
      </c>
      <c r="CZ31">
        <f t="shared" si="45"/>
        <v>79.84</v>
      </c>
      <c r="DC31" t="s">
        <v>3</v>
      </c>
      <c r="DD31" t="s">
        <v>3</v>
      </c>
      <c r="DE31" t="s">
        <v>38</v>
      </c>
      <c r="DF31" t="s">
        <v>38</v>
      </c>
      <c r="DG31" t="s">
        <v>38</v>
      </c>
      <c r="DH31" t="s">
        <v>3</v>
      </c>
      <c r="DI31" t="s">
        <v>38</v>
      </c>
      <c r="DJ31" t="s">
        <v>38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36</v>
      </c>
      <c r="DW31" t="s">
        <v>36</v>
      </c>
      <c r="DX31">
        <v>100</v>
      </c>
      <c r="DZ31" t="s">
        <v>3</v>
      </c>
      <c r="EA31" t="s">
        <v>3</v>
      </c>
      <c r="EB31" t="s">
        <v>3</v>
      </c>
      <c r="EC31" t="s">
        <v>3</v>
      </c>
      <c r="EE31">
        <v>64095123</v>
      </c>
      <c r="EF31">
        <v>6</v>
      </c>
      <c r="EG31" t="s">
        <v>39</v>
      </c>
      <c r="EH31">
        <v>0</v>
      </c>
      <c r="EI31" t="s">
        <v>3</v>
      </c>
      <c r="EJ31">
        <v>1</v>
      </c>
      <c r="EK31">
        <v>65005</v>
      </c>
      <c r="EL31" t="s">
        <v>40</v>
      </c>
      <c r="EM31" t="s">
        <v>41</v>
      </c>
      <c r="EO31" t="s">
        <v>42</v>
      </c>
      <c r="EQ31">
        <v>0</v>
      </c>
      <c r="ER31">
        <v>219.64</v>
      </c>
      <c r="ES31">
        <v>0</v>
      </c>
      <c r="ET31">
        <v>23.45</v>
      </c>
      <c r="EU31">
        <v>10.130000000000001</v>
      </c>
      <c r="EV31">
        <v>196.19</v>
      </c>
      <c r="EW31">
        <v>23</v>
      </c>
      <c r="EX31">
        <v>0.75</v>
      </c>
      <c r="EY31">
        <v>0</v>
      </c>
      <c r="FQ31">
        <v>0</v>
      </c>
      <c r="FR31">
        <f t="shared" si="46"/>
        <v>0</v>
      </c>
      <c r="FS31">
        <v>0</v>
      </c>
      <c r="FX31">
        <v>74</v>
      </c>
      <c r="FY31">
        <v>50</v>
      </c>
      <c r="GA31" t="s">
        <v>3</v>
      </c>
      <c r="GD31">
        <v>1</v>
      </c>
      <c r="GF31">
        <v>1075230502</v>
      </c>
      <c r="GG31">
        <v>2</v>
      </c>
      <c r="GH31">
        <v>1</v>
      </c>
      <c r="GI31">
        <v>2</v>
      </c>
      <c r="GJ31">
        <v>0</v>
      </c>
      <c r="GK31">
        <v>0</v>
      </c>
      <c r="GL31">
        <f t="shared" si="47"/>
        <v>0</v>
      </c>
      <c r="GM31">
        <f t="shared" si="48"/>
        <v>357.87</v>
      </c>
      <c r="GN31">
        <f t="shared" si="49"/>
        <v>357.87</v>
      </c>
      <c r="GO31">
        <f t="shared" si="50"/>
        <v>0</v>
      </c>
      <c r="GP31">
        <f t="shared" si="51"/>
        <v>0</v>
      </c>
      <c r="GR31">
        <v>0</v>
      </c>
      <c r="GS31">
        <v>3</v>
      </c>
      <c r="GT31">
        <v>0</v>
      </c>
      <c r="GU31" t="s">
        <v>3</v>
      </c>
      <c r="GV31">
        <f t="shared" si="52"/>
        <v>0</v>
      </c>
      <c r="GW31">
        <v>1</v>
      </c>
      <c r="GX31">
        <f t="shared" si="53"/>
        <v>0</v>
      </c>
      <c r="HA31">
        <v>0</v>
      </c>
      <c r="HB31">
        <v>0</v>
      </c>
      <c r="HC31">
        <f t="shared" si="54"/>
        <v>0</v>
      </c>
      <c r="HE31" t="s">
        <v>3</v>
      </c>
      <c r="HF31" t="s">
        <v>3</v>
      </c>
      <c r="IK31">
        <v>0</v>
      </c>
    </row>
    <row r="32" spans="1:245" x14ac:dyDescent="0.2">
      <c r="A32">
        <v>17</v>
      </c>
      <c r="B32">
        <v>1</v>
      </c>
      <c r="C32">
        <f>ROW(SmtRes!A25)</f>
        <v>25</v>
      </c>
      <c r="D32">
        <f>ROW(EtalonRes!A27)</f>
        <v>27</v>
      </c>
      <c r="E32" t="s">
        <v>43</v>
      </c>
      <c r="F32" t="s">
        <v>44</v>
      </c>
      <c r="G32" t="s">
        <v>45</v>
      </c>
      <c r="H32" t="s">
        <v>46</v>
      </c>
      <c r="I32">
        <f>ROUND(4.2,5)</f>
        <v>4.2</v>
      </c>
      <c r="J32">
        <v>0</v>
      </c>
      <c r="O32">
        <f t="shared" si="21"/>
        <v>3767.42</v>
      </c>
      <c r="P32">
        <f t="shared" si="22"/>
        <v>0</v>
      </c>
      <c r="Q32">
        <f t="shared" si="23"/>
        <v>587.49</v>
      </c>
      <c r="R32">
        <f t="shared" si="24"/>
        <v>262.87</v>
      </c>
      <c r="S32">
        <f t="shared" si="25"/>
        <v>3179.93</v>
      </c>
      <c r="T32">
        <f t="shared" si="26"/>
        <v>0</v>
      </c>
      <c r="U32">
        <f t="shared" si="27"/>
        <v>9.525599999999999</v>
      </c>
      <c r="V32">
        <f t="shared" si="28"/>
        <v>0.67473000000000005</v>
      </c>
      <c r="W32">
        <f t="shared" si="29"/>
        <v>0</v>
      </c>
      <c r="X32">
        <f t="shared" si="30"/>
        <v>2788.67</v>
      </c>
      <c r="Y32">
        <f t="shared" si="31"/>
        <v>2478.8200000000002</v>
      </c>
      <c r="AA32">
        <v>68990560</v>
      </c>
      <c r="AB32">
        <f t="shared" si="32"/>
        <v>36.119999999999997</v>
      </c>
      <c r="AC32">
        <f>ROUND(((ES32*0)),2)</f>
        <v>0</v>
      </c>
      <c r="AD32">
        <f>ROUND((((((ET32*1.35)*0.7))-(((EU32*1.35)*0.7)))+AE32),2)</f>
        <v>13.62</v>
      </c>
      <c r="AE32">
        <f>ROUND((((EU32*1.35)*0.7)),2)</f>
        <v>1.86</v>
      </c>
      <c r="AF32">
        <f>ROUND((((EV32*1.35)*0.7)),2)</f>
        <v>22.5</v>
      </c>
      <c r="AG32">
        <f t="shared" si="33"/>
        <v>0</v>
      </c>
      <c r="AH32">
        <f>(((EW32*1.35)*0.7))</f>
        <v>2.2679999999999998</v>
      </c>
      <c r="AI32">
        <f>(((EX32*1.35)*0.7))</f>
        <v>0.16065000000000002</v>
      </c>
      <c r="AJ32">
        <f t="shared" si="34"/>
        <v>0</v>
      </c>
      <c r="AK32">
        <v>63.94</v>
      </c>
      <c r="AL32">
        <v>25.72</v>
      </c>
      <c r="AM32">
        <v>14.41</v>
      </c>
      <c r="AN32">
        <v>1.97</v>
      </c>
      <c r="AO32">
        <v>23.81</v>
      </c>
      <c r="AP32">
        <v>0</v>
      </c>
      <c r="AQ32">
        <v>2.4</v>
      </c>
      <c r="AR32">
        <v>0.17</v>
      </c>
      <c r="AS32">
        <v>0</v>
      </c>
      <c r="AT32">
        <v>81</v>
      </c>
      <c r="AU32">
        <v>72</v>
      </c>
      <c r="AV32">
        <v>1</v>
      </c>
      <c r="AW32">
        <v>1</v>
      </c>
      <c r="AZ32">
        <v>1</v>
      </c>
      <c r="BA32">
        <v>33.65</v>
      </c>
      <c r="BB32">
        <v>10.27</v>
      </c>
      <c r="BC32">
        <v>6.78</v>
      </c>
      <c r="BD32" t="s">
        <v>3</v>
      </c>
      <c r="BE32" t="s">
        <v>3</v>
      </c>
      <c r="BF32" t="s">
        <v>3</v>
      </c>
      <c r="BG32" t="s">
        <v>3</v>
      </c>
      <c r="BH32">
        <v>0</v>
      </c>
      <c r="BI32">
        <v>1</v>
      </c>
      <c r="BJ32" t="s">
        <v>47</v>
      </c>
      <c r="BM32">
        <v>9001</v>
      </c>
      <c r="BN32">
        <v>0</v>
      </c>
      <c r="BO32" t="s">
        <v>44</v>
      </c>
      <c r="BP32">
        <v>1</v>
      </c>
      <c r="BQ32">
        <v>2</v>
      </c>
      <c r="BR32">
        <v>0</v>
      </c>
      <c r="BS32">
        <v>33.65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90</v>
      </c>
      <c r="CA32">
        <v>85</v>
      </c>
      <c r="CE32">
        <v>0</v>
      </c>
      <c r="CF32">
        <v>0</v>
      </c>
      <c r="CG32">
        <v>0</v>
      </c>
      <c r="CM32">
        <v>0</v>
      </c>
      <c r="CN32" t="s">
        <v>1330</v>
      </c>
      <c r="CO32">
        <v>0</v>
      </c>
      <c r="CP32">
        <f t="shared" si="35"/>
        <v>3767.42</v>
      </c>
      <c r="CQ32">
        <f t="shared" si="36"/>
        <v>0</v>
      </c>
      <c r="CR32">
        <f t="shared" si="37"/>
        <v>139.87739999999999</v>
      </c>
      <c r="CS32">
        <f t="shared" si="38"/>
        <v>62.588999999999999</v>
      </c>
      <c r="CT32">
        <f t="shared" si="39"/>
        <v>757.125</v>
      </c>
      <c r="CU32">
        <f t="shared" si="40"/>
        <v>0</v>
      </c>
      <c r="CV32">
        <f t="shared" si="41"/>
        <v>2.2679999999999998</v>
      </c>
      <c r="CW32">
        <f t="shared" si="42"/>
        <v>0.16065000000000002</v>
      </c>
      <c r="CX32">
        <f t="shared" si="43"/>
        <v>0</v>
      </c>
      <c r="CY32">
        <f t="shared" si="44"/>
        <v>2788.6679999999997</v>
      </c>
      <c r="CZ32">
        <f t="shared" si="45"/>
        <v>2478.8159999999998</v>
      </c>
      <c r="DC32" t="s">
        <v>3</v>
      </c>
      <c r="DD32" t="s">
        <v>20</v>
      </c>
      <c r="DE32" t="s">
        <v>48</v>
      </c>
      <c r="DF32" t="s">
        <v>48</v>
      </c>
      <c r="DG32" t="s">
        <v>48</v>
      </c>
      <c r="DH32" t="s">
        <v>3</v>
      </c>
      <c r="DI32" t="s">
        <v>48</v>
      </c>
      <c r="DJ32" t="s">
        <v>48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1005</v>
      </c>
      <c r="DV32" t="s">
        <v>46</v>
      </c>
      <c r="DW32" t="s">
        <v>46</v>
      </c>
      <c r="DX32">
        <v>1</v>
      </c>
      <c r="DZ32" t="s">
        <v>3</v>
      </c>
      <c r="EA32" t="s">
        <v>3</v>
      </c>
      <c r="EB32" t="s">
        <v>3</v>
      </c>
      <c r="EC32" t="s">
        <v>3</v>
      </c>
      <c r="EE32">
        <v>64095025</v>
      </c>
      <c r="EF32">
        <v>2</v>
      </c>
      <c r="EG32" t="s">
        <v>13</v>
      </c>
      <c r="EH32">
        <v>0</v>
      </c>
      <c r="EI32" t="s">
        <v>3</v>
      </c>
      <c r="EJ32">
        <v>1</v>
      </c>
      <c r="EK32">
        <v>9001</v>
      </c>
      <c r="EL32" t="s">
        <v>49</v>
      </c>
      <c r="EM32" t="s">
        <v>50</v>
      </c>
      <c r="EO32" t="s">
        <v>51</v>
      </c>
      <c r="EQ32">
        <v>0</v>
      </c>
      <c r="ER32">
        <v>63.94</v>
      </c>
      <c r="ES32">
        <v>25.72</v>
      </c>
      <c r="ET32">
        <v>14.41</v>
      </c>
      <c r="EU32">
        <v>1.97</v>
      </c>
      <c r="EV32">
        <v>23.81</v>
      </c>
      <c r="EW32">
        <v>2.4</v>
      </c>
      <c r="EX32">
        <v>0.17</v>
      </c>
      <c r="EY32">
        <v>0</v>
      </c>
      <c r="FQ32">
        <v>0</v>
      </c>
      <c r="FR32">
        <f t="shared" si="46"/>
        <v>0</v>
      </c>
      <c r="FS32">
        <v>0</v>
      </c>
      <c r="FT32" t="s">
        <v>52</v>
      </c>
      <c r="FU32" t="s">
        <v>53</v>
      </c>
      <c r="FX32">
        <v>81</v>
      </c>
      <c r="FY32">
        <v>72.25</v>
      </c>
      <c r="GA32" t="s">
        <v>3</v>
      </c>
      <c r="GD32">
        <v>1</v>
      </c>
      <c r="GF32">
        <v>134378973</v>
      </c>
      <c r="GG32">
        <v>2</v>
      </c>
      <c r="GH32">
        <v>1</v>
      </c>
      <c r="GI32">
        <v>2</v>
      </c>
      <c r="GJ32">
        <v>0</v>
      </c>
      <c r="GK32">
        <v>0</v>
      </c>
      <c r="GL32">
        <f t="shared" si="47"/>
        <v>0</v>
      </c>
      <c r="GM32">
        <f t="shared" si="48"/>
        <v>9034.91</v>
      </c>
      <c r="GN32">
        <f t="shared" si="49"/>
        <v>9034.91</v>
      </c>
      <c r="GO32">
        <f t="shared" si="50"/>
        <v>0</v>
      </c>
      <c r="GP32">
        <f t="shared" si="51"/>
        <v>0</v>
      </c>
      <c r="GR32">
        <v>0</v>
      </c>
      <c r="GS32">
        <v>3</v>
      </c>
      <c r="GT32">
        <v>0</v>
      </c>
      <c r="GU32" t="s">
        <v>3</v>
      </c>
      <c r="GV32">
        <f t="shared" si="52"/>
        <v>0</v>
      </c>
      <c r="GW32">
        <v>1</v>
      </c>
      <c r="GX32">
        <f t="shared" si="53"/>
        <v>0</v>
      </c>
      <c r="HA32">
        <v>0</v>
      </c>
      <c r="HB32">
        <v>0</v>
      </c>
      <c r="HC32">
        <f t="shared" si="54"/>
        <v>0</v>
      </c>
      <c r="HE32" t="s">
        <v>3</v>
      </c>
      <c r="HF32" t="s">
        <v>3</v>
      </c>
      <c r="IK32">
        <v>0</v>
      </c>
    </row>
    <row r="33" spans="1:245" x14ac:dyDescent="0.2">
      <c r="A33">
        <v>17</v>
      </c>
      <c r="B33">
        <v>1</v>
      </c>
      <c r="C33">
        <f>ROW(SmtRes!A31)</f>
        <v>31</v>
      </c>
      <c r="D33">
        <f>ROW(EtalonRes!A34)</f>
        <v>34</v>
      </c>
      <c r="E33" t="s">
        <v>54</v>
      </c>
      <c r="F33" t="s">
        <v>55</v>
      </c>
      <c r="G33" t="s">
        <v>56</v>
      </c>
      <c r="H33" t="s">
        <v>36</v>
      </c>
      <c r="I33">
        <f>ROUND(8.44/100,5)</f>
        <v>8.4400000000000003E-2</v>
      </c>
      <c r="J33">
        <v>0</v>
      </c>
      <c r="O33">
        <f t="shared" si="21"/>
        <v>1216.6600000000001</v>
      </c>
      <c r="P33">
        <f t="shared" si="22"/>
        <v>0</v>
      </c>
      <c r="Q33">
        <f t="shared" si="23"/>
        <v>38.97</v>
      </c>
      <c r="R33">
        <f t="shared" si="24"/>
        <v>17.47</v>
      </c>
      <c r="S33">
        <f t="shared" si="25"/>
        <v>1177.69</v>
      </c>
      <c r="T33">
        <f t="shared" si="26"/>
        <v>0</v>
      </c>
      <c r="U33">
        <f t="shared" si="27"/>
        <v>3.8124324000000001</v>
      </c>
      <c r="V33">
        <f t="shared" si="28"/>
        <v>4.0676580000000004E-2</v>
      </c>
      <c r="W33">
        <f t="shared" si="29"/>
        <v>0</v>
      </c>
      <c r="X33">
        <f t="shared" si="30"/>
        <v>968.08</v>
      </c>
      <c r="Y33">
        <f t="shared" si="31"/>
        <v>860.52</v>
      </c>
      <c r="AA33">
        <v>68990560</v>
      </c>
      <c r="AB33">
        <f t="shared" si="32"/>
        <v>460.89</v>
      </c>
      <c r="AC33">
        <f>ROUND(((ES33*0)),2)</f>
        <v>0</v>
      </c>
      <c r="AD33">
        <f>ROUND((((((ET33*1.35)*0.7))-(((EU33*1.35)*0.7)))+AE33),2)</f>
        <v>46.22</v>
      </c>
      <c r="AE33">
        <f>ROUND((((EU33*1.35)*0.7)),2)</f>
        <v>6.15</v>
      </c>
      <c r="AF33">
        <f>ROUND((((EV33*1.35)*0.7)),2)</f>
        <v>414.67</v>
      </c>
      <c r="AG33">
        <f t="shared" si="33"/>
        <v>0</v>
      </c>
      <c r="AH33">
        <f>(((EW33*1.35)*0.7))</f>
        <v>45.170999999999999</v>
      </c>
      <c r="AI33">
        <f>(((EX33*1.35)*0.7))</f>
        <v>0.48195000000000005</v>
      </c>
      <c r="AJ33">
        <f t="shared" si="34"/>
        <v>0</v>
      </c>
      <c r="AK33">
        <v>775.46</v>
      </c>
      <c r="AL33">
        <v>287.75</v>
      </c>
      <c r="AM33">
        <v>48.91</v>
      </c>
      <c r="AN33">
        <v>6.51</v>
      </c>
      <c r="AO33">
        <v>438.8</v>
      </c>
      <c r="AP33">
        <v>0</v>
      </c>
      <c r="AQ33">
        <v>47.8</v>
      </c>
      <c r="AR33">
        <v>0.51</v>
      </c>
      <c r="AS33">
        <v>0</v>
      </c>
      <c r="AT33">
        <v>81</v>
      </c>
      <c r="AU33">
        <v>72</v>
      </c>
      <c r="AV33">
        <v>1</v>
      </c>
      <c r="AW33">
        <v>1</v>
      </c>
      <c r="AZ33">
        <v>1</v>
      </c>
      <c r="BA33">
        <v>33.65</v>
      </c>
      <c r="BB33">
        <v>9.99</v>
      </c>
      <c r="BC33">
        <v>5.4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1</v>
      </c>
      <c r="BJ33" t="s">
        <v>57</v>
      </c>
      <c r="BM33">
        <v>9001</v>
      </c>
      <c r="BN33">
        <v>0</v>
      </c>
      <c r="BO33" t="s">
        <v>55</v>
      </c>
      <c r="BP33">
        <v>1</v>
      </c>
      <c r="BQ33">
        <v>2</v>
      </c>
      <c r="BR33">
        <v>0</v>
      </c>
      <c r="BS33">
        <v>33.65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90</v>
      </c>
      <c r="CA33">
        <v>85</v>
      </c>
      <c r="CE33">
        <v>0</v>
      </c>
      <c r="CF33">
        <v>0</v>
      </c>
      <c r="CG33">
        <v>0</v>
      </c>
      <c r="CM33">
        <v>0</v>
      </c>
      <c r="CN33" t="s">
        <v>1330</v>
      </c>
      <c r="CO33">
        <v>0</v>
      </c>
      <c r="CP33">
        <f t="shared" si="35"/>
        <v>1216.6600000000001</v>
      </c>
      <c r="CQ33">
        <f t="shared" si="36"/>
        <v>0</v>
      </c>
      <c r="CR33">
        <f t="shared" si="37"/>
        <v>461.73779999999999</v>
      </c>
      <c r="CS33">
        <f t="shared" si="38"/>
        <v>206.94749999999999</v>
      </c>
      <c r="CT33">
        <f t="shared" si="39"/>
        <v>13953.645500000001</v>
      </c>
      <c r="CU33">
        <f t="shared" si="40"/>
        <v>0</v>
      </c>
      <c r="CV33">
        <f t="shared" si="41"/>
        <v>45.170999999999999</v>
      </c>
      <c r="CW33">
        <f t="shared" si="42"/>
        <v>0.48195000000000005</v>
      </c>
      <c r="CX33">
        <f t="shared" si="43"/>
        <v>0</v>
      </c>
      <c r="CY33">
        <f t="shared" si="44"/>
        <v>968.07960000000003</v>
      </c>
      <c r="CZ33">
        <f t="shared" si="45"/>
        <v>860.51520000000005</v>
      </c>
      <c r="DC33" t="s">
        <v>3</v>
      </c>
      <c r="DD33" t="s">
        <v>20</v>
      </c>
      <c r="DE33" t="s">
        <v>48</v>
      </c>
      <c r="DF33" t="s">
        <v>48</v>
      </c>
      <c r="DG33" t="s">
        <v>48</v>
      </c>
      <c r="DH33" t="s">
        <v>3</v>
      </c>
      <c r="DI33" t="s">
        <v>48</v>
      </c>
      <c r="DJ33" t="s">
        <v>48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36</v>
      </c>
      <c r="DW33" t="s">
        <v>36</v>
      </c>
      <c r="DX33">
        <v>100</v>
      </c>
      <c r="DZ33" t="s">
        <v>3</v>
      </c>
      <c r="EA33" t="s">
        <v>3</v>
      </c>
      <c r="EB33" t="s">
        <v>3</v>
      </c>
      <c r="EC33" t="s">
        <v>3</v>
      </c>
      <c r="EE33">
        <v>64095025</v>
      </c>
      <c r="EF33">
        <v>2</v>
      </c>
      <c r="EG33" t="s">
        <v>13</v>
      </c>
      <c r="EH33">
        <v>0</v>
      </c>
      <c r="EI33" t="s">
        <v>3</v>
      </c>
      <c r="EJ33">
        <v>1</v>
      </c>
      <c r="EK33">
        <v>9001</v>
      </c>
      <c r="EL33" t="s">
        <v>49</v>
      </c>
      <c r="EM33" t="s">
        <v>50</v>
      </c>
      <c r="EO33" t="s">
        <v>51</v>
      </c>
      <c r="EQ33">
        <v>0</v>
      </c>
      <c r="ER33">
        <v>775.46</v>
      </c>
      <c r="ES33">
        <v>287.75</v>
      </c>
      <c r="ET33">
        <v>48.91</v>
      </c>
      <c r="EU33">
        <v>6.51</v>
      </c>
      <c r="EV33">
        <v>438.8</v>
      </c>
      <c r="EW33">
        <v>47.8</v>
      </c>
      <c r="EX33">
        <v>0.51</v>
      </c>
      <c r="EY33">
        <v>0</v>
      </c>
      <c r="FQ33">
        <v>0</v>
      </c>
      <c r="FR33">
        <f t="shared" si="46"/>
        <v>0</v>
      </c>
      <c r="FS33">
        <v>0</v>
      </c>
      <c r="FT33" t="s">
        <v>52</v>
      </c>
      <c r="FU33" t="s">
        <v>53</v>
      </c>
      <c r="FX33">
        <v>81</v>
      </c>
      <c r="FY33">
        <v>72.25</v>
      </c>
      <c r="GA33" t="s">
        <v>3</v>
      </c>
      <c r="GD33">
        <v>1</v>
      </c>
      <c r="GF33">
        <v>582212966</v>
      </c>
      <c r="GG33">
        <v>2</v>
      </c>
      <c r="GH33">
        <v>1</v>
      </c>
      <c r="GI33">
        <v>2</v>
      </c>
      <c r="GJ33">
        <v>0</v>
      </c>
      <c r="GK33">
        <v>0</v>
      </c>
      <c r="GL33">
        <f t="shared" si="47"/>
        <v>0</v>
      </c>
      <c r="GM33">
        <f t="shared" si="48"/>
        <v>3045.26</v>
      </c>
      <c r="GN33">
        <f t="shared" si="49"/>
        <v>3045.26</v>
      </c>
      <c r="GO33">
        <f t="shared" si="50"/>
        <v>0</v>
      </c>
      <c r="GP33">
        <f t="shared" si="51"/>
        <v>0</v>
      </c>
      <c r="GR33">
        <v>0</v>
      </c>
      <c r="GS33">
        <v>3</v>
      </c>
      <c r="GT33">
        <v>0</v>
      </c>
      <c r="GU33" t="s">
        <v>3</v>
      </c>
      <c r="GV33">
        <f t="shared" si="52"/>
        <v>0</v>
      </c>
      <c r="GW33">
        <v>1</v>
      </c>
      <c r="GX33">
        <f t="shared" si="53"/>
        <v>0</v>
      </c>
      <c r="HA33">
        <v>0</v>
      </c>
      <c r="HB33">
        <v>0</v>
      </c>
      <c r="HC33">
        <f t="shared" si="54"/>
        <v>0</v>
      </c>
      <c r="HE33" t="s">
        <v>3</v>
      </c>
      <c r="HF33" t="s">
        <v>3</v>
      </c>
      <c r="IK33">
        <v>0</v>
      </c>
    </row>
    <row r="34" spans="1:245" x14ac:dyDescent="0.2">
      <c r="A34">
        <v>17</v>
      </c>
      <c r="B34">
        <v>1</v>
      </c>
      <c r="C34">
        <f>ROW(SmtRes!A34)</f>
        <v>34</v>
      </c>
      <c r="D34">
        <f>ROW(EtalonRes!A37)</f>
        <v>37</v>
      </c>
      <c r="E34" t="s">
        <v>58</v>
      </c>
      <c r="F34" t="s">
        <v>59</v>
      </c>
      <c r="G34" t="s">
        <v>60</v>
      </c>
      <c r="H34" t="s">
        <v>36</v>
      </c>
      <c r="I34">
        <f>ROUND(4.4/100,5)</f>
        <v>4.3999999999999997E-2</v>
      </c>
      <c r="J34">
        <v>0</v>
      </c>
      <c r="O34">
        <f t="shared" si="21"/>
        <v>1437.73</v>
      </c>
      <c r="P34">
        <f t="shared" si="22"/>
        <v>0</v>
      </c>
      <c r="Q34">
        <f t="shared" si="23"/>
        <v>182.17</v>
      </c>
      <c r="R34">
        <f t="shared" si="24"/>
        <v>177.91</v>
      </c>
      <c r="S34">
        <f t="shared" si="25"/>
        <v>1255.56</v>
      </c>
      <c r="T34">
        <f t="shared" si="26"/>
        <v>0</v>
      </c>
      <c r="U34">
        <f t="shared" si="27"/>
        <v>4.61219</v>
      </c>
      <c r="V34">
        <f t="shared" si="28"/>
        <v>0.39164399999999999</v>
      </c>
      <c r="W34">
        <f t="shared" si="29"/>
        <v>0</v>
      </c>
      <c r="X34">
        <f t="shared" si="30"/>
        <v>1419.14</v>
      </c>
      <c r="Y34">
        <f t="shared" si="31"/>
        <v>860.08</v>
      </c>
      <c r="AA34">
        <v>68990560</v>
      </c>
      <c r="AB34">
        <f t="shared" si="32"/>
        <v>1126.25</v>
      </c>
      <c r="AC34">
        <f t="shared" ref="AC34:AC42" si="55">ROUND((ES34),2)</f>
        <v>0</v>
      </c>
      <c r="AD34">
        <f>ROUND(((((ET34*1.15))-((EU34*1.15)))+AE34),2)</f>
        <v>278.24</v>
      </c>
      <c r="AE34">
        <f>ROUND(((EU34*1.15)),2)</f>
        <v>120.16</v>
      </c>
      <c r="AF34">
        <f>ROUND(((EV34*1.15)),2)</f>
        <v>848.01</v>
      </c>
      <c r="AG34">
        <f t="shared" si="33"/>
        <v>0</v>
      </c>
      <c r="AH34">
        <f>((EW34*1.15))</f>
        <v>104.82250000000001</v>
      </c>
      <c r="AI34">
        <f>((EX34*1.15))</f>
        <v>8.9009999999999998</v>
      </c>
      <c r="AJ34">
        <f t="shared" si="34"/>
        <v>0</v>
      </c>
      <c r="AK34">
        <v>979.35</v>
      </c>
      <c r="AL34">
        <v>0</v>
      </c>
      <c r="AM34">
        <v>241.95</v>
      </c>
      <c r="AN34">
        <v>104.49</v>
      </c>
      <c r="AO34">
        <v>737.4</v>
      </c>
      <c r="AP34">
        <v>0</v>
      </c>
      <c r="AQ34">
        <v>91.15</v>
      </c>
      <c r="AR34">
        <v>7.74</v>
      </c>
      <c r="AS34">
        <v>0</v>
      </c>
      <c r="AT34">
        <v>99</v>
      </c>
      <c r="AU34">
        <v>60</v>
      </c>
      <c r="AV34">
        <v>1</v>
      </c>
      <c r="AW34">
        <v>1</v>
      </c>
      <c r="AZ34">
        <v>1</v>
      </c>
      <c r="BA34">
        <v>33.65</v>
      </c>
      <c r="BB34">
        <v>14.88</v>
      </c>
      <c r="BC34">
        <v>1</v>
      </c>
      <c r="BD34" t="s">
        <v>3</v>
      </c>
      <c r="BE34" t="s">
        <v>3</v>
      </c>
      <c r="BF34" t="s">
        <v>3</v>
      </c>
      <c r="BG34" t="s">
        <v>3</v>
      </c>
      <c r="BH34">
        <v>0</v>
      </c>
      <c r="BI34">
        <v>1</v>
      </c>
      <c r="BJ34" t="s">
        <v>61</v>
      </c>
      <c r="BM34">
        <v>46001</v>
      </c>
      <c r="BN34">
        <v>0</v>
      </c>
      <c r="BO34" t="s">
        <v>59</v>
      </c>
      <c r="BP34">
        <v>1</v>
      </c>
      <c r="BQ34">
        <v>2</v>
      </c>
      <c r="BR34">
        <v>0</v>
      </c>
      <c r="BS34">
        <v>33.65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110</v>
      </c>
      <c r="CA34">
        <v>70</v>
      </c>
      <c r="CE34">
        <v>0</v>
      </c>
      <c r="CF34">
        <v>0</v>
      </c>
      <c r="CG34">
        <v>0</v>
      </c>
      <c r="CM34">
        <v>0</v>
      </c>
      <c r="CN34" t="s">
        <v>1329</v>
      </c>
      <c r="CO34">
        <v>0</v>
      </c>
      <c r="CP34">
        <f t="shared" si="35"/>
        <v>1437.73</v>
      </c>
      <c r="CQ34">
        <f t="shared" si="36"/>
        <v>0</v>
      </c>
      <c r="CR34">
        <f t="shared" si="37"/>
        <v>4140.2112000000006</v>
      </c>
      <c r="CS34">
        <f t="shared" si="38"/>
        <v>4043.3839999999996</v>
      </c>
      <c r="CT34">
        <f t="shared" si="39"/>
        <v>28535.536499999998</v>
      </c>
      <c r="CU34">
        <f t="shared" si="40"/>
        <v>0</v>
      </c>
      <c r="CV34">
        <f t="shared" si="41"/>
        <v>104.82250000000001</v>
      </c>
      <c r="CW34">
        <f t="shared" si="42"/>
        <v>8.9009999999999998</v>
      </c>
      <c r="CX34">
        <f t="shared" si="43"/>
        <v>0</v>
      </c>
      <c r="CY34">
        <f t="shared" si="44"/>
        <v>1419.1352999999999</v>
      </c>
      <c r="CZ34">
        <f t="shared" si="45"/>
        <v>860.08199999999999</v>
      </c>
      <c r="DC34" t="s">
        <v>3</v>
      </c>
      <c r="DD34" t="s">
        <v>3</v>
      </c>
      <c r="DE34" t="s">
        <v>38</v>
      </c>
      <c r="DF34" t="s">
        <v>38</v>
      </c>
      <c r="DG34" t="s">
        <v>38</v>
      </c>
      <c r="DH34" t="s">
        <v>3</v>
      </c>
      <c r="DI34" t="s">
        <v>38</v>
      </c>
      <c r="DJ34" t="s">
        <v>38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1005</v>
      </c>
      <c r="DV34" t="s">
        <v>36</v>
      </c>
      <c r="DW34" t="s">
        <v>36</v>
      </c>
      <c r="DX34">
        <v>100</v>
      </c>
      <c r="DZ34" t="s">
        <v>3</v>
      </c>
      <c r="EA34" t="s">
        <v>3</v>
      </c>
      <c r="EB34" t="s">
        <v>3</v>
      </c>
      <c r="EC34" t="s">
        <v>3</v>
      </c>
      <c r="EE34">
        <v>64095094</v>
      </c>
      <c r="EF34">
        <v>2</v>
      </c>
      <c r="EG34" t="s">
        <v>13</v>
      </c>
      <c r="EH34">
        <v>0</v>
      </c>
      <c r="EI34" t="s">
        <v>3</v>
      </c>
      <c r="EJ34">
        <v>1</v>
      </c>
      <c r="EK34">
        <v>46001</v>
      </c>
      <c r="EL34" t="s">
        <v>62</v>
      </c>
      <c r="EM34" t="s">
        <v>63</v>
      </c>
      <c r="EO34" t="s">
        <v>42</v>
      </c>
      <c r="EQ34">
        <v>0</v>
      </c>
      <c r="ER34">
        <v>979.35</v>
      </c>
      <c r="ES34">
        <v>0</v>
      </c>
      <c r="ET34">
        <v>241.95</v>
      </c>
      <c r="EU34">
        <v>104.49</v>
      </c>
      <c r="EV34">
        <v>737.4</v>
      </c>
      <c r="EW34">
        <v>91.15</v>
      </c>
      <c r="EX34">
        <v>7.74</v>
      </c>
      <c r="EY34">
        <v>0</v>
      </c>
      <c r="FQ34">
        <v>0</v>
      </c>
      <c r="FR34">
        <f t="shared" si="46"/>
        <v>0</v>
      </c>
      <c r="FS34">
        <v>0</v>
      </c>
      <c r="FT34" t="s">
        <v>52</v>
      </c>
      <c r="FU34" t="s">
        <v>53</v>
      </c>
      <c r="FX34">
        <v>99</v>
      </c>
      <c r="FY34">
        <v>59.5</v>
      </c>
      <c r="GA34" t="s">
        <v>3</v>
      </c>
      <c r="GD34">
        <v>1</v>
      </c>
      <c r="GF34">
        <v>299657773</v>
      </c>
      <c r="GG34">
        <v>2</v>
      </c>
      <c r="GH34">
        <v>1</v>
      </c>
      <c r="GI34">
        <v>2</v>
      </c>
      <c r="GJ34">
        <v>0</v>
      </c>
      <c r="GK34">
        <v>0</v>
      </c>
      <c r="GL34">
        <f t="shared" si="47"/>
        <v>0</v>
      </c>
      <c r="GM34">
        <f t="shared" si="48"/>
        <v>3716.95</v>
      </c>
      <c r="GN34">
        <f t="shared" si="49"/>
        <v>3716.95</v>
      </c>
      <c r="GO34">
        <f t="shared" si="50"/>
        <v>0</v>
      </c>
      <c r="GP34">
        <f t="shared" si="51"/>
        <v>0</v>
      </c>
      <c r="GR34">
        <v>0</v>
      </c>
      <c r="GS34">
        <v>3</v>
      </c>
      <c r="GT34">
        <v>0</v>
      </c>
      <c r="GU34" t="s">
        <v>3</v>
      </c>
      <c r="GV34">
        <f t="shared" si="52"/>
        <v>0</v>
      </c>
      <c r="GW34">
        <v>1</v>
      </c>
      <c r="GX34">
        <f t="shared" si="53"/>
        <v>0</v>
      </c>
      <c r="HA34">
        <v>0</v>
      </c>
      <c r="HB34">
        <v>0</v>
      </c>
      <c r="HC34">
        <f t="shared" si="54"/>
        <v>0</v>
      </c>
      <c r="HE34" t="s">
        <v>3</v>
      </c>
      <c r="HF34" t="s">
        <v>3</v>
      </c>
      <c r="IK34">
        <v>0</v>
      </c>
    </row>
    <row r="35" spans="1:245" x14ac:dyDescent="0.2">
      <c r="A35">
        <v>17</v>
      </c>
      <c r="B35">
        <v>1</v>
      </c>
      <c r="C35">
        <f>ROW(SmtRes!A38)</f>
        <v>38</v>
      </c>
      <c r="D35">
        <f>ROW(EtalonRes!A41)</f>
        <v>41</v>
      </c>
      <c r="E35" t="s">
        <v>64</v>
      </c>
      <c r="F35" t="s">
        <v>65</v>
      </c>
      <c r="G35" t="s">
        <v>66</v>
      </c>
      <c r="H35" t="s">
        <v>36</v>
      </c>
      <c r="I35">
        <f>ROUND(3.2/100,5)</f>
        <v>3.2000000000000001E-2</v>
      </c>
      <c r="J35">
        <v>0</v>
      </c>
      <c r="O35">
        <f t="shared" si="21"/>
        <v>354.6</v>
      </c>
      <c r="P35">
        <f t="shared" si="22"/>
        <v>0</v>
      </c>
      <c r="Q35">
        <f t="shared" si="23"/>
        <v>2.4900000000000002</v>
      </c>
      <c r="R35">
        <f t="shared" si="24"/>
        <v>0</v>
      </c>
      <c r="S35">
        <f t="shared" si="25"/>
        <v>352.11</v>
      </c>
      <c r="T35">
        <f t="shared" si="26"/>
        <v>0</v>
      </c>
      <c r="U35">
        <f t="shared" si="27"/>
        <v>1.16656</v>
      </c>
      <c r="V35">
        <f t="shared" si="28"/>
        <v>0</v>
      </c>
      <c r="W35">
        <f t="shared" si="29"/>
        <v>0</v>
      </c>
      <c r="X35">
        <f t="shared" si="30"/>
        <v>348.59</v>
      </c>
      <c r="Y35">
        <f t="shared" si="31"/>
        <v>211.27</v>
      </c>
      <c r="AA35">
        <v>68990560</v>
      </c>
      <c r="AB35">
        <f t="shared" si="32"/>
        <v>354.44</v>
      </c>
      <c r="AC35">
        <f t="shared" si="55"/>
        <v>0</v>
      </c>
      <c r="AD35">
        <f>ROUND(((((ET35*1.15))-((EU35*1.15)))+AE35),2)</f>
        <v>27.44</v>
      </c>
      <c r="AE35">
        <f>ROUND(((EU35*1.15)),2)</f>
        <v>0</v>
      </c>
      <c r="AF35">
        <f>ROUND(((EV35*1.15)),2)</f>
        <v>327</v>
      </c>
      <c r="AG35">
        <f t="shared" si="33"/>
        <v>0</v>
      </c>
      <c r="AH35">
        <f>((EW35*1.15))</f>
        <v>36.454999999999998</v>
      </c>
      <c r="AI35">
        <f>((EX35*1.15))</f>
        <v>0</v>
      </c>
      <c r="AJ35">
        <f t="shared" si="34"/>
        <v>0</v>
      </c>
      <c r="AK35">
        <v>308.20999999999998</v>
      </c>
      <c r="AL35">
        <v>0</v>
      </c>
      <c r="AM35">
        <v>23.86</v>
      </c>
      <c r="AN35">
        <v>0</v>
      </c>
      <c r="AO35">
        <v>284.35000000000002</v>
      </c>
      <c r="AP35">
        <v>0</v>
      </c>
      <c r="AQ35">
        <v>31.7</v>
      </c>
      <c r="AR35">
        <v>0</v>
      </c>
      <c r="AS35">
        <v>0</v>
      </c>
      <c r="AT35">
        <v>99</v>
      </c>
      <c r="AU35">
        <v>60</v>
      </c>
      <c r="AV35">
        <v>1</v>
      </c>
      <c r="AW35">
        <v>1</v>
      </c>
      <c r="AZ35">
        <v>1</v>
      </c>
      <c r="BA35">
        <v>33.65</v>
      </c>
      <c r="BB35">
        <v>2.84</v>
      </c>
      <c r="BC35">
        <v>1</v>
      </c>
      <c r="BD35" t="s">
        <v>3</v>
      </c>
      <c r="BE35" t="s">
        <v>3</v>
      </c>
      <c r="BF35" t="s">
        <v>3</v>
      </c>
      <c r="BG35" t="s">
        <v>3</v>
      </c>
      <c r="BH35">
        <v>0</v>
      </c>
      <c r="BI35">
        <v>1</v>
      </c>
      <c r="BJ35" t="s">
        <v>67</v>
      </c>
      <c r="BM35">
        <v>46001</v>
      </c>
      <c r="BN35">
        <v>0</v>
      </c>
      <c r="BO35" t="s">
        <v>65</v>
      </c>
      <c r="BP35">
        <v>1</v>
      </c>
      <c r="BQ35">
        <v>2</v>
      </c>
      <c r="BR35">
        <v>0</v>
      </c>
      <c r="BS35">
        <v>33.65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110</v>
      </c>
      <c r="CA35">
        <v>70</v>
      </c>
      <c r="CE35">
        <v>0</v>
      </c>
      <c r="CF35">
        <v>0</v>
      </c>
      <c r="CG35">
        <v>0</v>
      </c>
      <c r="CM35">
        <v>0</v>
      </c>
      <c r="CN35" t="s">
        <v>1329</v>
      </c>
      <c r="CO35">
        <v>0</v>
      </c>
      <c r="CP35">
        <f t="shared" si="35"/>
        <v>354.6</v>
      </c>
      <c r="CQ35">
        <f t="shared" si="36"/>
        <v>0</v>
      </c>
      <c r="CR35">
        <f t="shared" si="37"/>
        <v>77.929599999999994</v>
      </c>
      <c r="CS35">
        <f t="shared" si="38"/>
        <v>0</v>
      </c>
      <c r="CT35">
        <f t="shared" si="39"/>
        <v>11003.55</v>
      </c>
      <c r="CU35">
        <f t="shared" si="40"/>
        <v>0</v>
      </c>
      <c r="CV35">
        <f t="shared" si="41"/>
        <v>36.454999999999998</v>
      </c>
      <c r="CW35">
        <f t="shared" si="42"/>
        <v>0</v>
      </c>
      <c r="CX35">
        <f t="shared" si="43"/>
        <v>0</v>
      </c>
      <c r="CY35">
        <f t="shared" si="44"/>
        <v>348.58889999999997</v>
      </c>
      <c r="CZ35">
        <f t="shared" si="45"/>
        <v>211.26600000000002</v>
      </c>
      <c r="DC35" t="s">
        <v>3</v>
      </c>
      <c r="DD35" t="s">
        <v>3</v>
      </c>
      <c r="DE35" t="s">
        <v>38</v>
      </c>
      <c r="DF35" t="s">
        <v>38</v>
      </c>
      <c r="DG35" t="s">
        <v>38</v>
      </c>
      <c r="DH35" t="s">
        <v>3</v>
      </c>
      <c r="DI35" t="s">
        <v>38</v>
      </c>
      <c r="DJ35" t="s">
        <v>38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36</v>
      </c>
      <c r="DW35" t="s">
        <v>36</v>
      </c>
      <c r="DX35">
        <v>100</v>
      </c>
      <c r="DZ35" t="s">
        <v>3</v>
      </c>
      <c r="EA35" t="s">
        <v>3</v>
      </c>
      <c r="EB35" t="s">
        <v>3</v>
      </c>
      <c r="EC35" t="s">
        <v>3</v>
      </c>
      <c r="EE35">
        <v>64095094</v>
      </c>
      <c r="EF35">
        <v>2</v>
      </c>
      <c r="EG35" t="s">
        <v>13</v>
      </c>
      <c r="EH35">
        <v>0</v>
      </c>
      <c r="EI35" t="s">
        <v>3</v>
      </c>
      <c r="EJ35">
        <v>1</v>
      </c>
      <c r="EK35">
        <v>46001</v>
      </c>
      <c r="EL35" t="s">
        <v>62</v>
      </c>
      <c r="EM35" t="s">
        <v>63</v>
      </c>
      <c r="EO35" t="s">
        <v>42</v>
      </c>
      <c r="EQ35">
        <v>0</v>
      </c>
      <c r="ER35">
        <v>308.20999999999998</v>
      </c>
      <c r="ES35">
        <v>0</v>
      </c>
      <c r="ET35">
        <v>23.86</v>
      </c>
      <c r="EU35">
        <v>0</v>
      </c>
      <c r="EV35">
        <v>284.35000000000002</v>
      </c>
      <c r="EW35">
        <v>31.7</v>
      </c>
      <c r="EX35">
        <v>0</v>
      </c>
      <c r="EY35">
        <v>0</v>
      </c>
      <c r="FQ35">
        <v>0</v>
      </c>
      <c r="FR35">
        <f t="shared" si="46"/>
        <v>0</v>
      </c>
      <c r="FS35">
        <v>0</v>
      </c>
      <c r="FT35" t="s">
        <v>52</v>
      </c>
      <c r="FU35" t="s">
        <v>53</v>
      </c>
      <c r="FX35">
        <v>99</v>
      </c>
      <c r="FY35">
        <v>59.5</v>
      </c>
      <c r="GA35" t="s">
        <v>3</v>
      </c>
      <c r="GD35">
        <v>1</v>
      </c>
      <c r="GF35">
        <v>248325997</v>
      </c>
      <c r="GG35">
        <v>2</v>
      </c>
      <c r="GH35">
        <v>1</v>
      </c>
      <c r="GI35">
        <v>2</v>
      </c>
      <c r="GJ35">
        <v>0</v>
      </c>
      <c r="GK35">
        <v>0</v>
      </c>
      <c r="GL35">
        <f t="shared" si="47"/>
        <v>0</v>
      </c>
      <c r="GM35">
        <f t="shared" si="48"/>
        <v>914.46</v>
      </c>
      <c r="GN35">
        <f t="shared" si="49"/>
        <v>914.46</v>
      </c>
      <c r="GO35">
        <f t="shared" si="50"/>
        <v>0</v>
      </c>
      <c r="GP35">
        <f t="shared" si="51"/>
        <v>0</v>
      </c>
      <c r="GR35">
        <v>0</v>
      </c>
      <c r="GS35">
        <v>3</v>
      </c>
      <c r="GT35">
        <v>0</v>
      </c>
      <c r="GU35" t="s">
        <v>3</v>
      </c>
      <c r="GV35">
        <f t="shared" si="52"/>
        <v>0</v>
      </c>
      <c r="GW35">
        <v>1</v>
      </c>
      <c r="GX35">
        <f t="shared" si="53"/>
        <v>0</v>
      </c>
      <c r="HA35">
        <v>0</v>
      </c>
      <c r="HB35">
        <v>0</v>
      </c>
      <c r="HC35">
        <f t="shared" si="54"/>
        <v>0</v>
      </c>
      <c r="HE35" t="s">
        <v>3</v>
      </c>
      <c r="HF35" t="s">
        <v>3</v>
      </c>
      <c r="IK35">
        <v>0</v>
      </c>
    </row>
    <row r="36" spans="1:245" x14ac:dyDescent="0.2">
      <c r="A36">
        <v>18</v>
      </c>
      <c r="B36">
        <v>1</v>
      </c>
      <c r="C36">
        <v>38</v>
      </c>
      <c r="E36" t="s">
        <v>68</v>
      </c>
      <c r="F36" t="s">
        <v>69</v>
      </c>
      <c r="G36" t="s">
        <v>70</v>
      </c>
      <c r="H36" t="s">
        <v>71</v>
      </c>
      <c r="I36">
        <f>I35*J36</f>
        <v>4.5440000000000001E-2</v>
      </c>
      <c r="J36">
        <v>1.42</v>
      </c>
      <c r="O36">
        <f t="shared" si="21"/>
        <v>0</v>
      </c>
      <c r="P36">
        <f t="shared" si="22"/>
        <v>0</v>
      </c>
      <c r="Q36">
        <f t="shared" si="23"/>
        <v>0</v>
      </c>
      <c r="R36">
        <f t="shared" si="24"/>
        <v>0</v>
      </c>
      <c r="S36">
        <f t="shared" si="25"/>
        <v>0</v>
      </c>
      <c r="T36">
        <f t="shared" si="26"/>
        <v>0</v>
      </c>
      <c r="U36">
        <f t="shared" si="27"/>
        <v>0</v>
      </c>
      <c r="V36">
        <f t="shared" si="28"/>
        <v>0</v>
      </c>
      <c r="W36">
        <f t="shared" si="29"/>
        <v>0</v>
      </c>
      <c r="X36">
        <f t="shared" si="30"/>
        <v>0</v>
      </c>
      <c r="Y36">
        <f t="shared" si="31"/>
        <v>0</v>
      </c>
      <c r="AA36">
        <v>68990560</v>
      </c>
      <c r="AB36">
        <f t="shared" si="32"/>
        <v>0</v>
      </c>
      <c r="AC36">
        <f t="shared" si="55"/>
        <v>0</v>
      </c>
      <c r="AD36">
        <f>ROUND((((ET36)-(EU36))+AE36),2)</f>
        <v>0</v>
      </c>
      <c r="AE36">
        <f>ROUND((EU36),2)</f>
        <v>0</v>
      </c>
      <c r="AF36">
        <f>ROUND((EV36),2)</f>
        <v>0</v>
      </c>
      <c r="AG36">
        <f t="shared" si="33"/>
        <v>0</v>
      </c>
      <c r="AH36">
        <f>(EW36)</f>
        <v>0</v>
      </c>
      <c r="AI36">
        <f>(EX36)</f>
        <v>0</v>
      </c>
      <c r="AJ36">
        <f t="shared" si="34"/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99</v>
      </c>
      <c r="AU36">
        <v>60</v>
      </c>
      <c r="AV36">
        <v>1</v>
      </c>
      <c r="AW36">
        <v>1</v>
      </c>
      <c r="AZ36">
        <v>1</v>
      </c>
      <c r="BA36">
        <v>1</v>
      </c>
      <c r="BB36">
        <v>1</v>
      </c>
      <c r="BC36">
        <v>1</v>
      </c>
      <c r="BD36" t="s">
        <v>3</v>
      </c>
      <c r="BE36" t="s">
        <v>3</v>
      </c>
      <c r="BF36" t="s">
        <v>3</v>
      </c>
      <c r="BG36" t="s">
        <v>3</v>
      </c>
      <c r="BH36">
        <v>3</v>
      </c>
      <c r="BI36">
        <v>1</v>
      </c>
      <c r="BJ36" t="s">
        <v>3</v>
      </c>
      <c r="BM36">
        <v>46001</v>
      </c>
      <c r="BN36">
        <v>0</v>
      </c>
      <c r="BO36" t="s">
        <v>3</v>
      </c>
      <c r="BP36">
        <v>0</v>
      </c>
      <c r="BQ36">
        <v>2</v>
      </c>
      <c r="BR36">
        <v>0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110</v>
      </c>
      <c r="CA36">
        <v>70</v>
      </c>
      <c r="CE36">
        <v>0</v>
      </c>
      <c r="CF36">
        <v>0</v>
      </c>
      <c r="CG36">
        <v>0</v>
      </c>
      <c r="CM36">
        <v>0</v>
      </c>
      <c r="CN36" t="s">
        <v>3</v>
      </c>
      <c r="CO36">
        <v>0</v>
      </c>
      <c r="CP36">
        <f t="shared" si="35"/>
        <v>0</v>
      </c>
      <c r="CQ36">
        <f t="shared" si="36"/>
        <v>0</v>
      </c>
      <c r="CR36">
        <f t="shared" si="37"/>
        <v>0</v>
      </c>
      <c r="CS36">
        <f t="shared" si="38"/>
        <v>0</v>
      </c>
      <c r="CT36">
        <f t="shared" si="39"/>
        <v>0</v>
      </c>
      <c r="CU36">
        <f t="shared" si="40"/>
        <v>0</v>
      </c>
      <c r="CV36">
        <f t="shared" si="41"/>
        <v>0</v>
      </c>
      <c r="CW36">
        <f t="shared" si="42"/>
        <v>0</v>
      </c>
      <c r="CX36">
        <f t="shared" si="43"/>
        <v>0</v>
      </c>
      <c r="CY36">
        <f t="shared" si="44"/>
        <v>0</v>
      </c>
      <c r="CZ36">
        <f t="shared" si="45"/>
        <v>0</v>
      </c>
      <c r="DC36" t="s">
        <v>3</v>
      </c>
      <c r="DD36" t="s">
        <v>3</v>
      </c>
      <c r="DE36" t="s">
        <v>3</v>
      </c>
      <c r="DF36" t="s">
        <v>3</v>
      </c>
      <c r="DG36" t="s">
        <v>3</v>
      </c>
      <c r="DH36" t="s">
        <v>3</v>
      </c>
      <c r="DI36" t="s">
        <v>3</v>
      </c>
      <c r="DJ36" t="s">
        <v>3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1009</v>
      </c>
      <c r="DV36" t="s">
        <v>71</v>
      </c>
      <c r="DW36" t="s">
        <v>71</v>
      </c>
      <c r="DX36">
        <v>1000</v>
      </c>
      <c r="DZ36" t="s">
        <v>3</v>
      </c>
      <c r="EA36" t="s">
        <v>3</v>
      </c>
      <c r="EB36" t="s">
        <v>3</v>
      </c>
      <c r="EC36" t="s">
        <v>3</v>
      </c>
      <c r="EE36">
        <v>64095094</v>
      </c>
      <c r="EF36">
        <v>2</v>
      </c>
      <c r="EG36" t="s">
        <v>13</v>
      </c>
      <c r="EH36">
        <v>0</v>
      </c>
      <c r="EI36" t="s">
        <v>3</v>
      </c>
      <c r="EJ36">
        <v>1</v>
      </c>
      <c r="EK36">
        <v>46001</v>
      </c>
      <c r="EL36" t="s">
        <v>62</v>
      </c>
      <c r="EM36" t="s">
        <v>63</v>
      </c>
      <c r="EO36" t="s">
        <v>3</v>
      </c>
      <c r="EQ36">
        <v>0</v>
      </c>
      <c r="ER36">
        <v>0</v>
      </c>
      <c r="ES36">
        <v>0</v>
      </c>
      <c r="ET36">
        <v>0</v>
      </c>
      <c r="EU36">
        <v>0</v>
      </c>
      <c r="EV36">
        <v>0</v>
      </c>
      <c r="EW36">
        <v>0</v>
      </c>
      <c r="EX36">
        <v>0</v>
      </c>
      <c r="FQ36">
        <v>0</v>
      </c>
      <c r="FR36">
        <f t="shared" si="46"/>
        <v>0</v>
      </c>
      <c r="FS36">
        <v>0</v>
      </c>
      <c r="FT36" t="s">
        <v>52</v>
      </c>
      <c r="FU36" t="s">
        <v>53</v>
      </c>
      <c r="FX36">
        <v>99</v>
      </c>
      <c r="FY36">
        <v>59.5</v>
      </c>
      <c r="GA36" t="s">
        <v>3</v>
      </c>
      <c r="GD36">
        <v>1</v>
      </c>
      <c r="GF36">
        <v>2102561428</v>
      </c>
      <c r="GG36">
        <v>2</v>
      </c>
      <c r="GH36">
        <v>1</v>
      </c>
      <c r="GI36">
        <v>-2</v>
      </c>
      <c r="GJ36">
        <v>0</v>
      </c>
      <c r="GK36">
        <v>0</v>
      </c>
      <c r="GL36">
        <f t="shared" si="47"/>
        <v>0</v>
      </c>
      <c r="GM36">
        <f t="shared" si="48"/>
        <v>0</v>
      </c>
      <c r="GN36">
        <f t="shared" si="49"/>
        <v>0</v>
      </c>
      <c r="GO36">
        <f t="shared" si="50"/>
        <v>0</v>
      </c>
      <c r="GP36">
        <f t="shared" si="51"/>
        <v>0</v>
      </c>
      <c r="GR36">
        <v>0</v>
      </c>
      <c r="GS36">
        <v>3</v>
      </c>
      <c r="GT36">
        <v>0</v>
      </c>
      <c r="GU36" t="s">
        <v>3</v>
      </c>
      <c r="GV36">
        <f t="shared" si="52"/>
        <v>0</v>
      </c>
      <c r="GW36">
        <v>1</v>
      </c>
      <c r="GX36">
        <f t="shared" si="53"/>
        <v>0</v>
      </c>
      <c r="HA36">
        <v>0</v>
      </c>
      <c r="HB36">
        <v>0</v>
      </c>
      <c r="HC36">
        <f t="shared" si="54"/>
        <v>0</v>
      </c>
      <c r="HE36" t="s">
        <v>3</v>
      </c>
      <c r="HF36" t="s">
        <v>3</v>
      </c>
      <c r="IK36">
        <v>0</v>
      </c>
    </row>
    <row r="37" spans="1:245" x14ac:dyDescent="0.2">
      <c r="A37">
        <v>17</v>
      </c>
      <c r="B37">
        <v>1</v>
      </c>
      <c r="C37">
        <f>ROW(SmtRes!A41)</f>
        <v>41</v>
      </c>
      <c r="D37">
        <f>ROW(EtalonRes!A45)</f>
        <v>45</v>
      </c>
      <c r="E37" t="s">
        <v>72</v>
      </c>
      <c r="F37" t="s">
        <v>73</v>
      </c>
      <c r="G37" t="s">
        <v>74</v>
      </c>
      <c r="H37" t="s">
        <v>36</v>
      </c>
      <c r="I37">
        <f>ROUND(3.2/100,5)</f>
        <v>3.2000000000000001E-2</v>
      </c>
      <c r="J37">
        <v>0</v>
      </c>
      <c r="O37">
        <f t="shared" si="21"/>
        <v>144.38999999999999</v>
      </c>
      <c r="P37">
        <f t="shared" si="22"/>
        <v>0</v>
      </c>
      <c r="Q37">
        <f t="shared" si="23"/>
        <v>1.54</v>
      </c>
      <c r="R37">
        <f t="shared" si="24"/>
        <v>1.51</v>
      </c>
      <c r="S37">
        <f t="shared" si="25"/>
        <v>142.85</v>
      </c>
      <c r="T37">
        <f t="shared" si="26"/>
        <v>0</v>
      </c>
      <c r="U37">
        <f t="shared" si="27"/>
        <v>0.54427199999999998</v>
      </c>
      <c r="V37">
        <f t="shared" si="28"/>
        <v>3.3119999999999998E-3</v>
      </c>
      <c r="W37">
        <f t="shared" si="29"/>
        <v>0</v>
      </c>
      <c r="X37">
        <f t="shared" si="30"/>
        <v>122.71</v>
      </c>
      <c r="Y37">
        <f t="shared" si="31"/>
        <v>115.49</v>
      </c>
      <c r="AA37">
        <v>68990560</v>
      </c>
      <c r="AB37">
        <f t="shared" si="32"/>
        <v>135.88999999999999</v>
      </c>
      <c r="AC37">
        <f t="shared" si="55"/>
        <v>0</v>
      </c>
      <c r="AD37">
        <f>ROUND(((((ET37*1.15))-((EU37*1.15)))+AE37),2)</f>
        <v>3.23</v>
      </c>
      <c r="AE37">
        <f>ROUND(((EU37*1.15)),2)</f>
        <v>1.4</v>
      </c>
      <c r="AF37">
        <f>ROUND(((EV37*1.15)),2)</f>
        <v>132.66</v>
      </c>
      <c r="AG37">
        <f t="shared" si="33"/>
        <v>0</v>
      </c>
      <c r="AH37">
        <f>((EW37*1.15))</f>
        <v>17.008499999999998</v>
      </c>
      <c r="AI37">
        <f>((EX37*1.15))</f>
        <v>0.10349999999999999</v>
      </c>
      <c r="AJ37">
        <f t="shared" si="34"/>
        <v>0</v>
      </c>
      <c r="AK37">
        <v>118.17</v>
      </c>
      <c r="AL37">
        <v>0</v>
      </c>
      <c r="AM37">
        <v>2.81</v>
      </c>
      <c r="AN37">
        <v>1.22</v>
      </c>
      <c r="AO37">
        <v>115.36</v>
      </c>
      <c r="AP37">
        <v>0</v>
      </c>
      <c r="AQ37">
        <v>14.79</v>
      </c>
      <c r="AR37">
        <v>0.09</v>
      </c>
      <c r="AS37">
        <v>0</v>
      </c>
      <c r="AT37">
        <v>85</v>
      </c>
      <c r="AU37">
        <v>80</v>
      </c>
      <c r="AV37">
        <v>1</v>
      </c>
      <c r="AW37">
        <v>1</v>
      </c>
      <c r="AZ37">
        <v>1</v>
      </c>
      <c r="BA37">
        <v>33.65</v>
      </c>
      <c r="BB37">
        <v>14.88</v>
      </c>
      <c r="BC37">
        <v>1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1</v>
      </c>
      <c r="BJ37" t="s">
        <v>75</v>
      </c>
      <c r="BM37">
        <v>54001</v>
      </c>
      <c r="BN37">
        <v>0</v>
      </c>
      <c r="BO37" t="s">
        <v>73</v>
      </c>
      <c r="BP37">
        <v>1</v>
      </c>
      <c r="BQ37">
        <v>6</v>
      </c>
      <c r="BR37">
        <v>0</v>
      </c>
      <c r="BS37">
        <v>33.65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85</v>
      </c>
      <c r="CA37">
        <v>80</v>
      </c>
      <c r="CE37">
        <v>0</v>
      </c>
      <c r="CF37">
        <v>0</v>
      </c>
      <c r="CG37">
        <v>0</v>
      </c>
      <c r="CM37">
        <v>0</v>
      </c>
      <c r="CN37" t="s">
        <v>1329</v>
      </c>
      <c r="CO37">
        <v>0</v>
      </c>
      <c r="CP37">
        <f t="shared" si="35"/>
        <v>144.38999999999999</v>
      </c>
      <c r="CQ37">
        <f t="shared" si="36"/>
        <v>0</v>
      </c>
      <c r="CR37">
        <f t="shared" si="37"/>
        <v>48.062400000000004</v>
      </c>
      <c r="CS37">
        <f t="shared" si="38"/>
        <v>47.109999999999992</v>
      </c>
      <c r="CT37">
        <f t="shared" si="39"/>
        <v>4464.009</v>
      </c>
      <c r="CU37">
        <f t="shared" si="40"/>
        <v>0</v>
      </c>
      <c r="CV37">
        <f t="shared" si="41"/>
        <v>17.008499999999998</v>
      </c>
      <c r="CW37">
        <f t="shared" si="42"/>
        <v>0.10349999999999999</v>
      </c>
      <c r="CX37">
        <f t="shared" si="43"/>
        <v>0</v>
      </c>
      <c r="CY37">
        <f t="shared" si="44"/>
        <v>122.70599999999999</v>
      </c>
      <c r="CZ37">
        <f t="shared" si="45"/>
        <v>115.488</v>
      </c>
      <c r="DC37" t="s">
        <v>3</v>
      </c>
      <c r="DD37" t="s">
        <v>3</v>
      </c>
      <c r="DE37" t="s">
        <v>38</v>
      </c>
      <c r="DF37" t="s">
        <v>38</v>
      </c>
      <c r="DG37" t="s">
        <v>38</v>
      </c>
      <c r="DH37" t="s">
        <v>3</v>
      </c>
      <c r="DI37" t="s">
        <v>38</v>
      </c>
      <c r="DJ37" t="s">
        <v>38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36</v>
      </c>
      <c r="DW37" t="s">
        <v>36</v>
      </c>
      <c r="DX37">
        <v>100</v>
      </c>
      <c r="DZ37" t="s">
        <v>3</v>
      </c>
      <c r="EA37" t="s">
        <v>3</v>
      </c>
      <c r="EB37" t="s">
        <v>3</v>
      </c>
      <c r="EC37" t="s">
        <v>3</v>
      </c>
      <c r="EE37">
        <v>64095102</v>
      </c>
      <c r="EF37">
        <v>6</v>
      </c>
      <c r="EG37" t="s">
        <v>39</v>
      </c>
      <c r="EH37">
        <v>0</v>
      </c>
      <c r="EI37" t="s">
        <v>3</v>
      </c>
      <c r="EJ37">
        <v>1</v>
      </c>
      <c r="EK37">
        <v>54001</v>
      </c>
      <c r="EL37" t="s">
        <v>76</v>
      </c>
      <c r="EM37" t="s">
        <v>77</v>
      </c>
      <c r="EO37" t="s">
        <v>42</v>
      </c>
      <c r="EQ37">
        <v>0</v>
      </c>
      <c r="ER37">
        <v>118.17</v>
      </c>
      <c r="ES37">
        <v>0</v>
      </c>
      <c r="ET37">
        <v>2.81</v>
      </c>
      <c r="EU37">
        <v>1.22</v>
      </c>
      <c r="EV37">
        <v>115.36</v>
      </c>
      <c r="EW37">
        <v>14.79</v>
      </c>
      <c r="EX37">
        <v>0.09</v>
      </c>
      <c r="EY37">
        <v>0</v>
      </c>
      <c r="FQ37">
        <v>0</v>
      </c>
      <c r="FR37">
        <f t="shared" si="46"/>
        <v>0</v>
      </c>
      <c r="FS37">
        <v>0</v>
      </c>
      <c r="FX37">
        <v>85</v>
      </c>
      <c r="FY37">
        <v>80</v>
      </c>
      <c r="GA37" t="s">
        <v>3</v>
      </c>
      <c r="GD37">
        <v>1</v>
      </c>
      <c r="GF37">
        <v>-1595506723</v>
      </c>
      <c r="GG37">
        <v>2</v>
      </c>
      <c r="GH37">
        <v>1</v>
      </c>
      <c r="GI37">
        <v>2</v>
      </c>
      <c r="GJ37">
        <v>0</v>
      </c>
      <c r="GK37">
        <v>0</v>
      </c>
      <c r="GL37">
        <f t="shared" si="47"/>
        <v>0</v>
      </c>
      <c r="GM37">
        <f t="shared" si="48"/>
        <v>382.59</v>
      </c>
      <c r="GN37">
        <f t="shared" si="49"/>
        <v>382.59</v>
      </c>
      <c r="GO37">
        <f t="shared" si="50"/>
        <v>0</v>
      </c>
      <c r="GP37">
        <f t="shared" si="51"/>
        <v>0</v>
      </c>
      <c r="GR37">
        <v>0</v>
      </c>
      <c r="GS37">
        <v>3</v>
      </c>
      <c r="GT37">
        <v>0</v>
      </c>
      <c r="GU37" t="s">
        <v>3</v>
      </c>
      <c r="GV37">
        <f t="shared" si="52"/>
        <v>0</v>
      </c>
      <c r="GW37">
        <v>1</v>
      </c>
      <c r="GX37">
        <f t="shared" si="53"/>
        <v>0</v>
      </c>
      <c r="HA37">
        <v>0</v>
      </c>
      <c r="HB37">
        <v>0</v>
      </c>
      <c r="HC37">
        <f t="shared" si="54"/>
        <v>0</v>
      </c>
      <c r="HE37" t="s">
        <v>3</v>
      </c>
      <c r="HF37" t="s">
        <v>3</v>
      </c>
      <c r="IK37">
        <v>0</v>
      </c>
    </row>
    <row r="38" spans="1:245" x14ac:dyDescent="0.2">
      <c r="A38">
        <v>17</v>
      </c>
      <c r="B38">
        <v>1</v>
      </c>
      <c r="C38">
        <f>ROW(SmtRes!A43)</f>
        <v>43</v>
      </c>
      <c r="D38">
        <f>ROW(EtalonRes!A47)</f>
        <v>47</v>
      </c>
      <c r="E38" t="s">
        <v>78</v>
      </c>
      <c r="F38" t="s">
        <v>79</v>
      </c>
      <c r="G38" t="s">
        <v>80</v>
      </c>
      <c r="H38" t="s">
        <v>36</v>
      </c>
      <c r="I38">
        <f>ROUND(4.2/100,5)</f>
        <v>4.2000000000000003E-2</v>
      </c>
      <c r="J38">
        <v>0</v>
      </c>
      <c r="O38">
        <f t="shared" si="21"/>
        <v>474.5</v>
      </c>
      <c r="P38">
        <f t="shared" si="22"/>
        <v>0</v>
      </c>
      <c r="Q38">
        <f t="shared" si="23"/>
        <v>0</v>
      </c>
      <c r="R38">
        <f t="shared" si="24"/>
        <v>0</v>
      </c>
      <c r="S38">
        <f t="shared" si="25"/>
        <v>474.5</v>
      </c>
      <c r="T38">
        <f t="shared" si="26"/>
        <v>0</v>
      </c>
      <c r="U38">
        <f t="shared" si="27"/>
        <v>1.666833</v>
      </c>
      <c r="V38">
        <f t="shared" si="28"/>
        <v>0</v>
      </c>
      <c r="W38">
        <f t="shared" si="29"/>
        <v>0</v>
      </c>
      <c r="X38">
        <f t="shared" si="30"/>
        <v>365.37</v>
      </c>
      <c r="Y38">
        <f t="shared" si="31"/>
        <v>237.25</v>
      </c>
      <c r="AA38">
        <v>68990560</v>
      </c>
      <c r="AB38">
        <f t="shared" si="32"/>
        <v>335.74</v>
      </c>
      <c r="AC38">
        <f t="shared" si="55"/>
        <v>0</v>
      </c>
      <c r="AD38">
        <f>ROUND(((((ET38*1.15))-((EU38*1.15)))+AE38),2)</f>
        <v>0</v>
      </c>
      <c r="AE38">
        <f>ROUND(((EU38*1.15)),2)</f>
        <v>0</v>
      </c>
      <c r="AF38">
        <f>ROUND(((EV38*1.15)),2)</f>
        <v>335.74</v>
      </c>
      <c r="AG38">
        <f t="shared" si="33"/>
        <v>0</v>
      </c>
      <c r="AH38">
        <f>((EW38*1.15))</f>
        <v>39.686499999999995</v>
      </c>
      <c r="AI38">
        <f>((EX38*1.15))</f>
        <v>0</v>
      </c>
      <c r="AJ38">
        <f t="shared" si="34"/>
        <v>0</v>
      </c>
      <c r="AK38">
        <v>291.95</v>
      </c>
      <c r="AL38">
        <v>0</v>
      </c>
      <c r="AM38">
        <v>0</v>
      </c>
      <c r="AN38">
        <v>0</v>
      </c>
      <c r="AO38">
        <v>291.95</v>
      </c>
      <c r="AP38">
        <v>0</v>
      </c>
      <c r="AQ38">
        <v>34.51</v>
      </c>
      <c r="AR38">
        <v>0</v>
      </c>
      <c r="AS38">
        <v>0</v>
      </c>
      <c r="AT38">
        <v>77</v>
      </c>
      <c r="AU38">
        <v>50</v>
      </c>
      <c r="AV38">
        <v>1</v>
      </c>
      <c r="AW38">
        <v>1</v>
      </c>
      <c r="AZ38">
        <v>1</v>
      </c>
      <c r="BA38">
        <v>33.65</v>
      </c>
      <c r="BB38">
        <v>1</v>
      </c>
      <c r="BC38">
        <v>1</v>
      </c>
      <c r="BD38" t="s">
        <v>3</v>
      </c>
      <c r="BE38" t="s">
        <v>3</v>
      </c>
      <c r="BF38" t="s">
        <v>3</v>
      </c>
      <c r="BG38" t="s">
        <v>3</v>
      </c>
      <c r="BH38">
        <v>0</v>
      </c>
      <c r="BI38">
        <v>1</v>
      </c>
      <c r="BJ38" t="s">
        <v>81</v>
      </c>
      <c r="BM38">
        <v>63001</v>
      </c>
      <c r="BN38">
        <v>0</v>
      </c>
      <c r="BO38" t="s">
        <v>79</v>
      </c>
      <c r="BP38">
        <v>1</v>
      </c>
      <c r="BQ38">
        <v>6</v>
      </c>
      <c r="BR38">
        <v>0</v>
      </c>
      <c r="BS38">
        <v>33.65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77</v>
      </c>
      <c r="CA38">
        <v>50</v>
      </c>
      <c r="CE38">
        <v>0</v>
      </c>
      <c r="CF38">
        <v>0</v>
      </c>
      <c r="CG38">
        <v>0</v>
      </c>
      <c r="CM38">
        <v>0</v>
      </c>
      <c r="CN38" t="s">
        <v>1329</v>
      </c>
      <c r="CO38">
        <v>0</v>
      </c>
      <c r="CP38">
        <f t="shared" si="35"/>
        <v>474.5</v>
      </c>
      <c r="CQ38">
        <f t="shared" si="36"/>
        <v>0</v>
      </c>
      <c r="CR38">
        <f t="shared" si="37"/>
        <v>0</v>
      </c>
      <c r="CS38">
        <f t="shared" si="38"/>
        <v>0</v>
      </c>
      <c r="CT38">
        <f t="shared" si="39"/>
        <v>11297.651</v>
      </c>
      <c r="CU38">
        <f t="shared" si="40"/>
        <v>0</v>
      </c>
      <c r="CV38">
        <f t="shared" si="41"/>
        <v>39.686499999999995</v>
      </c>
      <c r="CW38">
        <f t="shared" si="42"/>
        <v>0</v>
      </c>
      <c r="CX38">
        <f t="shared" si="43"/>
        <v>0</v>
      </c>
      <c r="CY38">
        <f t="shared" si="44"/>
        <v>365.36500000000001</v>
      </c>
      <c r="CZ38">
        <f t="shared" si="45"/>
        <v>237.25</v>
      </c>
      <c r="DC38" t="s">
        <v>3</v>
      </c>
      <c r="DD38" t="s">
        <v>3</v>
      </c>
      <c r="DE38" t="s">
        <v>38</v>
      </c>
      <c r="DF38" t="s">
        <v>38</v>
      </c>
      <c r="DG38" t="s">
        <v>38</v>
      </c>
      <c r="DH38" t="s">
        <v>3</v>
      </c>
      <c r="DI38" t="s">
        <v>38</v>
      </c>
      <c r="DJ38" t="s">
        <v>38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1005</v>
      </c>
      <c r="DV38" t="s">
        <v>36</v>
      </c>
      <c r="DW38" t="s">
        <v>36</v>
      </c>
      <c r="DX38">
        <v>100</v>
      </c>
      <c r="DZ38" t="s">
        <v>3</v>
      </c>
      <c r="EA38" t="s">
        <v>3</v>
      </c>
      <c r="EB38" t="s">
        <v>3</v>
      </c>
      <c r="EC38" t="s">
        <v>3</v>
      </c>
      <c r="EE38">
        <v>64095111</v>
      </c>
      <c r="EF38">
        <v>6</v>
      </c>
      <c r="EG38" t="s">
        <v>39</v>
      </c>
      <c r="EH38">
        <v>0</v>
      </c>
      <c r="EI38" t="s">
        <v>3</v>
      </c>
      <c r="EJ38">
        <v>1</v>
      </c>
      <c r="EK38">
        <v>63001</v>
      </c>
      <c r="EL38" t="s">
        <v>82</v>
      </c>
      <c r="EM38" t="s">
        <v>83</v>
      </c>
      <c r="EO38" t="s">
        <v>42</v>
      </c>
      <c r="EQ38">
        <v>0</v>
      </c>
      <c r="ER38">
        <v>291.95</v>
      </c>
      <c r="ES38">
        <v>0</v>
      </c>
      <c r="ET38">
        <v>0</v>
      </c>
      <c r="EU38">
        <v>0</v>
      </c>
      <c r="EV38">
        <v>291.95</v>
      </c>
      <c r="EW38">
        <v>34.51</v>
      </c>
      <c r="EX38">
        <v>0</v>
      </c>
      <c r="EY38">
        <v>0</v>
      </c>
      <c r="FQ38">
        <v>0</v>
      </c>
      <c r="FR38">
        <f t="shared" si="46"/>
        <v>0</v>
      </c>
      <c r="FS38">
        <v>0</v>
      </c>
      <c r="FX38">
        <v>77</v>
      </c>
      <c r="FY38">
        <v>50</v>
      </c>
      <c r="GA38" t="s">
        <v>3</v>
      </c>
      <c r="GD38">
        <v>1</v>
      </c>
      <c r="GF38">
        <v>466343886</v>
      </c>
      <c r="GG38">
        <v>2</v>
      </c>
      <c r="GH38">
        <v>1</v>
      </c>
      <c r="GI38">
        <v>2</v>
      </c>
      <c r="GJ38">
        <v>0</v>
      </c>
      <c r="GK38">
        <v>0</v>
      </c>
      <c r="GL38">
        <f t="shared" si="47"/>
        <v>0</v>
      </c>
      <c r="GM38">
        <f t="shared" si="48"/>
        <v>1077.1199999999999</v>
      </c>
      <c r="GN38">
        <f t="shared" si="49"/>
        <v>1077.1199999999999</v>
      </c>
      <c r="GO38">
        <f t="shared" si="50"/>
        <v>0</v>
      </c>
      <c r="GP38">
        <f t="shared" si="51"/>
        <v>0</v>
      </c>
      <c r="GR38">
        <v>0</v>
      </c>
      <c r="GS38">
        <v>3</v>
      </c>
      <c r="GT38">
        <v>0</v>
      </c>
      <c r="GU38" t="s">
        <v>3</v>
      </c>
      <c r="GV38">
        <f t="shared" si="52"/>
        <v>0</v>
      </c>
      <c r="GW38">
        <v>1</v>
      </c>
      <c r="GX38">
        <f t="shared" si="53"/>
        <v>0</v>
      </c>
      <c r="HA38">
        <v>0</v>
      </c>
      <c r="HB38">
        <v>0</v>
      </c>
      <c r="HC38">
        <f t="shared" si="54"/>
        <v>0</v>
      </c>
      <c r="HE38" t="s">
        <v>3</v>
      </c>
      <c r="HF38" t="s">
        <v>3</v>
      </c>
      <c r="IK38">
        <v>0</v>
      </c>
    </row>
    <row r="39" spans="1:245" x14ac:dyDescent="0.2">
      <c r="A39">
        <v>18</v>
      </c>
      <c r="B39">
        <v>1</v>
      </c>
      <c r="C39">
        <v>43</v>
      </c>
      <c r="E39" t="s">
        <v>84</v>
      </c>
      <c r="F39" t="s">
        <v>85</v>
      </c>
      <c r="G39" t="s">
        <v>86</v>
      </c>
      <c r="H39" t="s">
        <v>71</v>
      </c>
      <c r="I39">
        <f>I38*J39</f>
        <v>1.4952E-2</v>
      </c>
      <c r="J39">
        <v>0.35599999999999998</v>
      </c>
      <c r="O39">
        <f t="shared" si="21"/>
        <v>0</v>
      </c>
      <c r="P39">
        <f t="shared" si="22"/>
        <v>0</v>
      </c>
      <c r="Q39">
        <f t="shared" si="23"/>
        <v>0</v>
      </c>
      <c r="R39">
        <f t="shared" si="24"/>
        <v>0</v>
      </c>
      <c r="S39">
        <f t="shared" si="25"/>
        <v>0</v>
      </c>
      <c r="T39">
        <f t="shared" si="26"/>
        <v>0</v>
      </c>
      <c r="U39">
        <f t="shared" si="27"/>
        <v>0</v>
      </c>
      <c r="V39">
        <f t="shared" si="28"/>
        <v>0</v>
      </c>
      <c r="W39">
        <f t="shared" si="29"/>
        <v>0</v>
      </c>
      <c r="X39">
        <f t="shared" si="30"/>
        <v>0</v>
      </c>
      <c r="Y39">
        <f t="shared" si="31"/>
        <v>0</v>
      </c>
      <c r="AA39">
        <v>68990560</v>
      </c>
      <c r="AB39">
        <f t="shared" si="32"/>
        <v>0</v>
      </c>
      <c r="AC39">
        <f t="shared" si="55"/>
        <v>0</v>
      </c>
      <c r="AD39">
        <f>ROUND((((ET39)-(EU39))+AE39),2)</f>
        <v>0</v>
      </c>
      <c r="AE39">
        <f>ROUND((EU39),2)</f>
        <v>0</v>
      </c>
      <c r="AF39">
        <f>ROUND((EV39),2)</f>
        <v>0</v>
      </c>
      <c r="AG39">
        <f t="shared" si="33"/>
        <v>0</v>
      </c>
      <c r="AH39">
        <f>(EW39)</f>
        <v>0</v>
      </c>
      <c r="AI39">
        <f>(EX39)</f>
        <v>0</v>
      </c>
      <c r="AJ39">
        <f t="shared" si="34"/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77</v>
      </c>
      <c r="AU39">
        <v>50</v>
      </c>
      <c r="AV39">
        <v>1</v>
      </c>
      <c r="AW39">
        <v>1</v>
      </c>
      <c r="AZ39">
        <v>1</v>
      </c>
      <c r="BA39">
        <v>1</v>
      </c>
      <c r="BB39">
        <v>1</v>
      </c>
      <c r="BC39">
        <v>1</v>
      </c>
      <c r="BD39" t="s">
        <v>3</v>
      </c>
      <c r="BE39" t="s">
        <v>3</v>
      </c>
      <c r="BF39" t="s">
        <v>3</v>
      </c>
      <c r="BG39" t="s">
        <v>3</v>
      </c>
      <c r="BH39">
        <v>3</v>
      </c>
      <c r="BI39">
        <v>1</v>
      </c>
      <c r="BJ39" t="s">
        <v>3</v>
      </c>
      <c r="BM39">
        <v>63001</v>
      </c>
      <c r="BN39">
        <v>0</v>
      </c>
      <c r="BO39" t="s">
        <v>3</v>
      </c>
      <c r="BP39">
        <v>0</v>
      </c>
      <c r="BQ39">
        <v>6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77</v>
      </c>
      <c r="CA39">
        <v>50</v>
      </c>
      <c r="CE39">
        <v>0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35"/>
        <v>0</v>
      </c>
      <c r="CQ39">
        <f t="shared" si="36"/>
        <v>0</v>
      </c>
      <c r="CR39">
        <f t="shared" si="37"/>
        <v>0</v>
      </c>
      <c r="CS39">
        <f t="shared" si="38"/>
        <v>0</v>
      </c>
      <c r="CT39">
        <f t="shared" si="39"/>
        <v>0</v>
      </c>
      <c r="CU39">
        <f t="shared" si="40"/>
        <v>0</v>
      </c>
      <c r="CV39">
        <f t="shared" si="41"/>
        <v>0</v>
      </c>
      <c r="CW39">
        <f t="shared" si="42"/>
        <v>0</v>
      </c>
      <c r="CX39">
        <f t="shared" si="43"/>
        <v>0</v>
      </c>
      <c r="CY39">
        <f t="shared" si="44"/>
        <v>0</v>
      </c>
      <c r="CZ39">
        <f t="shared" si="45"/>
        <v>0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1009</v>
      </c>
      <c r="DV39" t="s">
        <v>71</v>
      </c>
      <c r="DW39" t="s">
        <v>71</v>
      </c>
      <c r="DX39">
        <v>1000</v>
      </c>
      <c r="DZ39" t="s">
        <v>3</v>
      </c>
      <c r="EA39" t="s">
        <v>3</v>
      </c>
      <c r="EB39" t="s">
        <v>3</v>
      </c>
      <c r="EC39" t="s">
        <v>3</v>
      </c>
      <c r="EE39">
        <v>64095111</v>
      </c>
      <c r="EF39">
        <v>6</v>
      </c>
      <c r="EG39" t="s">
        <v>39</v>
      </c>
      <c r="EH39">
        <v>0</v>
      </c>
      <c r="EI39" t="s">
        <v>3</v>
      </c>
      <c r="EJ39">
        <v>1</v>
      </c>
      <c r="EK39">
        <v>63001</v>
      </c>
      <c r="EL39" t="s">
        <v>82</v>
      </c>
      <c r="EM39" t="s">
        <v>83</v>
      </c>
      <c r="EO39" t="s">
        <v>3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46"/>
        <v>0</v>
      </c>
      <c r="FS39">
        <v>0</v>
      </c>
      <c r="FX39">
        <v>77</v>
      </c>
      <c r="FY39">
        <v>50</v>
      </c>
      <c r="GA39" t="s">
        <v>3</v>
      </c>
      <c r="GD39">
        <v>1</v>
      </c>
      <c r="GF39">
        <v>-1296435862</v>
      </c>
      <c r="GG39">
        <v>2</v>
      </c>
      <c r="GH39">
        <v>1</v>
      </c>
      <c r="GI39">
        <v>-2</v>
      </c>
      <c r="GJ39">
        <v>0</v>
      </c>
      <c r="GK39">
        <v>0</v>
      </c>
      <c r="GL39">
        <f t="shared" si="47"/>
        <v>0</v>
      </c>
      <c r="GM39">
        <f t="shared" si="48"/>
        <v>0</v>
      </c>
      <c r="GN39">
        <f t="shared" si="49"/>
        <v>0</v>
      </c>
      <c r="GO39">
        <f t="shared" si="50"/>
        <v>0</v>
      </c>
      <c r="GP39">
        <f t="shared" si="51"/>
        <v>0</v>
      </c>
      <c r="GR39">
        <v>0</v>
      </c>
      <c r="GS39">
        <v>3</v>
      </c>
      <c r="GT39">
        <v>0</v>
      </c>
      <c r="GU39" t="s">
        <v>3</v>
      </c>
      <c r="GV39">
        <f t="shared" si="52"/>
        <v>0</v>
      </c>
      <c r="GW39">
        <v>1</v>
      </c>
      <c r="GX39">
        <f t="shared" si="53"/>
        <v>0</v>
      </c>
      <c r="HA39">
        <v>0</v>
      </c>
      <c r="HB39">
        <v>0</v>
      </c>
      <c r="HC39">
        <f t="shared" si="54"/>
        <v>0</v>
      </c>
      <c r="HE39" t="s">
        <v>3</v>
      </c>
      <c r="HF39" t="s">
        <v>3</v>
      </c>
      <c r="IK39">
        <v>0</v>
      </c>
    </row>
    <row r="40" spans="1:245" x14ac:dyDescent="0.2">
      <c r="A40">
        <v>17</v>
      </c>
      <c r="B40">
        <v>1</v>
      </c>
      <c r="C40">
        <f>ROW(SmtRes!A45)</f>
        <v>45</v>
      </c>
      <c r="D40">
        <f>ROW(EtalonRes!A49)</f>
        <v>49</v>
      </c>
      <c r="E40" t="s">
        <v>87</v>
      </c>
      <c r="F40" t="s">
        <v>88</v>
      </c>
      <c r="G40" t="s">
        <v>89</v>
      </c>
      <c r="H40" t="s">
        <v>90</v>
      </c>
      <c r="I40">
        <f>ROUND(1.9/100,5)</f>
        <v>1.9E-2</v>
      </c>
      <c r="J40">
        <v>0</v>
      </c>
      <c r="O40">
        <f t="shared" si="21"/>
        <v>21.62</v>
      </c>
      <c r="P40">
        <f t="shared" si="22"/>
        <v>0</v>
      </c>
      <c r="Q40">
        <f t="shared" si="23"/>
        <v>0</v>
      </c>
      <c r="R40">
        <f t="shared" si="24"/>
        <v>0</v>
      </c>
      <c r="S40">
        <f t="shared" si="25"/>
        <v>21.62</v>
      </c>
      <c r="T40">
        <f t="shared" si="26"/>
        <v>0</v>
      </c>
      <c r="U40">
        <f t="shared" si="27"/>
        <v>8.2374499999999989E-2</v>
      </c>
      <c r="V40">
        <f t="shared" si="28"/>
        <v>0</v>
      </c>
      <c r="W40">
        <f t="shared" si="29"/>
        <v>0</v>
      </c>
      <c r="X40">
        <f t="shared" si="30"/>
        <v>17.3</v>
      </c>
      <c r="Y40">
        <f t="shared" si="31"/>
        <v>14.7</v>
      </c>
      <c r="AA40">
        <v>68990560</v>
      </c>
      <c r="AB40">
        <f t="shared" si="32"/>
        <v>33.82</v>
      </c>
      <c r="AC40">
        <f t="shared" si="55"/>
        <v>0</v>
      </c>
      <c r="AD40">
        <f>ROUND(((((ET40*1.15))-((EU40*1.15)))+AE40),2)</f>
        <v>0</v>
      </c>
      <c r="AE40">
        <f>ROUND(((EU40*1.15)),2)</f>
        <v>0</v>
      </c>
      <c r="AF40">
        <f>ROUND(((EV40*1.15)),2)</f>
        <v>33.82</v>
      </c>
      <c r="AG40">
        <f t="shared" si="33"/>
        <v>0</v>
      </c>
      <c r="AH40">
        <f>((EW40*1.15))</f>
        <v>4.3354999999999997</v>
      </c>
      <c r="AI40">
        <f>((EX40*1.15))</f>
        <v>0</v>
      </c>
      <c r="AJ40">
        <f t="shared" si="34"/>
        <v>0</v>
      </c>
      <c r="AK40">
        <v>29.41</v>
      </c>
      <c r="AL40">
        <v>0</v>
      </c>
      <c r="AM40">
        <v>0</v>
      </c>
      <c r="AN40">
        <v>0</v>
      </c>
      <c r="AO40">
        <v>29.41</v>
      </c>
      <c r="AP40">
        <v>0</v>
      </c>
      <c r="AQ40">
        <v>3.77</v>
      </c>
      <c r="AR40">
        <v>0</v>
      </c>
      <c r="AS40">
        <v>0</v>
      </c>
      <c r="AT40">
        <v>80</v>
      </c>
      <c r="AU40">
        <v>68</v>
      </c>
      <c r="AV40">
        <v>1</v>
      </c>
      <c r="AW40">
        <v>1</v>
      </c>
      <c r="AZ40">
        <v>1</v>
      </c>
      <c r="BA40">
        <v>33.65</v>
      </c>
      <c r="BB40">
        <v>1</v>
      </c>
      <c r="BC40">
        <v>1</v>
      </c>
      <c r="BD40" t="s">
        <v>3</v>
      </c>
      <c r="BE40" t="s">
        <v>3</v>
      </c>
      <c r="BF40" t="s">
        <v>3</v>
      </c>
      <c r="BG40" t="s">
        <v>3</v>
      </c>
      <c r="BH40">
        <v>0</v>
      </c>
      <c r="BI40">
        <v>1</v>
      </c>
      <c r="BJ40" t="s">
        <v>91</v>
      </c>
      <c r="BM40">
        <v>57001</v>
      </c>
      <c r="BN40">
        <v>0</v>
      </c>
      <c r="BO40" t="s">
        <v>88</v>
      </c>
      <c r="BP40">
        <v>1</v>
      </c>
      <c r="BQ40">
        <v>6</v>
      </c>
      <c r="BR40">
        <v>0</v>
      </c>
      <c r="BS40">
        <v>33.65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80</v>
      </c>
      <c r="CA40">
        <v>68</v>
      </c>
      <c r="CE40">
        <v>0</v>
      </c>
      <c r="CF40">
        <v>0</v>
      </c>
      <c r="CG40">
        <v>0</v>
      </c>
      <c r="CM40">
        <v>0</v>
      </c>
      <c r="CN40" t="s">
        <v>1329</v>
      </c>
      <c r="CO40">
        <v>0</v>
      </c>
      <c r="CP40">
        <f t="shared" si="35"/>
        <v>21.62</v>
      </c>
      <c r="CQ40">
        <f t="shared" si="36"/>
        <v>0</v>
      </c>
      <c r="CR40">
        <f t="shared" si="37"/>
        <v>0</v>
      </c>
      <c r="CS40">
        <f t="shared" si="38"/>
        <v>0</v>
      </c>
      <c r="CT40">
        <f t="shared" si="39"/>
        <v>1138.0429999999999</v>
      </c>
      <c r="CU40">
        <f t="shared" si="40"/>
        <v>0</v>
      </c>
      <c r="CV40">
        <f t="shared" si="41"/>
        <v>4.3354999999999997</v>
      </c>
      <c r="CW40">
        <f t="shared" si="42"/>
        <v>0</v>
      </c>
      <c r="CX40">
        <f t="shared" si="43"/>
        <v>0</v>
      </c>
      <c r="CY40">
        <f t="shared" si="44"/>
        <v>17.296000000000003</v>
      </c>
      <c r="CZ40">
        <f t="shared" si="45"/>
        <v>14.701600000000001</v>
      </c>
      <c r="DC40" t="s">
        <v>3</v>
      </c>
      <c r="DD40" t="s">
        <v>3</v>
      </c>
      <c r="DE40" t="s">
        <v>38</v>
      </c>
      <c r="DF40" t="s">
        <v>38</v>
      </c>
      <c r="DG40" t="s">
        <v>38</v>
      </c>
      <c r="DH40" t="s">
        <v>3</v>
      </c>
      <c r="DI40" t="s">
        <v>38</v>
      </c>
      <c r="DJ40" t="s">
        <v>38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1003</v>
      </c>
      <c r="DV40" t="s">
        <v>90</v>
      </c>
      <c r="DW40" t="s">
        <v>90</v>
      </c>
      <c r="DX40">
        <v>100</v>
      </c>
      <c r="DZ40" t="s">
        <v>3</v>
      </c>
      <c r="EA40" t="s">
        <v>3</v>
      </c>
      <c r="EB40" t="s">
        <v>3</v>
      </c>
      <c r="EC40" t="s">
        <v>3</v>
      </c>
      <c r="EE40">
        <v>64095105</v>
      </c>
      <c r="EF40">
        <v>6</v>
      </c>
      <c r="EG40" t="s">
        <v>39</v>
      </c>
      <c r="EH40">
        <v>0</v>
      </c>
      <c r="EI40" t="s">
        <v>3</v>
      </c>
      <c r="EJ40">
        <v>1</v>
      </c>
      <c r="EK40">
        <v>57001</v>
      </c>
      <c r="EL40" t="s">
        <v>92</v>
      </c>
      <c r="EM40" t="s">
        <v>93</v>
      </c>
      <c r="EO40" t="s">
        <v>42</v>
      </c>
      <c r="EQ40">
        <v>0</v>
      </c>
      <c r="ER40">
        <v>29.41</v>
      </c>
      <c r="ES40">
        <v>0</v>
      </c>
      <c r="ET40">
        <v>0</v>
      </c>
      <c r="EU40">
        <v>0</v>
      </c>
      <c r="EV40">
        <v>29.41</v>
      </c>
      <c r="EW40">
        <v>3.77</v>
      </c>
      <c r="EX40">
        <v>0</v>
      </c>
      <c r="EY40">
        <v>0</v>
      </c>
      <c r="FQ40">
        <v>0</v>
      </c>
      <c r="FR40">
        <f t="shared" si="46"/>
        <v>0</v>
      </c>
      <c r="FS40">
        <v>0</v>
      </c>
      <c r="FX40">
        <v>80</v>
      </c>
      <c r="FY40">
        <v>68</v>
      </c>
      <c r="GA40" t="s">
        <v>3</v>
      </c>
      <c r="GD40">
        <v>1</v>
      </c>
      <c r="GF40">
        <v>56778636</v>
      </c>
      <c r="GG40">
        <v>2</v>
      </c>
      <c r="GH40">
        <v>1</v>
      </c>
      <c r="GI40">
        <v>2</v>
      </c>
      <c r="GJ40">
        <v>0</v>
      </c>
      <c r="GK40">
        <v>0</v>
      </c>
      <c r="GL40">
        <f t="shared" si="47"/>
        <v>0</v>
      </c>
      <c r="GM40">
        <f t="shared" si="48"/>
        <v>53.62</v>
      </c>
      <c r="GN40">
        <f t="shared" si="49"/>
        <v>53.62</v>
      </c>
      <c r="GO40">
        <f t="shared" si="50"/>
        <v>0</v>
      </c>
      <c r="GP40">
        <f t="shared" si="51"/>
        <v>0</v>
      </c>
      <c r="GR40">
        <v>0</v>
      </c>
      <c r="GS40">
        <v>3</v>
      </c>
      <c r="GT40">
        <v>0</v>
      </c>
      <c r="GU40" t="s">
        <v>3</v>
      </c>
      <c r="GV40">
        <f t="shared" si="52"/>
        <v>0</v>
      </c>
      <c r="GW40">
        <v>1</v>
      </c>
      <c r="GX40">
        <f t="shared" si="53"/>
        <v>0</v>
      </c>
      <c r="HA40">
        <v>0</v>
      </c>
      <c r="HB40">
        <v>0</v>
      </c>
      <c r="HC40">
        <f t="shared" si="54"/>
        <v>0</v>
      </c>
      <c r="HE40" t="s">
        <v>3</v>
      </c>
      <c r="HF40" t="s">
        <v>3</v>
      </c>
      <c r="IK40">
        <v>0</v>
      </c>
    </row>
    <row r="41" spans="1:245" x14ac:dyDescent="0.2">
      <c r="A41">
        <v>18</v>
      </c>
      <c r="B41">
        <v>1</v>
      </c>
      <c r="C41">
        <v>45</v>
      </c>
      <c r="E41" t="s">
        <v>94</v>
      </c>
      <c r="F41" t="s">
        <v>69</v>
      </c>
      <c r="G41" t="s">
        <v>70</v>
      </c>
      <c r="H41" t="s">
        <v>71</v>
      </c>
      <c r="I41">
        <f>I40*J41</f>
        <v>2.0899999999999998E-3</v>
      </c>
      <c r="J41">
        <v>0.11</v>
      </c>
      <c r="O41">
        <f t="shared" si="21"/>
        <v>0</v>
      </c>
      <c r="P41">
        <f t="shared" si="22"/>
        <v>0</v>
      </c>
      <c r="Q41">
        <f t="shared" si="23"/>
        <v>0</v>
      </c>
      <c r="R41">
        <f t="shared" si="24"/>
        <v>0</v>
      </c>
      <c r="S41">
        <f t="shared" si="25"/>
        <v>0</v>
      </c>
      <c r="T41">
        <f t="shared" si="26"/>
        <v>0</v>
      </c>
      <c r="U41">
        <f t="shared" si="27"/>
        <v>0</v>
      </c>
      <c r="V41">
        <f t="shared" si="28"/>
        <v>0</v>
      </c>
      <c r="W41">
        <f t="shared" si="29"/>
        <v>0</v>
      </c>
      <c r="X41">
        <f t="shared" si="30"/>
        <v>0</v>
      </c>
      <c r="Y41">
        <f t="shared" si="31"/>
        <v>0</v>
      </c>
      <c r="AA41">
        <v>68990560</v>
      </c>
      <c r="AB41">
        <f t="shared" si="32"/>
        <v>0</v>
      </c>
      <c r="AC41">
        <f t="shared" si="55"/>
        <v>0</v>
      </c>
      <c r="AD41">
        <f>ROUND((((ET41)-(EU41))+AE41),2)</f>
        <v>0</v>
      </c>
      <c r="AE41">
        <f>ROUND((EU41),2)</f>
        <v>0</v>
      </c>
      <c r="AF41">
        <f>ROUND((EV41),2)</f>
        <v>0</v>
      </c>
      <c r="AG41">
        <f t="shared" si="33"/>
        <v>0</v>
      </c>
      <c r="AH41">
        <f>(EW41)</f>
        <v>0</v>
      </c>
      <c r="AI41">
        <f>(EX41)</f>
        <v>0</v>
      </c>
      <c r="AJ41">
        <f t="shared" si="34"/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80</v>
      </c>
      <c r="AU41">
        <v>68</v>
      </c>
      <c r="AV41">
        <v>1</v>
      </c>
      <c r="AW41">
        <v>1</v>
      </c>
      <c r="AZ41">
        <v>1</v>
      </c>
      <c r="BA41">
        <v>1</v>
      </c>
      <c r="BB41">
        <v>1</v>
      </c>
      <c r="BC41">
        <v>1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1</v>
      </c>
      <c r="BJ41" t="s">
        <v>3</v>
      </c>
      <c r="BM41">
        <v>57001</v>
      </c>
      <c r="BN41">
        <v>0</v>
      </c>
      <c r="BO41" t="s">
        <v>3</v>
      </c>
      <c r="BP41">
        <v>0</v>
      </c>
      <c r="BQ41">
        <v>6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80</v>
      </c>
      <c r="CA41">
        <v>68</v>
      </c>
      <c r="CE41">
        <v>0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35"/>
        <v>0</v>
      </c>
      <c r="CQ41">
        <f t="shared" si="36"/>
        <v>0</v>
      </c>
      <c r="CR41">
        <f t="shared" si="37"/>
        <v>0</v>
      </c>
      <c r="CS41">
        <f t="shared" si="38"/>
        <v>0</v>
      </c>
      <c r="CT41">
        <f t="shared" si="39"/>
        <v>0</v>
      </c>
      <c r="CU41">
        <f t="shared" si="40"/>
        <v>0</v>
      </c>
      <c r="CV41">
        <f t="shared" si="41"/>
        <v>0</v>
      </c>
      <c r="CW41">
        <f t="shared" si="42"/>
        <v>0</v>
      </c>
      <c r="CX41">
        <f t="shared" si="43"/>
        <v>0</v>
      </c>
      <c r="CY41">
        <f t="shared" si="44"/>
        <v>0</v>
      </c>
      <c r="CZ41">
        <f t="shared" si="45"/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1009</v>
      </c>
      <c r="DV41" t="s">
        <v>71</v>
      </c>
      <c r="DW41" t="s">
        <v>71</v>
      </c>
      <c r="DX41">
        <v>1000</v>
      </c>
      <c r="DZ41" t="s">
        <v>3</v>
      </c>
      <c r="EA41" t="s">
        <v>3</v>
      </c>
      <c r="EB41" t="s">
        <v>3</v>
      </c>
      <c r="EC41" t="s">
        <v>3</v>
      </c>
      <c r="EE41">
        <v>64095105</v>
      </c>
      <c r="EF41">
        <v>6</v>
      </c>
      <c r="EG41" t="s">
        <v>39</v>
      </c>
      <c r="EH41">
        <v>0</v>
      </c>
      <c r="EI41" t="s">
        <v>3</v>
      </c>
      <c r="EJ41">
        <v>1</v>
      </c>
      <c r="EK41">
        <v>57001</v>
      </c>
      <c r="EL41" t="s">
        <v>92</v>
      </c>
      <c r="EM41" t="s">
        <v>93</v>
      </c>
      <c r="EO41" t="s">
        <v>3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46"/>
        <v>0</v>
      </c>
      <c r="FS41">
        <v>0</v>
      </c>
      <c r="FX41">
        <v>80</v>
      </c>
      <c r="FY41">
        <v>68</v>
      </c>
      <c r="GA41" t="s">
        <v>3</v>
      </c>
      <c r="GD41">
        <v>1</v>
      </c>
      <c r="GF41">
        <v>2102561428</v>
      </c>
      <c r="GG41">
        <v>2</v>
      </c>
      <c r="GH41">
        <v>1</v>
      </c>
      <c r="GI41">
        <v>-2</v>
      </c>
      <c r="GJ41">
        <v>0</v>
      </c>
      <c r="GK41">
        <v>0</v>
      </c>
      <c r="GL41">
        <f t="shared" si="47"/>
        <v>0</v>
      </c>
      <c r="GM41">
        <f t="shared" si="48"/>
        <v>0</v>
      </c>
      <c r="GN41">
        <f t="shared" si="49"/>
        <v>0</v>
      </c>
      <c r="GO41">
        <f t="shared" si="50"/>
        <v>0</v>
      </c>
      <c r="GP41">
        <f t="shared" si="51"/>
        <v>0</v>
      </c>
      <c r="GR41">
        <v>0</v>
      </c>
      <c r="GS41">
        <v>3</v>
      </c>
      <c r="GT41">
        <v>0</v>
      </c>
      <c r="GU41" t="s">
        <v>3</v>
      </c>
      <c r="GV41">
        <f t="shared" si="52"/>
        <v>0</v>
      </c>
      <c r="GW41">
        <v>1</v>
      </c>
      <c r="GX41">
        <f t="shared" si="53"/>
        <v>0</v>
      </c>
      <c r="HA41">
        <v>0</v>
      </c>
      <c r="HB41">
        <v>0</v>
      </c>
      <c r="HC41">
        <f t="shared" si="54"/>
        <v>0</v>
      </c>
      <c r="HE41" t="s">
        <v>3</v>
      </c>
      <c r="HF41" t="s">
        <v>3</v>
      </c>
      <c r="IK41">
        <v>0</v>
      </c>
    </row>
    <row r="42" spans="1:245" x14ac:dyDescent="0.2">
      <c r="A42">
        <v>17</v>
      </c>
      <c r="B42">
        <v>1</v>
      </c>
      <c r="C42">
        <f>ROW(SmtRes!A46)</f>
        <v>46</v>
      </c>
      <c r="D42">
        <f>ROW(EtalonRes!A50)</f>
        <v>50</v>
      </c>
      <c r="E42" t="s">
        <v>95</v>
      </c>
      <c r="F42" t="s">
        <v>96</v>
      </c>
      <c r="G42" t="s">
        <v>97</v>
      </c>
      <c r="H42" t="s">
        <v>98</v>
      </c>
      <c r="I42">
        <f>ROUND(4.3/100,5)</f>
        <v>4.2999999999999997E-2</v>
      </c>
      <c r="J42">
        <v>0</v>
      </c>
      <c r="O42">
        <f t="shared" si="21"/>
        <v>54.12</v>
      </c>
      <c r="P42">
        <f t="shared" si="22"/>
        <v>0</v>
      </c>
      <c r="Q42">
        <f t="shared" si="23"/>
        <v>0</v>
      </c>
      <c r="R42">
        <f t="shared" si="24"/>
        <v>0</v>
      </c>
      <c r="S42">
        <f t="shared" si="25"/>
        <v>54.12</v>
      </c>
      <c r="T42">
        <f t="shared" si="26"/>
        <v>0</v>
      </c>
      <c r="U42">
        <f t="shared" si="27"/>
        <v>0.19681099999999999</v>
      </c>
      <c r="V42">
        <f t="shared" si="28"/>
        <v>0</v>
      </c>
      <c r="W42">
        <f t="shared" si="29"/>
        <v>0</v>
      </c>
      <c r="X42">
        <f t="shared" si="30"/>
        <v>46</v>
      </c>
      <c r="Y42">
        <f t="shared" si="31"/>
        <v>35.18</v>
      </c>
      <c r="AA42">
        <v>68990560</v>
      </c>
      <c r="AB42">
        <f t="shared" si="32"/>
        <v>37.4</v>
      </c>
      <c r="AC42">
        <f t="shared" si="55"/>
        <v>0</v>
      </c>
      <c r="AD42">
        <f>ROUND(((((ET42*1.15))-((EU42*1.15)))+AE42),2)</f>
        <v>0</v>
      </c>
      <c r="AE42">
        <f>ROUND(((EU42*1.15)),2)</f>
        <v>0</v>
      </c>
      <c r="AF42">
        <f>ROUND(((EV42*1.15)),2)</f>
        <v>37.4</v>
      </c>
      <c r="AG42">
        <f t="shared" si="33"/>
        <v>0</v>
      </c>
      <c r="AH42">
        <f>((EW42*1.15))</f>
        <v>4.577</v>
      </c>
      <c r="AI42">
        <f>((EX42*1.15))</f>
        <v>0</v>
      </c>
      <c r="AJ42">
        <f t="shared" si="34"/>
        <v>0</v>
      </c>
      <c r="AK42">
        <v>32.520000000000003</v>
      </c>
      <c r="AL42">
        <v>0</v>
      </c>
      <c r="AM42">
        <v>0</v>
      </c>
      <c r="AN42">
        <v>0</v>
      </c>
      <c r="AO42">
        <v>32.520000000000003</v>
      </c>
      <c r="AP42">
        <v>0</v>
      </c>
      <c r="AQ42">
        <v>3.98</v>
      </c>
      <c r="AR42">
        <v>0</v>
      </c>
      <c r="AS42">
        <v>0</v>
      </c>
      <c r="AT42">
        <v>85</v>
      </c>
      <c r="AU42">
        <v>65</v>
      </c>
      <c r="AV42">
        <v>1</v>
      </c>
      <c r="AW42">
        <v>1</v>
      </c>
      <c r="AZ42">
        <v>1</v>
      </c>
      <c r="BA42">
        <v>33.65</v>
      </c>
      <c r="BB42">
        <v>1</v>
      </c>
      <c r="BC42">
        <v>1</v>
      </c>
      <c r="BD42" t="s">
        <v>3</v>
      </c>
      <c r="BE42" t="s">
        <v>3</v>
      </c>
      <c r="BF42" t="s">
        <v>3</v>
      </c>
      <c r="BG42" t="s">
        <v>3</v>
      </c>
      <c r="BH42">
        <v>0</v>
      </c>
      <c r="BI42">
        <v>1</v>
      </c>
      <c r="BJ42" t="s">
        <v>99</v>
      </c>
      <c r="BM42">
        <v>67001</v>
      </c>
      <c r="BN42">
        <v>0</v>
      </c>
      <c r="BO42" t="s">
        <v>96</v>
      </c>
      <c r="BP42">
        <v>1</v>
      </c>
      <c r="BQ42">
        <v>6</v>
      </c>
      <c r="BR42">
        <v>0</v>
      </c>
      <c r="BS42">
        <v>33.65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85</v>
      </c>
      <c r="CA42">
        <v>65</v>
      </c>
      <c r="CE42">
        <v>0</v>
      </c>
      <c r="CF42">
        <v>0</v>
      </c>
      <c r="CG42">
        <v>0</v>
      </c>
      <c r="CM42">
        <v>0</v>
      </c>
      <c r="CN42" t="s">
        <v>1329</v>
      </c>
      <c r="CO42">
        <v>0</v>
      </c>
      <c r="CP42">
        <f t="shared" si="35"/>
        <v>54.12</v>
      </c>
      <c r="CQ42">
        <f t="shared" si="36"/>
        <v>0</v>
      </c>
      <c r="CR42">
        <f t="shared" si="37"/>
        <v>0</v>
      </c>
      <c r="CS42">
        <f t="shared" si="38"/>
        <v>0</v>
      </c>
      <c r="CT42">
        <f t="shared" si="39"/>
        <v>1258.51</v>
      </c>
      <c r="CU42">
        <f t="shared" si="40"/>
        <v>0</v>
      </c>
      <c r="CV42">
        <f t="shared" si="41"/>
        <v>4.577</v>
      </c>
      <c r="CW42">
        <f t="shared" si="42"/>
        <v>0</v>
      </c>
      <c r="CX42">
        <f t="shared" si="43"/>
        <v>0</v>
      </c>
      <c r="CY42">
        <f t="shared" si="44"/>
        <v>46.001999999999995</v>
      </c>
      <c r="CZ42">
        <f t="shared" si="45"/>
        <v>35.177999999999997</v>
      </c>
      <c r="DC42" t="s">
        <v>3</v>
      </c>
      <c r="DD42" t="s">
        <v>3</v>
      </c>
      <c r="DE42" t="s">
        <v>38</v>
      </c>
      <c r="DF42" t="s">
        <v>38</v>
      </c>
      <c r="DG42" t="s">
        <v>38</v>
      </c>
      <c r="DH42" t="s">
        <v>3</v>
      </c>
      <c r="DI42" t="s">
        <v>38</v>
      </c>
      <c r="DJ42" t="s">
        <v>38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1013</v>
      </c>
      <c r="DV42" t="s">
        <v>98</v>
      </c>
      <c r="DW42" t="s">
        <v>98</v>
      </c>
      <c r="DX42">
        <v>1</v>
      </c>
      <c r="DZ42" t="s">
        <v>3</v>
      </c>
      <c r="EA42" t="s">
        <v>3</v>
      </c>
      <c r="EB42" t="s">
        <v>3</v>
      </c>
      <c r="EC42" t="s">
        <v>3</v>
      </c>
      <c r="EE42">
        <v>64095151</v>
      </c>
      <c r="EF42">
        <v>6</v>
      </c>
      <c r="EG42" t="s">
        <v>39</v>
      </c>
      <c r="EH42">
        <v>0</v>
      </c>
      <c r="EI42" t="s">
        <v>3</v>
      </c>
      <c r="EJ42">
        <v>1</v>
      </c>
      <c r="EK42">
        <v>67001</v>
      </c>
      <c r="EL42" t="s">
        <v>100</v>
      </c>
      <c r="EM42" t="s">
        <v>101</v>
      </c>
      <c r="EO42" t="s">
        <v>42</v>
      </c>
      <c r="EQ42">
        <v>0</v>
      </c>
      <c r="ER42">
        <v>32.520000000000003</v>
      </c>
      <c r="ES42">
        <v>0</v>
      </c>
      <c r="ET42">
        <v>0</v>
      </c>
      <c r="EU42">
        <v>0</v>
      </c>
      <c r="EV42">
        <v>32.520000000000003</v>
      </c>
      <c r="EW42">
        <v>3.98</v>
      </c>
      <c r="EX42">
        <v>0</v>
      </c>
      <c r="EY42">
        <v>0</v>
      </c>
      <c r="FQ42">
        <v>0</v>
      </c>
      <c r="FR42">
        <f t="shared" si="46"/>
        <v>0</v>
      </c>
      <c r="FS42">
        <v>0</v>
      </c>
      <c r="FX42">
        <v>85</v>
      </c>
      <c r="FY42">
        <v>65</v>
      </c>
      <c r="GA42" t="s">
        <v>3</v>
      </c>
      <c r="GD42">
        <v>1</v>
      </c>
      <c r="GF42">
        <v>-1089465404</v>
      </c>
      <c r="GG42">
        <v>2</v>
      </c>
      <c r="GH42">
        <v>1</v>
      </c>
      <c r="GI42">
        <v>2</v>
      </c>
      <c r="GJ42">
        <v>0</v>
      </c>
      <c r="GK42">
        <v>0</v>
      </c>
      <c r="GL42">
        <f t="shared" si="47"/>
        <v>0</v>
      </c>
      <c r="GM42">
        <f t="shared" si="48"/>
        <v>135.30000000000001</v>
      </c>
      <c r="GN42">
        <f t="shared" si="49"/>
        <v>135.30000000000001</v>
      </c>
      <c r="GO42">
        <f t="shared" si="50"/>
        <v>0</v>
      </c>
      <c r="GP42">
        <f t="shared" si="51"/>
        <v>0</v>
      </c>
      <c r="GR42">
        <v>0</v>
      </c>
      <c r="GS42">
        <v>3</v>
      </c>
      <c r="GT42">
        <v>0</v>
      </c>
      <c r="GU42" t="s">
        <v>3</v>
      </c>
      <c r="GV42">
        <f t="shared" si="52"/>
        <v>0</v>
      </c>
      <c r="GW42">
        <v>1</v>
      </c>
      <c r="GX42">
        <f t="shared" si="53"/>
        <v>0</v>
      </c>
      <c r="HA42">
        <v>0</v>
      </c>
      <c r="HB42">
        <v>0</v>
      </c>
      <c r="HC42">
        <f t="shared" si="54"/>
        <v>0</v>
      </c>
      <c r="HE42" t="s">
        <v>3</v>
      </c>
      <c r="HF42" t="s">
        <v>3</v>
      </c>
      <c r="IK42">
        <v>0</v>
      </c>
    </row>
    <row r="43" spans="1:245" x14ac:dyDescent="0.2">
      <c r="A43">
        <v>17</v>
      </c>
      <c r="B43">
        <v>1</v>
      </c>
      <c r="C43">
        <f>ROW(SmtRes!A52)</f>
        <v>52</v>
      </c>
      <c r="D43">
        <f>ROW(EtalonRes!A57)</f>
        <v>57</v>
      </c>
      <c r="E43" t="s">
        <v>102</v>
      </c>
      <c r="F43" t="s">
        <v>103</v>
      </c>
      <c r="G43" t="s">
        <v>104</v>
      </c>
      <c r="H43" t="s">
        <v>36</v>
      </c>
      <c r="I43">
        <f>ROUND(12.75/100,5)</f>
        <v>0.1275</v>
      </c>
      <c r="J43">
        <v>0</v>
      </c>
      <c r="O43">
        <f t="shared" si="21"/>
        <v>2090.08</v>
      </c>
      <c r="P43">
        <f t="shared" si="22"/>
        <v>0</v>
      </c>
      <c r="Q43">
        <f t="shared" si="23"/>
        <v>356.21</v>
      </c>
      <c r="R43">
        <f t="shared" si="24"/>
        <v>51.18</v>
      </c>
      <c r="S43">
        <f t="shared" si="25"/>
        <v>1733.87</v>
      </c>
      <c r="T43">
        <f t="shared" si="26"/>
        <v>0</v>
      </c>
      <c r="U43">
        <f t="shared" si="27"/>
        <v>6.3066599999999999</v>
      </c>
      <c r="V43">
        <f t="shared" si="28"/>
        <v>0.12255300000000001</v>
      </c>
      <c r="W43">
        <f t="shared" si="29"/>
        <v>0</v>
      </c>
      <c r="X43">
        <f t="shared" si="30"/>
        <v>2284.86</v>
      </c>
      <c r="Y43">
        <f t="shared" si="31"/>
        <v>1445.89</v>
      </c>
      <c r="AA43">
        <v>68990560</v>
      </c>
      <c r="AB43">
        <f t="shared" si="32"/>
        <v>851.85</v>
      </c>
      <c r="AC43">
        <f>ROUND(((ES43*0)),2)</f>
        <v>0</v>
      </c>
      <c r="AD43">
        <f>ROUND((((((ET43*1.35)*0.8))-(((EU43*1.35)*0.8)))+AE43),2)</f>
        <v>447.72</v>
      </c>
      <c r="AE43">
        <f>ROUND((((EU43*1.35)*0.8)),2)</f>
        <v>11.93</v>
      </c>
      <c r="AF43">
        <f>ROUND((((EV43*1.35)*0.8)),2)</f>
        <v>404.13</v>
      </c>
      <c r="AG43">
        <f t="shared" si="33"/>
        <v>0</v>
      </c>
      <c r="AH43">
        <f>(((EW43*1.35)*0.8))</f>
        <v>49.463999999999999</v>
      </c>
      <c r="AI43">
        <f>(((EX43*1.35)*0.8))</f>
        <v>0.96120000000000005</v>
      </c>
      <c r="AJ43">
        <f t="shared" si="34"/>
        <v>0</v>
      </c>
      <c r="AK43">
        <v>813.05</v>
      </c>
      <c r="AL43">
        <v>24.3</v>
      </c>
      <c r="AM43">
        <v>414.56</v>
      </c>
      <c r="AN43">
        <v>11.05</v>
      </c>
      <c r="AO43">
        <v>374.19</v>
      </c>
      <c r="AP43">
        <v>0</v>
      </c>
      <c r="AQ43">
        <v>45.8</v>
      </c>
      <c r="AR43">
        <v>0.89</v>
      </c>
      <c r="AS43">
        <v>0</v>
      </c>
      <c r="AT43">
        <v>128</v>
      </c>
      <c r="AU43">
        <v>81</v>
      </c>
      <c r="AV43">
        <v>1</v>
      </c>
      <c r="AW43">
        <v>1</v>
      </c>
      <c r="AZ43">
        <v>1</v>
      </c>
      <c r="BA43">
        <v>33.65</v>
      </c>
      <c r="BB43">
        <v>6.24</v>
      </c>
      <c r="BC43">
        <v>5.83</v>
      </c>
      <c r="BD43" t="s">
        <v>3</v>
      </c>
      <c r="BE43" t="s">
        <v>3</v>
      </c>
      <c r="BF43" t="s">
        <v>3</v>
      </c>
      <c r="BG43" t="s">
        <v>3</v>
      </c>
      <c r="BH43">
        <v>0</v>
      </c>
      <c r="BI43">
        <v>1</v>
      </c>
      <c r="BJ43" t="s">
        <v>105</v>
      </c>
      <c r="BM43">
        <v>27001</v>
      </c>
      <c r="BN43">
        <v>0</v>
      </c>
      <c r="BO43" t="s">
        <v>103</v>
      </c>
      <c r="BP43">
        <v>1</v>
      </c>
      <c r="BQ43">
        <v>2</v>
      </c>
      <c r="BR43">
        <v>0</v>
      </c>
      <c r="BS43">
        <v>33.65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142</v>
      </c>
      <c r="CA43">
        <v>95</v>
      </c>
      <c r="CE43">
        <v>0</v>
      </c>
      <c r="CF43">
        <v>0</v>
      </c>
      <c r="CG43">
        <v>0</v>
      </c>
      <c r="CM43">
        <v>0</v>
      </c>
      <c r="CN43" t="s">
        <v>1331</v>
      </c>
      <c r="CO43">
        <v>0</v>
      </c>
      <c r="CP43">
        <f t="shared" si="35"/>
        <v>2090.08</v>
      </c>
      <c r="CQ43">
        <f t="shared" si="36"/>
        <v>0</v>
      </c>
      <c r="CR43">
        <f t="shared" si="37"/>
        <v>2793.7728000000002</v>
      </c>
      <c r="CS43">
        <f t="shared" si="38"/>
        <v>401.44449999999995</v>
      </c>
      <c r="CT43">
        <f t="shared" si="39"/>
        <v>13598.974499999998</v>
      </c>
      <c r="CU43">
        <f t="shared" si="40"/>
        <v>0</v>
      </c>
      <c r="CV43">
        <f t="shared" si="41"/>
        <v>49.463999999999999</v>
      </c>
      <c r="CW43">
        <f t="shared" si="42"/>
        <v>0.96120000000000005</v>
      </c>
      <c r="CX43">
        <f t="shared" si="43"/>
        <v>0</v>
      </c>
      <c r="CY43">
        <f t="shared" si="44"/>
        <v>2284.864</v>
      </c>
      <c r="CZ43">
        <f t="shared" si="45"/>
        <v>1445.8905</v>
      </c>
      <c r="DC43" t="s">
        <v>3</v>
      </c>
      <c r="DD43" t="s">
        <v>20</v>
      </c>
      <c r="DE43" t="s">
        <v>106</v>
      </c>
      <c r="DF43" t="s">
        <v>106</v>
      </c>
      <c r="DG43" t="s">
        <v>106</v>
      </c>
      <c r="DH43" t="s">
        <v>3</v>
      </c>
      <c r="DI43" t="s">
        <v>106</v>
      </c>
      <c r="DJ43" t="s">
        <v>106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36</v>
      </c>
      <c r="DW43" t="s">
        <v>36</v>
      </c>
      <c r="DX43">
        <v>100</v>
      </c>
      <c r="DZ43" t="s">
        <v>3</v>
      </c>
      <c r="EA43" t="s">
        <v>3</v>
      </c>
      <c r="EB43" t="s">
        <v>3</v>
      </c>
      <c r="EC43" t="s">
        <v>3</v>
      </c>
      <c r="EE43">
        <v>64095067</v>
      </c>
      <c r="EF43">
        <v>2</v>
      </c>
      <c r="EG43" t="s">
        <v>13</v>
      </c>
      <c r="EH43">
        <v>0</v>
      </c>
      <c r="EI43" t="s">
        <v>3</v>
      </c>
      <c r="EJ43">
        <v>1</v>
      </c>
      <c r="EK43">
        <v>27001</v>
      </c>
      <c r="EL43" t="s">
        <v>107</v>
      </c>
      <c r="EM43" t="s">
        <v>108</v>
      </c>
      <c r="EO43" t="s">
        <v>109</v>
      </c>
      <c r="EQ43">
        <v>0</v>
      </c>
      <c r="ER43">
        <v>813.05</v>
      </c>
      <c r="ES43">
        <v>24.3</v>
      </c>
      <c r="ET43">
        <v>414.56</v>
      </c>
      <c r="EU43">
        <v>11.05</v>
      </c>
      <c r="EV43">
        <v>374.19</v>
      </c>
      <c r="EW43">
        <v>45.8</v>
      </c>
      <c r="EX43">
        <v>0.89</v>
      </c>
      <c r="EY43">
        <v>0</v>
      </c>
      <c r="FQ43">
        <v>0</v>
      </c>
      <c r="FR43">
        <f t="shared" si="46"/>
        <v>0</v>
      </c>
      <c r="FS43">
        <v>0</v>
      </c>
      <c r="FT43" t="s">
        <v>52</v>
      </c>
      <c r="FU43" t="s">
        <v>53</v>
      </c>
      <c r="FX43">
        <v>127.8</v>
      </c>
      <c r="FY43">
        <v>80.75</v>
      </c>
      <c r="GA43" t="s">
        <v>3</v>
      </c>
      <c r="GD43">
        <v>1</v>
      </c>
      <c r="GF43">
        <v>-1678500223</v>
      </c>
      <c r="GG43">
        <v>2</v>
      </c>
      <c r="GH43">
        <v>1</v>
      </c>
      <c r="GI43">
        <v>2</v>
      </c>
      <c r="GJ43">
        <v>0</v>
      </c>
      <c r="GK43">
        <v>0</v>
      </c>
      <c r="GL43">
        <f t="shared" si="47"/>
        <v>0</v>
      </c>
      <c r="GM43">
        <f t="shared" si="48"/>
        <v>5820.83</v>
      </c>
      <c r="GN43">
        <f t="shared" si="49"/>
        <v>5820.83</v>
      </c>
      <c r="GO43">
        <f t="shared" si="50"/>
        <v>0</v>
      </c>
      <c r="GP43">
        <f t="shared" si="51"/>
        <v>0</v>
      </c>
      <c r="GR43">
        <v>0</v>
      </c>
      <c r="GS43">
        <v>3</v>
      </c>
      <c r="GT43">
        <v>0</v>
      </c>
      <c r="GU43" t="s">
        <v>3</v>
      </c>
      <c r="GV43">
        <f t="shared" si="52"/>
        <v>0</v>
      </c>
      <c r="GW43">
        <v>1</v>
      </c>
      <c r="GX43">
        <f t="shared" si="53"/>
        <v>0</v>
      </c>
      <c r="HA43">
        <v>0</v>
      </c>
      <c r="HB43">
        <v>0</v>
      </c>
      <c r="HC43">
        <f t="shared" si="54"/>
        <v>0</v>
      </c>
      <c r="HE43" t="s">
        <v>3</v>
      </c>
      <c r="HF43" t="s">
        <v>3</v>
      </c>
      <c r="IK43">
        <v>0</v>
      </c>
    </row>
    <row r="44" spans="1:245" x14ac:dyDescent="0.2">
      <c r="A44">
        <v>17</v>
      </c>
      <c r="B44">
        <v>1</v>
      </c>
      <c r="C44">
        <f>ROW(SmtRes!A55)</f>
        <v>55</v>
      </c>
      <c r="D44">
        <f>ROW(EtalonRes!A60)</f>
        <v>60</v>
      </c>
      <c r="E44" t="s">
        <v>110</v>
      </c>
      <c r="F44" t="s">
        <v>111</v>
      </c>
      <c r="G44" t="s">
        <v>112</v>
      </c>
      <c r="H44" t="s">
        <v>113</v>
      </c>
      <c r="I44">
        <f>ROUND(3.23,5)</f>
        <v>3.23</v>
      </c>
      <c r="J44">
        <v>0</v>
      </c>
      <c r="O44">
        <f t="shared" si="21"/>
        <v>12778.06</v>
      </c>
      <c r="P44">
        <f t="shared" si="22"/>
        <v>0</v>
      </c>
      <c r="Q44">
        <f t="shared" si="23"/>
        <v>2467.77</v>
      </c>
      <c r="R44">
        <f t="shared" si="24"/>
        <v>0</v>
      </c>
      <c r="S44">
        <f t="shared" si="25"/>
        <v>10310.290000000001</v>
      </c>
      <c r="T44">
        <f t="shared" si="26"/>
        <v>0</v>
      </c>
      <c r="U44">
        <f t="shared" si="27"/>
        <v>35.919215000000001</v>
      </c>
      <c r="V44">
        <f t="shared" si="28"/>
        <v>0</v>
      </c>
      <c r="W44">
        <f t="shared" si="29"/>
        <v>0</v>
      </c>
      <c r="X44">
        <f t="shared" si="30"/>
        <v>10207.19</v>
      </c>
      <c r="Y44">
        <f t="shared" si="31"/>
        <v>6186.17</v>
      </c>
      <c r="AA44">
        <v>68990560</v>
      </c>
      <c r="AB44">
        <f t="shared" si="32"/>
        <v>363.88</v>
      </c>
      <c r="AC44">
        <f>ROUND((ES44),2)</f>
        <v>0</v>
      </c>
      <c r="AD44">
        <f>ROUND(((((ET44*1.15))-((EU44*1.15)))+AE44),2)</f>
        <v>269.02</v>
      </c>
      <c r="AE44">
        <f>ROUND(((EU44*1.15)),2)</f>
        <v>0</v>
      </c>
      <c r="AF44">
        <f>ROUND(((EV44*1.15)),2)</f>
        <v>94.86</v>
      </c>
      <c r="AG44">
        <f t="shared" si="33"/>
        <v>0</v>
      </c>
      <c r="AH44">
        <f>((EW44*1.15))</f>
        <v>11.1205</v>
      </c>
      <c r="AI44">
        <f>((EX44*1.15))</f>
        <v>0</v>
      </c>
      <c r="AJ44">
        <f t="shared" si="34"/>
        <v>0</v>
      </c>
      <c r="AK44">
        <v>316.42</v>
      </c>
      <c r="AL44">
        <v>0</v>
      </c>
      <c r="AM44">
        <v>233.93</v>
      </c>
      <c r="AN44">
        <v>0</v>
      </c>
      <c r="AO44">
        <v>82.49</v>
      </c>
      <c r="AP44">
        <v>0</v>
      </c>
      <c r="AQ44">
        <v>9.67</v>
      </c>
      <c r="AR44">
        <v>0</v>
      </c>
      <c r="AS44">
        <v>0</v>
      </c>
      <c r="AT44">
        <v>99</v>
      </c>
      <c r="AU44">
        <v>60</v>
      </c>
      <c r="AV44">
        <v>1</v>
      </c>
      <c r="AW44">
        <v>1</v>
      </c>
      <c r="AZ44">
        <v>1</v>
      </c>
      <c r="BA44">
        <v>33.65</v>
      </c>
      <c r="BB44">
        <v>2.84</v>
      </c>
      <c r="BC44">
        <v>1</v>
      </c>
      <c r="BD44" t="s">
        <v>3</v>
      </c>
      <c r="BE44" t="s">
        <v>3</v>
      </c>
      <c r="BF44" t="s">
        <v>3</v>
      </c>
      <c r="BG44" t="s">
        <v>3</v>
      </c>
      <c r="BH44">
        <v>0</v>
      </c>
      <c r="BI44">
        <v>1</v>
      </c>
      <c r="BJ44" t="s">
        <v>114</v>
      </c>
      <c r="BM44">
        <v>46001</v>
      </c>
      <c r="BN44">
        <v>0</v>
      </c>
      <c r="BO44" t="s">
        <v>111</v>
      </c>
      <c r="BP44">
        <v>1</v>
      </c>
      <c r="BQ44">
        <v>2</v>
      </c>
      <c r="BR44">
        <v>0</v>
      </c>
      <c r="BS44">
        <v>33.65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110</v>
      </c>
      <c r="CA44">
        <v>70</v>
      </c>
      <c r="CE44">
        <v>0</v>
      </c>
      <c r="CF44">
        <v>0</v>
      </c>
      <c r="CG44">
        <v>0</v>
      </c>
      <c r="CM44">
        <v>0</v>
      </c>
      <c r="CN44" t="s">
        <v>1329</v>
      </c>
      <c r="CO44">
        <v>0</v>
      </c>
      <c r="CP44">
        <f t="shared" si="35"/>
        <v>12778.060000000001</v>
      </c>
      <c r="CQ44">
        <f t="shared" si="36"/>
        <v>0</v>
      </c>
      <c r="CR44">
        <f t="shared" si="37"/>
        <v>764.01679999999988</v>
      </c>
      <c r="CS44">
        <f t="shared" si="38"/>
        <v>0</v>
      </c>
      <c r="CT44">
        <f t="shared" si="39"/>
        <v>3192.0389999999998</v>
      </c>
      <c r="CU44">
        <f t="shared" si="40"/>
        <v>0</v>
      </c>
      <c r="CV44">
        <f t="shared" si="41"/>
        <v>11.1205</v>
      </c>
      <c r="CW44">
        <f t="shared" si="42"/>
        <v>0</v>
      </c>
      <c r="CX44">
        <f t="shared" si="43"/>
        <v>0</v>
      </c>
      <c r="CY44">
        <f t="shared" si="44"/>
        <v>10207.187100000001</v>
      </c>
      <c r="CZ44">
        <f t="shared" si="45"/>
        <v>6186.174</v>
      </c>
      <c r="DC44" t="s">
        <v>3</v>
      </c>
      <c r="DD44" t="s">
        <v>3</v>
      </c>
      <c r="DE44" t="s">
        <v>38</v>
      </c>
      <c r="DF44" t="s">
        <v>38</v>
      </c>
      <c r="DG44" t="s">
        <v>38</v>
      </c>
      <c r="DH44" t="s">
        <v>3</v>
      </c>
      <c r="DI44" t="s">
        <v>38</v>
      </c>
      <c r="DJ44" t="s">
        <v>38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1007</v>
      </c>
      <c r="DV44" t="s">
        <v>113</v>
      </c>
      <c r="DW44" t="s">
        <v>113</v>
      </c>
      <c r="DX44">
        <v>1</v>
      </c>
      <c r="DZ44" t="s">
        <v>3</v>
      </c>
      <c r="EA44" t="s">
        <v>3</v>
      </c>
      <c r="EB44" t="s">
        <v>3</v>
      </c>
      <c r="EC44" t="s">
        <v>3</v>
      </c>
      <c r="EE44">
        <v>64095094</v>
      </c>
      <c r="EF44">
        <v>2</v>
      </c>
      <c r="EG44" t="s">
        <v>13</v>
      </c>
      <c r="EH44">
        <v>0</v>
      </c>
      <c r="EI44" t="s">
        <v>3</v>
      </c>
      <c r="EJ44">
        <v>1</v>
      </c>
      <c r="EK44">
        <v>46001</v>
      </c>
      <c r="EL44" t="s">
        <v>62</v>
      </c>
      <c r="EM44" t="s">
        <v>63</v>
      </c>
      <c r="EO44" t="s">
        <v>42</v>
      </c>
      <c r="EQ44">
        <v>0</v>
      </c>
      <c r="ER44">
        <v>316.42</v>
      </c>
      <c r="ES44">
        <v>0</v>
      </c>
      <c r="ET44">
        <v>233.93</v>
      </c>
      <c r="EU44">
        <v>0</v>
      </c>
      <c r="EV44">
        <v>82.49</v>
      </c>
      <c r="EW44">
        <v>9.67</v>
      </c>
      <c r="EX44">
        <v>0</v>
      </c>
      <c r="EY44">
        <v>0</v>
      </c>
      <c r="FQ44">
        <v>0</v>
      </c>
      <c r="FR44">
        <f t="shared" si="46"/>
        <v>0</v>
      </c>
      <c r="FS44">
        <v>0</v>
      </c>
      <c r="FT44" t="s">
        <v>52</v>
      </c>
      <c r="FU44" t="s">
        <v>53</v>
      </c>
      <c r="FX44">
        <v>99</v>
      </c>
      <c r="FY44">
        <v>59.5</v>
      </c>
      <c r="GA44" t="s">
        <v>3</v>
      </c>
      <c r="GD44">
        <v>1</v>
      </c>
      <c r="GF44">
        <v>143255172</v>
      </c>
      <c r="GG44">
        <v>2</v>
      </c>
      <c r="GH44">
        <v>1</v>
      </c>
      <c r="GI44">
        <v>2</v>
      </c>
      <c r="GJ44">
        <v>0</v>
      </c>
      <c r="GK44">
        <v>0</v>
      </c>
      <c r="GL44">
        <f t="shared" si="47"/>
        <v>0</v>
      </c>
      <c r="GM44">
        <f t="shared" si="48"/>
        <v>29171.42</v>
      </c>
      <c r="GN44">
        <f t="shared" si="49"/>
        <v>29171.42</v>
      </c>
      <c r="GO44">
        <f t="shared" si="50"/>
        <v>0</v>
      </c>
      <c r="GP44">
        <f t="shared" si="51"/>
        <v>0</v>
      </c>
      <c r="GR44">
        <v>0</v>
      </c>
      <c r="GS44">
        <v>3</v>
      </c>
      <c r="GT44">
        <v>0</v>
      </c>
      <c r="GU44" t="s">
        <v>3</v>
      </c>
      <c r="GV44">
        <f t="shared" si="52"/>
        <v>0</v>
      </c>
      <c r="GW44">
        <v>1</v>
      </c>
      <c r="GX44">
        <f t="shared" si="53"/>
        <v>0</v>
      </c>
      <c r="HA44">
        <v>0</v>
      </c>
      <c r="HB44">
        <v>0</v>
      </c>
      <c r="HC44">
        <f t="shared" si="54"/>
        <v>0</v>
      </c>
      <c r="HE44" t="s">
        <v>3</v>
      </c>
      <c r="HF44" t="s">
        <v>3</v>
      </c>
      <c r="IK44">
        <v>0</v>
      </c>
    </row>
    <row r="45" spans="1:245" x14ac:dyDescent="0.2">
      <c r="A45">
        <v>17</v>
      </c>
      <c r="B45">
        <v>1</v>
      </c>
      <c r="C45">
        <f>ROW(SmtRes!A75)</f>
        <v>75</v>
      </c>
      <c r="D45">
        <f>ROW(EtalonRes!A82)</f>
        <v>82</v>
      </c>
      <c r="E45" t="s">
        <v>115</v>
      </c>
      <c r="F45" t="s">
        <v>116</v>
      </c>
      <c r="G45" t="s">
        <v>117</v>
      </c>
      <c r="H45" t="s">
        <v>71</v>
      </c>
      <c r="I45">
        <f>ROUND(0.01,5)</f>
        <v>0.01</v>
      </c>
      <c r="J45">
        <v>0</v>
      </c>
      <c r="O45">
        <f t="shared" si="21"/>
        <v>155.05000000000001</v>
      </c>
      <c r="P45">
        <f t="shared" si="22"/>
        <v>0</v>
      </c>
      <c r="Q45">
        <f t="shared" si="23"/>
        <v>50.25</v>
      </c>
      <c r="R45">
        <f t="shared" si="24"/>
        <v>18.920000000000002</v>
      </c>
      <c r="S45">
        <f t="shared" si="25"/>
        <v>104.8</v>
      </c>
      <c r="T45">
        <f t="shared" si="26"/>
        <v>0</v>
      </c>
      <c r="U45">
        <f t="shared" si="27"/>
        <v>0.33925500000000003</v>
      </c>
      <c r="V45">
        <f t="shared" si="28"/>
        <v>4.1769000000000001E-2</v>
      </c>
      <c r="W45">
        <f t="shared" si="29"/>
        <v>0</v>
      </c>
      <c r="X45">
        <f t="shared" si="30"/>
        <v>100.21</v>
      </c>
      <c r="Y45">
        <f t="shared" si="31"/>
        <v>89.08</v>
      </c>
      <c r="AA45">
        <v>68990560</v>
      </c>
      <c r="AB45">
        <f t="shared" si="32"/>
        <v>861.18</v>
      </c>
      <c r="AC45">
        <f>ROUND(((ES45*0)),2)</f>
        <v>0</v>
      </c>
      <c r="AD45">
        <f>ROUND((((((ET45*1.35)*0.7))-(((EU45*1.35)*0.7)))+AE45),2)</f>
        <v>549.75</v>
      </c>
      <c r="AE45">
        <f t="shared" ref="AE45:AF49" si="56">ROUND((((EU45*1.35)*0.7)),2)</f>
        <v>56.23</v>
      </c>
      <c r="AF45">
        <f t="shared" si="56"/>
        <v>311.43</v>
      </c>
      <c r="AG45">
        <f t="shared" si="33"/>
        <v>0</v>
      </c>
      <c r="AH45">
        <f t="shared" ref="AH45:AI49" si="57">(((EW45*1.35)*0.7))</f>
        <v>33.9255</v>
      </c>
      <c r="AI45">
        <f t="shared" si="57"/>
        <v>4.1768999999999998</v>
      </c>
      <c r="AJ45">
        <f t="shared" si="34"/>
        <v>0</v>
      </c>
      <c r="AK45">
        <v>999.79</v>
      </c>
      <c r="AL45">
        <v>88.49</v>
      </c>
      <c r="AM45">
        <v>581.74</v>
      </c>
      <c r="AN45">
        <v>59.5</v>
      </c>
      <c r="AO45">
        <v>329.56</v>
      </c>
      <c r="AP45">
        <v>0</v>
      </c>
      <c r="AQ45">
        <v>35.9</v>
      </c>
      <c r="AR45">
        <v>4.42</v>
      </c>
      <c r="AS45">
        <v>0</v>
      </c>
      <c r="AT45">
        <v>81</v>
      </c>
      <c r="AU45">
        <v>72</v>
      </c>
      <c r="AV45">
        <v>1</v>
      </c>
      <c r="AW45">
        <v>1</v>
      </c>
      <c r="AZ45">
        <v>1</v>
      </c>
      <c r="BA45">
        <v>33.65</v>
      </c>
      <c r="BB45">
        <v>9.14</v>
      </c>
      <c r="BC45">
        <v>9.51</v>
      </c>
      <c r="BD45" t="s">
        <v>3</v>
      </c>
      <c r="BE45" t="s">
        <v>3</v>
      </c>
      <c r="BF45" t="s">
        <v>3</v>
      </c>
      <c r="BG45" t="s">
        <v>3</v>
      </c>
      <c r="BH45">
        <v>0</v>
      </c>
      <c r="BI45">
        <v>1</v>
      </c>
      <c r="BJ45" t="s">
        <v>118</v>
      </c>
      <c r="BM45">
        <v>9001</v>
      </c>
      <c r="BN45">
        <v>0</v>
      </c>
      <c r="BO45" t="s">
        <v>116</v>
      </c>
      <c r="BP45">
        <v>1</v>
      </c>
      <c r="BQ45">
        <v>2</v>
      </c>
      <c r="BR45">
        <v>0</v>
      </c>
      <c r="BS45">
        <v>33.65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90</v>
      </c>
      <c r="CA45">
        <v>85</v>
      </c>
      <c r="CE45">
        <v>0</v>
      </c>
      <c r="CF45">
        <v>0</v>
      </c>
      <c r="CG45">
        <v>0</v>
      </c>
      <c r="CM45">
        <v>0</v>
      </c>
      <c r="CN45" t="s">
        <v>1330</v>
      </c>
      <c r="CO45">
        <v>0</v>
      </c>
      <c r="CP45">
        <f t="shared" si="35"/>
        <v>155.05000000000001</v>
      </c>
      <c r="CQ45">
        <f t="shared" si="36"/>
        <v>0</v>
      </c>
      <c r="CR45">
        <f t="shared" si="37"/>
        <v>5024.7150000000001</v>
      </c>
      <c r="CS45">
        <f t="shared" si="38"/>
        <v>1892.1394999999998</v>
      </c>
      <c r="CT45">
        <f t="shared" si="39"/>
        <v>10479.619499999999</v>
      </c>
      <c r="CU45">
        <f t="shared" si="40"/>
        <v>0</v>
      </c>
      <c r="CV45">
        <f t="shared" si="41"/>
        <v>33.9255</v>
      </c>
      <c r="CW45">
        <f t="shared" si="42"/>
        <v>4.1768999999999998</v>
      </c>
      <c r="CX45">
        <f t="shared" si="43"/>
        <v>0</v>
      </c>
      <c r="CY45">
        <f t="shared" si="44"/>
        <v>100.2132</v>
      </c>
      <c r="CZ45">
        <f t="shared" si="45"/>
        <v>89.078400000000002</v>
      </c>
      <c r="DC45" t="s">
        <v>3</v>
      </c>
      <c r="DD45" t="s">
        <v>20</v>
      </c>
      <c r="DE45" t="s">
        <v>48</v>
      </c>
      <c r="DF45" t="s">
        <v>48</v>
      </c>
      <c r="DG45" t="s">
        <v>48</v>
      </c>
      <c r="DH45" t="s">
        <v>3</v>
      </c>
      <c r="DI45" t="s">
        <v>48</v>
      </c>
      <c r="DJ45" t="s">
        <v>48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1009</v>
      </c>
      <c r="DV45" t="s">
        <v>71</v>
      </c>
      <c r="DW45" t="s">
        <v>71</v>
      </c>
      <c r="DX45">
        <v>1000</v>
      </c>
      <c r="DZ45" t="s">
        <v>3</v>
      </c>
      <c r="EA45" t="s">
        <v>3</v>
      </c>
      <c r="EB45" t="s">
        <v>3</v>
      </c>
      <c r="EC45" t="s">
        <v>3</v>
      </c>
      <c r="EE45">
        <v>64095025</v>
      </c>
      <c r="EF45">
        <v>2</v>
      </c>
      <c r="EG45" t="s">
        <v>13</v>
      </c>
      <c r="EH45">
        <v>0</v>
      </c>
      <c r="EI45" t="s">
        <v>3</v>
      </c>
      <c r="EJ45">
        <v>1</v>
      </c>
      <c r="EK45">
        <v>9001</v>
      </c>
      <c r="EL45" t="s">
        <v>49</v>
      </c>
      <c r="EM45" t="s">
        <v>50</v>
      </c>
      <c r="EO45" t="s">
        <v>51</v>
      </c>
      <c r="EQ45">
        <v>0</v>
      </c>
      <c r="ER45">
        <v>999.79</v>
      </c>
      <c r="ES45">
        <v>88.49</v>
      </c>
      <c r="ET45">
        <v>581.74</v>
      </c>
      <c r="EU45">
        <v>59.5</v>
      </c>
      <c r="EV45">
        <v>329.56</v>
      </c>
      <c r="EW45">
        <v>35.9</v>
      </c>
      <c r="EX45">
        <v>4.42</v>
      </c>
      <c r="EY45">
        <v>0</v>
      </c>
      <c r="FQ45">
        <v>0</v>
      </c>
      <c r="FR45">
        <f t="shared" si="46"/>
        <v>0</v>
      </c>
      <c r="FS45">
        <v>0</v>
      </c>
      <c r="FT45" t="s">
        <v>52</v>
      </c>
      <c r="FU45" t="s">
        <v>53</v>
      </c>
      <c r="FX45">
        <v>81</v>
      </c>
      <c r="FY45">
        <v>72.25</v>
      </c>
      <c r="GA45" t="s">
        <v>3</v>
      </c>
      <c r="GD45">
        <v>1</v>
      </c>
      <c r="GF45">
        <v>225404889</v>
      </c>
      <c r="GG45">
        <v>2</v>
      </c>
      <c r="GH45">
        <v>1</v>
      </c>
      <c r="GI45">
        <v>2</v>
      </c>
      <c r="GJ45">
        <v>0</v>
      </c>
      <c r="GK45">
        <v>0</v>
      </c>
      <c r="GL45">
        <f t="shared" si="47"/>
        <v>0</v>
      </c>
      <c r="GM45">
        <f t="shared" si="48"/>
        <v>344.34</v>
      </c>
      <c r="GN45">
        <f t="shared" si="49"/>
        <v>344.34</v>
      </c>
      <c r="GO45">
        <f t="shared" si="50"/>
        <v>0</v>
      </c>
      <c r="GP45">
        <f t="shared" si="51"/>
        <v>0</v>
      </c>
      <c r="GR45">
        <v>0</v>
      </c>
      <c r="GS45">
        <v>3</v>
      </c>
      <c r="GT45">
        <v>0</v>
      </c>
      <c r="GU45" t="s">
        <v>3</v>
      </c>
      <c r="GV45">
        <f t="shared" si="52"/>
        <v>0</v>
      </c>
      <c r="GW45">
        <v>1</v>
      </c>
      <c r="GX45">
        <f t="shared" si="53"/>
        <v>0</v>
      </c>
      <c r="HA45">
        <v>0</v>
      </c>
      <c r="HB45">
        <v>0</v>
      </c>
      <c r="HC45">
        <f t="shared" si="54"/>
        <v>0</v>
      </c>
      <c r="HE45" t="s">
        <v>3</v>
      </c>
      <c r="HF45" t="s">
        <v>3</v>
      </c>
      <c r="IK45">
        <v>0</v>
      </c>
    </row>
    <row r="46" spans="1:245" x14ac:dyDescent="0.2">
      <c r="A46">
        <v>17</v>
      </c>
      <c r="B46">
        <v>1</v>
      </c>
      <c r="C46">
        <f>ROW(SmtRes!A76)</f>
        <v>76</v>
      </c>
      <c r="D46">
        <f>ROW(EtalonRes!A84)</f>
        <v>84</v>
      </c>
      <c r="E46" t="s">
        <v>119</v>
      </c>
      <c r="F46" t="s">
        <v>120</v>
      </c>
      <c r="G46" t="s">
        <v>121</v>
      </c>
      <c r="H46" t="s">
        <v>29</v>
      </c>
      <c r="I46">
        <f>ROUND(1,5)</f>
        <v>1</v>
      </c>
      <c r="J46">
        <v>0</v>
      </c>
      <c r="O46">
        <f t="shared" si="21"/>
        <v>510.13</v>
      </c>
      <c r="P46">
        <f t="shared" si="22"/>
        <v>0</v>
      </c>
      <c r="Q46">
        <f t="shared" si="23"/>
        <v>0</v>
      </c>
      <c r="R46">
        <f t="shared" si="24"/>
        <v>0</v>
      </c>
      <c r="S46">
        <f t="shared" si="25"/>
        <v>510.13</v>
      </c>
      <c r="T46">
        <f t="shared" si="26"/>
        <v>0</v>
      </c>
      <c r="U46">
        <f t="shared" si="27"/>
        <v>1.7765999999999997</v>
      </c>
      <c r="V46">
        <f t="shared" si="28"/>
        <v>0</v>
      </c>
      <c r="W46">
        <f t="shared" si="29"/>
        <v>0</v>
      </c>
      <c r="X46">
        <f t="shared" si="30"/>
        <v>413.21</v>
      </c>
      <c r="Y46">
        <f t="shared" si="31"/>
        <v>367.29</v>
      </c>
      <c r="AA46">
        <v>68990560</v>
      </c>
      <c r="AB46">
        <f t="shared" si="32"/>
        <v>15.16</v>
      </c>
      <c r="AC46">
        <f>ROUND(((ES46*0)),2)</f>
        <v>0</v>
      </c>
      <c r="AD46">
        <f>ROUND((((((ET46*1.35)*0.7))-(((EU46*1.35)*0.7)))+AE46),2)</f>
        <v>0</v>
      </c>
      <c r="AE46">
        <f t="shared" si="56"/>
        <v>0</v>
      </c>
      <c r="AF46">
        <f t="shared" si="56"/>
        <v>15.16</v>
      </c>
      <c r="AG46">
        <f t="shared" si="33"/>
        <v>0</v>
      </c>
      <c r="AH46">
        <f t="shared" si="57"/>
        <v>1.7765999999999997</v>
      </c>
      <c r="AI46">
        <f t="shared" si="57"/>
        <v>0</v>
      </c>
      <c r="AJ46">
        <f t="shared" si="34"/>
        <v>0</v>
      </c>
      <c r="AK46">
        <v>16.04</v>
      </c>
      <c r="AL46">
        <v>0</v>
      </c>
      <c r="AM46">
        <v>0</v>
      </c>
      <c r="AN46">
        <v>0</v>
      </c>
      <c r="AO46">
        <v>16.04</v>
      </c>
      <c r="AP46">
        <v>0</v>
      </c>
      <c r="AQ46">
        <v>1.88</v>
      </c>
      <c r="AR46">
        <v>0</v>
      </c>
      <c r="AS46">
        <v>0</v>
      </c>
      <c r="AT46">
        <v>81</v>
      </c>
      <c r="AU46">
        <v>72</v>
      </c>
      <c r="AV46">
        <v>1</v>
      </c>
      <c r="AW46">
        <v>1</v>
      </c>
      <c r="AZ46">
        <v>1</v>
      </c>
      <c r="BA46">
        <v>33.65</v>
      </c>
      <c r="BB46">
        <v>1</v>
      </c>
      <c r="BC46">
        <v>1</v>
      </c>
      <c r="BD46" t="s">
        <v>3</v>
      </c>
      <c r="BE46" t="s">
        <v>3</v>
      </c>
      <c r="BF46" t="s">
        <v>3</v>
      </c>
      <c r="BG46" t="s">
        <v>3</v>
      </c>
      <c r="BH46">
        <v>0</v>
      </c>
      <c r="BI46">
        <v>1</v>
      </c>
      <c r="BJ46" t="s">
        <v>122</v>
      </c>
      <c r="BM46">
        <v>9001</v>
      </c>
      <c r="BN46">
        <v>0</v>
      </c>
      <c r="BO46" t="s">
        <v>120</v>
      </c>
      <c r="BP46">
        <v>1</v>
      </c>
      <c r="BQ46">
        <v>2</v>
      </c>
      <c r="BR46">
        <v>0</v>
      </c>
      <c r="BS46">
        <v>33.65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90</v>
      </c>
      <c r="CA46">
        <v>85</v>
      </c>
      <c r="CE46">
        <v>0</v>
      </c>
      <c r="CF46">
        <v>0</v>
      </c>
      <c r="CG46">
        <v>0</v>
      </c>
      <c r="CM46">
        <v>0</v>
      </c>
      <c r="CN46" t="s">
        <v>1330</v>
      </c>
      <c r="CO46">
        <v>0</v>
      </c>
      <c r="CP46">
        <f t="shared" si="35"/>
        <v>510.13</v>
      </c>
      <c r="CQ46">
        <f t="shared" si="36"/>
        <v>0</v>
      </c>
      <c r="CR46">
        <f t="shared" si="37"/>
        <v>0</v>
      </c>
      <c r="CS46">
        <f t="shared" si="38"/>
        <v>0</v>
      </c>
      <c r="CT46">
        <f t="shared" si="39"/>
        <v>510.13399999999996</v>
      </c>
      <c r="CU46">
        <f t="shared" si="40"/>
        <v>0</v>
      </c>
      <c r="CV46">
        <f t="shared" si="41"/>
        <v>1.7765999999999997</v>
      </c>
      <c r="CW46">
        <f t="shared" si="42"/>
        <v>0</v>
      </c>
      <c r="CX46">
        <f t="shared" si="43"/>
        <v>0</v>
      </c>
      <c r="CY46">
        <f t="shared" si="44"/>
        <v>413.20529999999997</v>
      </c>
      <c r="CZ46">
        <f t="shared" si="45"/>
        <v>367.29360000000003</v>
      </c>
      <c r="DC46" t="s">
        <v>3</v>
      </c>
      <c r="DD46" t="s">
        <v>20</v>
      </c>
      <c r="DE46" t="s">
        <v>48</v>
      </c>
      <c r="DF46" t="s">
        <v>48</v>
      </c>
      <c r="DG46" t="s">
        <v>48</v>
      </c>
      <c r="DH46" t="s">
        <v>3</v>
      </c>
      <c r="DI46" t="s">
        <v>48</v>
      </c>
      <c r="DJ46" t="s">
        <v>48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1013</v>
      </c>
      <c r="DV46" t="s">
        <v>29</v>
      </c>
      <c r="DW46" t="s">
        <v>29</v>
      </c>
      <c r="DX46">
        <v>1</v>
      </c>
      <c r="DZ46" t="s">
        <v>3</v>
      </c>
      <c r="EA46" t="s">
        <v>3</v>
      </c>
      <c r="EB46" t="s">
        <v>3</v>
      </c>
      <c r="EC46" t="s">
        <v>3</v>
      </c>
      <c r="EE46">
        <v>64095025</v>
      </c>
      <c r="EF46">
        <v>2</v>
      </c>
      <c r="EG46" t="s">
        <v>13</v>
      </c>
      <c r="EH46">
        <v>0</v>
      </c>
      <c r="EI46" t="s">
        <v>3</v>
      </c>
      <c r="EJ46">
        <v>1</v>
      </c>
      <c r="EK46">
        <v>9001</v>
      </c>
      <c r="EL46" t="s">
        <v>49</v>
      </c>
      <c r="EM46" t="s">
        <v>50</v>
      </c>
      <c r="EO46" t="s">
        <v>51</v>
      </c>
      <c r="EQ46">
        <v>0</v>
      </c>
      <c r="ER46">
        <v>16.04</v>
      </c>
      <c r="ES46">
        <v>0</v>
      </c>
      <c r="ET46">
        <v>0</v>
      </c>
      <c r="EU46">
        <v>0</v>
      </c>
      <c r="EV46">
        <v>16.04</v>
      </c>
      <c r="EW46">
        <v>1.88</v>
      </c>
      <c r="EX46">
        <v>0</v>
      </c>
      <c r="EY46">
        <v>0</v>
      </c>
      <c r="FQ46">
        <v>0</v>
      </c>
      <c r="FR46">
        <f t="shared" si="46"/>
        <v>0</v>
      </c>
      <c r="FS46">
        <v>0</v>
      </c>
      <c r="FT46" t="s">
        <v>52</v>
      </c>
      <c r="FU46" t="s">
        <v>53</v>
      </c>
      <c r="FX46">
        <v>81</v>
      </c>
      <c r="FY46">
        <v>72.25</v>
      </c>
      <c r="GA46" t="s">
        <v>3</v>
      </c>
      <c r="GD46">
        <v>1</v>
      </c>
      <c r="GF46">
        <v>-2147393965</v>
      </c>
      <c r="GG46">
        <v>2</v>
      </c>
      <c r="GH46">
        <v>1</v>
      </c>
      <c r="GI46">
        <v>2</v>
      </c>
      <c r="GJ46">
        <v>0</v>
      </c>
      <c r="GK46">
        <v>0</v>
      </c>
      <c r="GL46">
        <f t="shared" si="47"/>
        <v>0</v>
      </c>
      <c r="GM46">
        <f t="shared" si="48"/>
        <v>1290.6300000000001</v>
      </c>
      <c r="GN46">
        <f t="shared" si="49"/>
        <v>1290.6300000000001</v>
      </c>
      <c r="GO46">
        <f t="shared" si="50"/>
        <v>0</v>
      </c>
      <c r="GP46">
        <f t="shared" si="51"/>
        <v>0</v>
      </c>
      <c r="GR46">
        <v>0</v>
      </c>
      <c r="GS46">
        <v>3</v>
      </c>
      <c r="GT46">
        <v>0</v>
      </c>
      <c r="GU46" t="s">
        <v>3</v>
      </c>
      <c r="GV46">
        <f t="shared" si="52"/>
        <v>0</v>
      </c>
      <c r="GW46">
        <v>1</v>
      </c>
      <c r="GX46">
        <f t="shared" si="53"/>
        <v>0</v>
      </c>
      <c r="HA46">
        <v>0</v>
      </c>
      <c r="HB46">
        <v>0</v>
      </c>
      <c r="HC46">
        <f t="shared" si="54"/>
        <v>0</v>
      </c>
      <c r="HE46" t="s">
        <v>3</v>
      </c>
      <c r="HF46" t="s">
        <v>3</v>
      </c>
      <c r="IK46">
        <v>0</v>
      </c>
    </row>
    <row r="47" spans="1:245" x14ac:dyDescent="0.2">
      <c r="A47">
        <v>17</v>
      </c>
      <c r="B47">
        <v>1</v>
      </c>
      <c r="C47">
        <f>ROW(SmtRes!A78)</f>
        <v>78</v>
      </c>
      <c r="D47">
        <f>ROW(EtalonRes!A87)</f>
        <v>87</v>
      </c>
      <c r="E47" t="s">
        <v>123</v>
      </c>
      <c r="F47" t="s">
        <v>124</v>
      </c>
      <c r="G47" t="s">
        <v>125</v>
      </c>
      <c r="H47" t="s">
        <v>29</v>
      </c>
      <c r="I47">
        <f>ROUND(1,5)</f>
        <v>1</v>
      </c>
      <c r="J47">
        <v>0</v>
      </c>
      <c r="O47">
        <f t="shared" si="21"/>
        <v>24.56</v>
      </c>
      <c r="P47">
        <f t="shared" si="22"/>
        <v>0</v>
      </c>
      <c r="Q47">
        <f t="shared" si="23"/>
        <v>0</v>
      </c>
      <c r="R47">
        <f t="shared" si="24"/>
        <v>0</v>
      </c>
      <c r="S47">
        <f t="shared" si="25"/>
        <v>24.56</v>
      </c>
      <c r="T47">
        <f t="shared" si="26"/>
        <v>0</v>
      </c>
      <c r="U47">
        <f t="shared" si="27"/>
        <v>8.5049999999999987E-2</v>
      </c>
      <c r="V47">
        <f t="shared" si="28"/>
        <v>0</v>
      </c>
      <c r="W47">
        <f t="shared" si="29"/>
        <v>0</v>
      </c>
      <c r="X47">
        <f t="shared" si="30"/>
        <v>19.89</v>
      </c>
      <c r="Y47">
        <f t="shared" si="31"/>
        <v>17.68</v>
      </c>
      <c r="AA47">
        <v>68990560</v>
      </c>
      <c r="AB47">
        <f t="shared" si="32"/>
        <v>0.73</v>
      </c>
      <c r="AC47">
        <f>ROUND(((ES47*0)),2)</f>
        <v>0</v>
      </c>
      <c r="AD47">
        <f>ROUND((((((ET47*1.35)*0.7))-(((EU47*1.35)*0.7)))+AE47),2)</f>
        <v>0</v>
      </c>
      <c r="AE47">
        <f t="shared" si="56"/>
        <v>0</v>
      </c>
      <c r="AF47">
        <f t="shared" si="56"/>
        <v>0.73</v>
      </c>
      <c r="AG47">
        <f t="shared" si="33"/>
        <v>0</v>
      </c>
      <c r="AH47">
        <f t="shared" si="57"/>
        <v>8.5049999999999987E-2</v>
      </c>
      <c r="AI47">
        <f t="shared" si="57"/>
        <v>0</v>
      </c>
      <c r="AJ47">
        <f t="shared" si="34"/>
        <v>0</v>
      </c>
      <c r="AK47">
        <v>0.98</v>
      </c>
      <c r="AL47">
        <v>0.21</v>
      </c>
      <c r="AM47">
        <v>0</v>
      </c>
      <c r="AN47">
        <v>0</v>
      </c>
      <c r="AO47">
        <v>0.77</v>
      </c>
      <c r="AP47">
        <v>0</v>
      </c>
      <c r="AQ47">
        <v>0.09</v>
      </c>
      <c r="AR47">
        <v>0</v>
      </c>
      <c r="AS47">
        <v>0</v>
      </c>
      <c r="AT47">
        <v>81</v>
      </c>
      <c r="AU47">
        <v>72</v>
      </c>
      <c r="AV47">
        <v>1</v>
      </c>
      <c r="AW47">
        <v>1</v>
      </c>
      <c r="AZ47">
        <v>1</v>
      </c>
      <c r="BA47">
        <v>33.65</v>
      </c>
      <c r="BB47">
        <v>1</v>
      </c>
      <c r="BC47">
        <v>5.56</v>
      </c>
      <c r="BD47" t="s">
        <v>3</v>
      </c>
      <c r="BE47" t="s">
        <v>3</v>
      </c>
      <c r="BF47" t="s">
        <v>3</v>
      </c>
      <c r="BG47" t="s">
        <v>3</v>
      </c>
      <c r="BH47">
        <v>0</v>
      </c>
      <c r="BI47">
        <v>1</v>
      </c>
      <c r="BJ47" t="s">
        <v>126</v>
      </c>
      <c r="BM47">
        <v>9001</v>
      </c>
      <c r="BN47">
        <v>0</v>
      </c>
      <c r="BO47" t="s">
        <v>124</v>
      </c>
      <c r="BP47">
        <v>1</v>
      </c>
      <c r="BQ47">
        <v>2</v>
      </c>
      <c r="BR47">
        <v>0</v>
      </c>
      <c r="BS47">
        <v>33.65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90</v>
      </c>
      <c r="CA47">
        <v>85</v>
      </c>
      <c r="CE47">
        <v>0</v>
      </c>
      <c r="CF47">
        <v>0</v>
      </c>
      <c r="CG47">
        <v>0</v>
      </c>
      <c r="CM47">
        <v>0</v>
      </c>
      <c r="CN47" t="s">
        <v>1330</v>
      </c>
      <c r="CO47">
        <v>0</v>
      </c>
      <c r="CP47">
        <f t="shared" si="35"/>
        <v>24.56</v>
      </c>
      <c r="CQ47">
        <f t="shared" si="36"/>
        <v>0</v>
      </c>
      <c r="CR47">
        <f t="shared" si="37"/>
        <v>0</v>
      </c>
      <c r="CS47">
        <f t="shared" si="38"/>
        <v>0</v>
      </c>
      <c r="CT47">
        <f t="shared" si="39"/>
        <v>24.564499999999999</v>
      </c>
      <c r="CU47">
        <f t="shared" si="40"/>
        <v>0</v>
      </c>
      <c r="CV47">
        <f t="shared" si="41"/>
        <v>8.5049999999999987E-2</v>
      </c>
      <c r="CW47">
        <f t="shared" si="42"/>
        <v>0</v>
      </c>
      <c r="CX47">
        <f t="shared" si="43"/>
        <v>0</v>
      </c>
      <c r="CY47">
        <f t="shared" si="44"/>
        <v>19.893599999999999</v>
      </c>
      <c r="CZ47">
        <f t="shared" si="45"/>
        <v>17.683199999999999</v>
      </c>
      <c r="DC47" t="s">
        <v>3</v>
      </c>
      <c r="DD47" t="s">
        <v>20</v>
      </c>
      <c r="DE47" t="s">
        <v>48</v>
      </c>
      <c r="DF47" t="s">
        <v>48</v>
      </c>
      <c r="DG47" t="s">
        <v>48</v>
      </c>
      <c r="DH47" t="s">
        <v>3</v>
      </c>
      <c r="DI47" t="s">
        <v>48</v>
      </c>
      <c r="DJ47" t="s">
        <v>48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1013</v>
      </c>
      <c r="DV47" t="s">
        <v>29</v>
      </c>
      <c r="DW47" t="s">
        <v>29</v>
      </c>
      <c r="DX47">
        <v>1</v>
      </c>
      <c r="DZ47" t="s">
        <v>3</v>
      </c>
      <c r="EA47" t="s">
        <v>3</v>
      </c>
      <c r="EB47" t="s">
        <v>3</v>
      </c>
      <c r="EC47" t="s">
        <v>3</v>
      </c>
      <c r="EE47">
        <v>64095025</v>
      </c>
      <c r="EF47">
        <v>2</v>
      </c>
      <c r="EG47" t="s">
        <v>13</v>
      </c>
      <c r="EH47">
        <v>0</v>
      </c>
      <c r="EI47" t="s">
        <v>3</v>
      </c>
      <c r="EJ47">
        <v>1</v>
      </c>
      <c r="EK47">
        <v>9001</v>
      </c>
      <c r="EL47" t="s">
        <v>49</v>
      </c>
      <c r="EM47" t="s">
        <v>50</v>
      </c>
      <c r="EO47" t="s">
        <v>51</v>
      </c>
      <c r="EQ47">
        <v>0</v>
      </c>
      <c r="ER47">
        <v>0.98</v>
      </c>
      <c r="ES47">
        <v>0.21</v>
      </c>
      <c r="ET47">
        <v>0</v>
      </c>
      <c r="EU47">
        <v>0</v>
      </c>
      <c r="EV47">
        <v>0.77</v>
      </c>
      <c r="EW47">
        <v>0.09</v>
      </c>
      <c r="EX47">
        <v>0</v>
      </c>
      <c r="EY47">
        <v>0</v>
      </c>
      <c r="FQ47">
        <v>0</v>
      </c>
      <c r="FR47">
        <f t="shared" si="46"/>
        <v>0</v>
      </c>
      <c r="FS47">
        <v>0</v>
      </c>
      <c r="FT47" t="s">
        <v>52</v>
      </c>
      <c r="FU47" t="s">
        <v>53</v>
      </c>
      <c r="FX47">
        <v>81</v>
      </c>
      <c r="FY47">
        <v>72.25</v>
      </c>
      <c r="GA47" t="s">
        <v>3</v>
      </c>
      <c r="GD47">
        <v>1</v>
      </c>
      <c r="GF47">
        <v>-1036280430</v>
      </c>
      <c r="GG47">
        <v>2</v>
      </c>
      <c r="GH47">
        <v>1</v>
      </c>
      <c r="GI47">
        <v>2</v>
      </c>
      <c r="GJ47">
        <v>0</v>
      </c>
      <c r="GK47">
        <v>0</v>
      </c>
      <c r="GL47">
        <f t="shared" si="47"/>
        <v>0</v>
      </c>
      <c r="GM47">
        <f t="shared" si="48"/>
        <v>62.13</v>
      </c>
      <c r="GN47">
        <f t="shared" si="49"/>
        <v>62.13</v>
      </c>
      <c r="GO47">
        <f t="shared" si="50"/>
        <v>0</v>
      </c>
      <c r="GP47">
        <f t="shared" si="51"/>
        <v>0</v>
      </c>
      <c r="GR47">
        <v>0</v>
      </c>
      <c r="GS47">
        <v>3</v>
      </c>
      <c r="GT47">
        <v>0</v>
      </c>
      <c r="GU47" t="s">
        <v>3</v>
      </c>
      <c r="GV47">
        <f t="shared" si="52"/>
        <v>0</v>
      </c>
      <c r="GW47">
        <v>1</v>
      </c>
      <c r="GX47">
        <f t="shared" si="53"/>
        <v>0</v>
      </c>
      <c r="HA47">
        <v>0</v>
      </c>
      <c r="HB47">
        <v>0</v>
      </c>
      <c r="HC47">
        <f t="shared" si="54"/>
        <v>0</v>
      </c>
      <c r="HE47" t="s">
        <v>3</v>
      </c>
      <c r="HF47" t="s">
        <v>3</v>
      </c>
      <c r="IK47">
        <v>0</v>
      </c>
    </row>
    <row r="48" spans="1:245" x14ac:dyDescent="0.2">
      <c r="A48">
        <v>17</v>
      </c>
      <c r="B48">
        <v>1</v>
      </c>
      <c r="C48">
        <f>ROW(SmtRes!A100)</f>
        <v>100</v>
      </c>
      <c r="D48">
        <f>ROW(EtalonRes!A110)</f>
        <v>110</v>
      </c>
      <c r="E48" t="s">
        <v>127</v>
      </c>
      <c r="F48" t="s">
        <v>128</v>
      </c>
      <c r="G48" t="s">
        <v>129</v>
      </c>
      <c r="H48" t="s">
        <v>71</v>
      </c>
      <c r="I48">
        <f>ROUND(0.007,5)</f>
        <v>7.0000000000000001E-3</v>
      </c>
      <c r="J48">
        <v>0</v>
      </c>
      <c r="O48">
        <f t="shared" si="21"/>
        <v>50.01</v>
      </c>
      <c r="P48">
        <f t="shared" si="22"/>
        <v>0</v>
      </c>
      <c r="Q48">
        <f t="shared" si="23"/>
        <v>13.81</v>
      </c>
      <c r="R48">
        <f t="shared" si="24"/>
        <v>4.38</v>
      </c>
      <c r="S48">
        <f t="shared" si="25"/>
        <v>36.200000000000003</v>
      </c>
      <c r="T48">
        <f t="shared" si="26"/>
        <v>0</v>
      </c>
      <c r="U48">
        <f t="shared" si="27"/>
        <v>0.11443950000000001</v>
      </c>
      <c r="V48">
        <f t="shared" si="28"/>
        <v>9.7240500000000014E-3</v>
      </c>
      <c r="W48">
        <f t="shared" si="29"/>
        <v>0</v>
      </c>
      <c r="X48">
        <f t="shared" si="30"/>
        <v>32.869999999999997</v>
      </c>
      <c r="Y48">
        <f t="shared" si="31"/>
        <v>29.22</v>
      </c>
      <c r="AA48">
        <v>68990560</v>
      </c>
      <c r="AB48">
        <f t="shared" si="32"/>
        <v>370.08</v>
      </c>
      <c r="AC48">
        <f>ROUND(((ES48*0)),2)</f>
        <v>0</v>
      </c>
      <c r="AD48">
        <f>ROUND((((((ET48*1.35)*0.7))-(((EU48*1.35)*0.7)))+AE48),2)</f>
        <v>216.4</v>
      </c>
      <c r="AE48">
        <f t="shared" si="56"/>
        <v>18.59</v>
      </c>
      <c r="AF48">
        <f t="shared" si="56"/>
        <v>153.68</v>
      </c>
      <c r="AG48">
        <f t="shared" si="33"/>
        <v>0</v>
      </c>
      <c r="AH48">
        <f t="shared" si="57"/>
        <v>16.348500000000001</v>
      </c>
      <c r="AI48">
        <f t="shared" si="57"/>
        <v>1.3891500000000001</v>
      </c>
      <c r="AJ48">
        <f t="shared" si="34"/>
        <v>0</v>
      </c>
      <c r="AK48">
        <v>842.06</v>
      </c>
      <c r="AL48">
        <v>450.45</v>
      </c>
      <c r="AM48">
        <v>228.99</v>
      </c>
      <c r="AN48">
        <v>19.670000000000002</v>
      </c>
      <c r="AO48">
        <v>162.62</v>
      </c>
      <c r="AP48">
        <v>0</v>
      </c>
      <c r="AQ48">
        <v>17.3</v>
      </c>
      <c r="AR48">
        <v>1.47</v>
      </c>
      <c r="AS48">
        <v>0</v>
      </c>
      <c r="AT48">
        <v>81</v>
      </c>
      <c r="AU48">
        <v>72</v>
      </c>
      <c r="AV48">
        <v>1</v>
      </c>
      <c r="AW48">
        <v>1</v>
      </c>
      <c r="AZ48">
        <v>1</v>
      </c>
      <c r="BA48">
        <v>33.65</v>
      </c>
      <c r="BB48">
        <v>9.1199999999999992</v>
      </c>
      <c r="BC48">
        <v>10.1</v>
      </c>
      <c r="BD48" t="s">
        <v>3</v>
      </c>
      <c r="BE48" t="s">
        <v>3</v>
      </c>
      <c r="BF48" t="s">
        <v>3</v>
      </c>
      <c r="BG48" t="s">
        <v>3</v>
      </c>
      <c r="BH48">
        <v>0</v>
      </c>
      <c r="BI48">
        <v>1</v>
      </c>
      <c r="BJ48" t="s">
        <v>130</v>
      </c>
      <c r="BM48">
        <v>9001</v>
      </c>
      <c r="BN48">
        <v>0</v>
      </c>
      <c r="BO48" t="s">
        <v>128</v>
      </c>
      <c r="BP48">
        <v>1</v>
      </c>
      <c r="BQ48">
        <v>2</v>
      </c>
      <c r="BR48">
        <v>0</v>
      </c>
      <c r="BS48">
        <v>33.65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90</v>
      </c>
      <c r="CA48">
        <v>85</v>
      </c>
      <c r="CE48">
        <v>0</v>
      </c>
      <c r="CF48">
        <v>0</v>
      </c>
      <c r="CG48">
        <v>0</v>
      </c>
      <c r="CM48">
        <v>0</v>
      </c>
      <c r="CN48" t="s">
        <v>1330</v>
      </c>
      <c r="CO48">
        <v>0</v>
      </c>
      <c r="CP48">
        <f t="shared" si="35"/>
        <v>50.010000000000005</v>
      </c>
      <c r="CQ48">
        <f t="shared" si="36"/>
        <v>0</v>
      </c>
      <c r="CR48">
        <f t="shared" si="37"/>
        <v>1973.568</v>
      </c>
      <c r="CS48">
        <f t="shared" si="38"/>
        <v>625.55349999999999</v>
      </c>
      <c r="CT48">
        <f t="shared" si="39"/>
        <v>5171.3320000000003</v>
      </c>
      <c r="CU48">
        <f t="shared" si="40"/>
        <v>0</v>
      </c>
      <c r="CV48">
        <f t="shared" si="41"/>
        <v>16.348500000000001</v>
      </c>
      <c r="CW48">
        <f t="shared" si="42"/>
        <v>1.3891500000000001</v>
      </c>
      <c r="CX48">
        <f t="shared" si="43"/>
        <v>0</v>
      </c>
      <c r="CY48">
        <f t="shared" si="44"/>
        <v>32.869800000000005</v>
      </c>
      <c r="CZ48">
        <f t="shared" si="45"/>
        <v>29.217600000000001</v>
      </c>
      <c r="DC48" t="s">
        <v>3</v>
      </c>
      <c r="DD48" t="s">
        <v>20</v>
      </c>
      <c r="DE48" t="s">
        <v>48</v>
      </c>
      <c r="DF48" t="s">
        <v>48</v>
      </c>
      <c r="DG48" t="s">
        <v>48</v>
      </c>
      <c r="DH48" t="s">
        <v>3</v>
      </c>
      <c r="DI48" t="s">
        <v>48</v>
      </c>
      <c r="DJ48" t="s">
        <v>48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1009</v>
      </c>
      <c r="DV48" t="s">
        <v>71</v>
      </c>
      <c r="DW48" t="s">
        <v>71</v>
      </c>
      <c r="DX48">
        <v>1000</v>
      </c>
      <c r="DZ48" t="s">
        <v>3</v>
      </c>
      <c r="EA48" t="s">
        <v>3</v>
      </c>
      <c r="EB48" t="s">
        <v>3</v>
      </c>
      <c r="EC48" t="s">
        <v>3</v>
      </c>
      <c r="EE48">
        <v>64095025</v>
      </c>
      <c r="EF48">
        <v>2</v>
      </c>
      <c r="EG48" t="s">
        <v>13</v>
      </c>
      <c r="EH48">
        <v>0</v>
      </c>
      <c r="EI48" t="s">
        <v>3</v>
      </c>
      <c r="EJ48">
        <v>1</v>
      </c>
      <c r="EK48">
        <v>9001</v>
      </c>
      <c r="EL48" t="s">
        <v>49</v>
      </c>
      <c r="EM48" t="s">
        <v>50</v>
      </c>
      <c r="EO48" t="s">
        <v>51</v>
      </c>
      <c r="EQ48">
        <v>0</v>
      </c>
      <c r="ER48">
        <v>842.06</v>
      </c>
      <c r="ES48">
        <v>450.45</v>
      </c>
      <c r="ET48">
        <v>228.99</v>
      </c>
      <c r="EU48">
        <v>19.670000000000002</v>
      </c>
      <c r="EV48">
        <v>162.62</v>
      </c>
      <c r="EW48">
        <v>17.3</v>
      </c>
      <c r="EX48">
        <v>1.47</v>
      </c>
      <c r="EY48">
        <v>0</v>
      </c>
      <c r="FQ48">
        <v>0</v>
      </c>
      <c r="FR48">
        <f t="shared" si="46"/>
        <v>0</v>
      </c>
      <c r="FS48">
        <v>0</v>
      </c>
      <c r="FT48" t="s">
        <v>52</v>
      </c>
      <c r="FU48" t="s">
        <v>53</v>
      </c>
      <c r="FX48">
        <v>81</v>
      </c>
      <c r="FY48">
        <v>72.25</v>
      </c>
      <c r="GA48" t="s">
        <v>3</v>
      </c>
      <c r="GD48">
        <v>1</v>
      </c>
      <c r="GF48">
        <v>1610540365</v>
      </c>
      <c r="GG48">
        <v>2</v>
      </c>
      <c r="GH48">
        <v>1</v>
      </c>
      <c r="GI48">
        <v>2</v>
      </c>
      <c r="GJ48">
        <v>0</v>
      </c>
      <c r="GK48">
        <v>0</v>
      </c>
      <c r="GL48">
        <f t="shared" si="47"/>
        <v>0</v>
      </c>
      <c r="GM48">
        <f t="shared" si="48"/>
        <v>112.1</v>
      </c>
      <c r="GN48">
        <f t="shared" si="49"/>
        <v>112.1</v>
      </c>
      <c r="GO48">
        <f t="shared" si="50"/>
        <v>0</v>
      </c>
      <c r="GP48">
        <f t="shared" si="51"/>
        <v>0</v>
      </c>
      <c r="GR48">
        <v>0</v>
      </c>
      <c r="GS48">
        <v>3</v>
      </c>
      <c r="GT48">
        <v>0</v>
      </c>
      <c r="GU48" t="s">
        <v>3</v>
      </c>
      <c r="GV48">
        <f t="shared" si="52"/>
        <v>0</v>
      </c>
      <c r="GW48">
        <v>1</v>
      </c>
      <c r="GX48">
        <f t="shared" si="53"/>
        <v>0</v>
      </c>
      <c r="HA48">
        <v>0</v>
      </c>
      <c r="HB48">
        <v>0</v>
      </c>
      <c r="HC48">
        <f t="shared" si="54"/>
        <v>0</v>
      </c>
      <c r="HE48" t="s">
        <v>3</v>
      </c>
      <c r="HF48" t="s">
        <v>3</v>
      </c>
      <c r="IK48">
        <v>0</v>
      </c>
    </row>
    <row r="49" spans="1:245" x14ac:dyDescent="0.2">
      <c r="A49">
        <v>17</v>
      </c>
      <c r="B49">
        <v>1</v>
      </c>
      <c r="C49">
        <f>ROW(SmtRes!A104)</f>
        <v>104</v>
      </c>
      <c r="D49">
        <f>ROW(EtalonRes!A115)</f>
        <v>115</v>
      </c>
      <c r="E49" t="s">
        <v>131</v>
      </c>
      <c r="F49" t="s">
        <v>132</v>
      </c>
      <c r="G49" t="s">
        <v>133</v>
      </c>
      <c r="H49" t="s">
        <v>29</v>
      </c>
      <c r="I49">
        <f>ROUND(2,5)</f>
        <v>2</v>
      </c>
      <c r="J49">
        <v>0</v>
      </c>
      <c r="O49">
        <f t="shared" si="21"/>
        <v>719.66</v>
      </c>
      <c r="P49">
        <f t="shared" si="22"/>
        <v>0</v>
      </c>
      <c r="Q49">
        <f t="shared" si="23"/>
        <v>19.739999999999998</v>
      </c>
      <c r="R49">
        <f t="shared" si="24"/>
        <v>0</v>
      </c>
      <c r="S49">
        <f t="shared" si="25"/>
        <v>699.92</v>
      </c>
      <c r="T49">
        <f t="shared" si="26"/>
        <v>0</v>
      </c>
      <c r="U49">
        <f t="shared" si="27"/>
        <v>2.0979000000000001</v>
      </c>
      <c r="V49">
        <f t="shared" si="28"/>
        <v>0</v>
      </c>
      <c r="W49">
        <f t="shared" si="29"/>
        <v>0</v>
      </c>
      <c r="X49">
        <f t="shared" si="30"/>
        <v>566.94000000000005</v>
      </c>
      <c r="Y49">
        <f t="shared" si="31"/>
        <v>503.94</v>
      </c>
      <c r="AA49">
        <v>68990560</v>
      </c>
      <c r="AB49">
        <f t="shared" si="32"/>
        <v>12.39</v>
      </c>
      <c r="AC49">
        <f>ROUND(((ES49*0)),2)</f>
        <v>0</v>
      </c>
      <c r="AD49">
        <f>ROUND((((((ET49*1.35)*0.7))-(((EU49*1.35)*0.7)))+AE49),2)</f>
        <v>1.99</v>
      </c>
      <c r="AE49">
        <f t="shared" si="56"/>
        <v>0</v>
      </c>
      <c r="AF49">
        <f t="shared" si="56"/>
        <v>10.4</v>
      </c>
      <c r="AG49">
        <f t="shared" si="33"/>
        <v>0</v>
      </c>
      <c r="AH49">
        <f t="shared" si="57"/>
        <v>1.04895</v>
      </c>
      <c r="AI49">
        <f t="shared" si="57"/>
        <v>0</v>
      </c>
      <c r="AJ49">
        <f t="shared" si="34"/>
        <v>0</v>
      </c>
      <c r="AK49">
        <v>15.44</v>
      </c>
      <c r="AL49">
        <v>2.3199999999999998</v>
      </c>
      <c r="AM49">
        <v>2.11</v>
      </c>
      <c r="AN49">
        <v>0</v>
      </c>
      <c r="AO49">
        <v>11.01</v>
      </c>
      <c r="AP49">
        <v>0</v>
      </c>
      <c r="AQ49">
        <v>1.1100000000000001</v>
      </c>
      <c r="AR49">
        <v>0</v>
      </c>
      <c r="AS49">
        <v>0</v>
      </c>
      <c r="AT49">
        <v>81</v>
      </c>
      <c r="AU49">
        <v>72</v>
      </c>
      <c r="AV49">
        <v>1</v>
      </c>
      <c r="AW49">
        <v>1</v>
      </c>
      <c r="AZ49">
        <v>1</v>
      </c>
      <c r="BA49">
        <v>33.65</v>
      </c>
      <c r="BB49">
        <v>4.96</v>
      </c>
      <c r="BC49">
        <v>5.59</v>
      </c>
      <c r="BD49" t="s">
        <v>3</v>
      </c>
      <c r="BE49" t="s">
        <v>3</v>
      </c>
      <c r="BF49" t="s">
        <v>3</v>
      </c>
      <c r="BG49" t="s">
        <v>3</v>
      </c>
      <c r="BH49">
        <v>0</v>
      </c>
      <c r="BI49">
        <v>1</v>
      </c>
      <c r="BJ49" t="s">
        <v>134</v>
      </c>
      <c r="BM49">
        <v>9001</v>
      </c>
      <c r="BN49">
        <v>0</v>
      </c>
      <c r="BO49" t="s">
        <v>132</v>
      </c>
      <c r="BP49">
        <v>1</v>
      </c>
      <c r="BQ49">
        <v>2</v>
      </c>
      <c r="BR49">
        <v>0</v>
      </c>
      <c r="BS49">
        <v>33.65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90</v>
      </c>
      <c r="CA49">
        <v>85</v>
      </c>
      <c r="CE49">
        <v>0</v>
      </c>
      <c r="CF49">
        <v>0</v>
      </c>
      <c r="CG49">
        <v>0</v>
      </c>
      <c r="CM49">
        <v>0</v>
      </c>
      <c r="CN49" t="s">
        <v>1330</v>
      </c>
      <c r="CO49">
        <v>0</v>
      </c>
      <c r="CP49">
        <f t="shared" si="35"/>
        <v>719.66</v>
      </c>
      <c r="CQ49">
        <f t="shared" si="36"/>
        <v>0</v>
      </c>
      <c r="CR49">
        <f t="shared" si="37"/>
        <v>9.8704000000000001</v>
      </c>
      <c r="CS49">
        <f t="shared" si="38"/>
        <v>0</v>
      </c>
      <c r="CT49">
        <f t="shared" si="39"/>
        <v>349.96</v>
      </c>
      <c r="CU49">
        <f t="shared" si="40"/>
        <v>0</v>
      </c>
      <c r="CV49">
        <f t="shared" si="41"/>
        <v>1.04895</v>
      </c>
      <c r="CW49">
        <f t="shared" si="42"/>
        <v>0</v>
      </c>
      <c r="CX49">
        <f t="shared" si="43"/>
        <v>0</v>
      </c>
      <c r="CY49">
        <f t="shared" si="44"/>
        <v>566.93520000000001</v>
      </c>
      <c r="CZ49">
        <f t="shared" si="45"/>
        <v>503.94239999999996</v>
      </c>
      <c r="DC49" t="s">
        <v>3</v>
      </c>
      <c r="DD49" t="s">
        <v>20</v>
      </c>
      <c r="DE49" t="s">
        <v>48</v>
      </c>
      <c r="DF49" t="s">
        <v>48</v>
      </c>
      <c r="DG49" t="s">
        <v>48</v>
      </c>
      <c r="DH49" t="s">
        <v>3</v>
      </c>
      <c r="DI49" t="s">
        <v>48</v>
      </c>
      <c r="DJ49" t="s">
        <v>48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1013</v>
      </c>
      <c r="DV49" t="s">
        <v>29</v>
      </c>
      <c r="DW49" t="s">
        <v>29</v>
      </c>
      <c r="DX49">
        <v>1</v>
      </c>
      <c r="DZ49" t="s">
        <v>3</v>
      </c>
      <c r="EA49" t="s">
        <v>3</v>
      </c>
      <c r="EB49" t="s">
        <v>3</v>
      </c>
      <c r="EC49" t="s">
        <v>3</v>
      </c>
      <c r="EE49">
        <v>64095025</v>
      </c>
      <c r="EF49">
        <v>2</v>
      </c>
      <c r="EG49" t="s">
        <v>13</v>
      </c>
      <c r="EH49">
        <v>0</v>
      </c>
      <c r="EI49" t="s">
        <v>3</v>
      </c>
      <c r="EJ49">
        <v>1</v>
      </c>
      <c r="EK49">
        <v>9001</v>
      </c>
      <c r="EL49" t="s">
        <v>49</v>
      </c>
      <c r="EM49" t="s">
        <v>50</v>
      </c>
      <c r="EO49" t="s">
        <v>51</v>
      </c>
      <c r="EQ49">
        <v>0</v>
      </c>
      <c r="ER49">
        <v>15.44</v>
      </c>
      <c r="ES49">
        <v>2.3199999999999998</v>
      </c>
      <c r="ET49">
        <v>2.11</v>
      </c>
      <c r="EU49">
        <v>0</v>
      </c>
      <c r="EV49">
        <v>11.01</v>
      </c>
      <c r="EW49">
        <v>1.1100000000000001</v>
      </c>
      <c r="EX49">
        <v>0</v>
      </c>
      <c r="EY49">
        <v>0</v>
      </c>
      <c r="FQ49">
        <v>0</v>
      </c>
      <c r="FR49">
        <f t="shared" si="46"/>
        <v>0</v>
      </c>
      <c r="FS49">
        <v>0</v>
      </c>
      <c r="FT49" t="s">
        <v>52</v>
      </c>
      <c r="FU49" t="s">
        <v>53</v>
      </c>
      <c r="FX49">
        <v>81</v>
      </c>
      <c r="FY49">
        <v>72.25</v>
      </c>
      <c r="GA49" t="s">
        <v>3</v>
      </c>
      <c r="GD49">
        <v>1</v>
      </c>
      <c r="GF49">
        <v>-1183198104</v>
      </c>
      <c r="GG49">
        <v>2</v>
      </c>
      <c r="GH49">
        <v>1</v>
      </c>
      <c r="GI49">
        <v>2</v>
      </c>
      <c r="GJ49">
        <v>0</v>
      </c>
      <c r="GK49">
        <v>0</v>
      </c>
      <c r="GL49">
        <f t="shared" si="47"/>
        <v>0</v>
      </c>
      <c r="GM49">
        <f t="shared" si="48"/>
        <v>1790.54</v>
      </c>
      <c r="GN49">
        <f t="shared" si="49"/>
        <v>1790.54</v>
      </c>
      <c r="GO49">
        <f t="shared" si="50"/>
        <v>0</v>
      </c>
      <c r="GP49">
        <f t="shared" si="51"/>
        <v>0</v>
      </c>
      <c r="GR49">
        <v>0</v>
      </c>
      <c r="GS49">
        <v>3</v>
      </c>
      <c r="GT49">
        <v>0</v>
      </c>
      <c r="GU49" t="s">
        <v>3</v>
      </c>
      <c r="GV49">
        <f t="shared" si="52"/>
        <v>0</v>
      </c>
      <c r="GW49">
        <v>1</v>
      </c>
      <c r="GX49">
        <f t="shared" si="53"/>
        <v>0</v>
      </c>
      <c r="HA49">
        <v>0</v>
      </c>
      <c r="HB49">
        <v>0</v>
      </c>
      <c r="HC49">
        <f t="shared" si="54"/>
        <v>0</v>
      </c>
      <c r="HE49" t="s">
        <v>3</v>
      </c>
      <c r="HF49" t="s">
        <v>3</v>
      </c>
      <c r="IK49">
        <v>0</v>
      </c>
    </row>
    <row r="50" spans="1:245" x14ac:dyDescent="0.2">
      <c r="A50">
        <v>17</v>
      </c>
      <c r="B50">
        <v>1</v>
      </c>
      <c r="C50">
        <f>ROW(SmtRes!A110)</f>
        <v>110</v>
      </c>
      <c r="D50">
        <f>ROW(EtalonRes!A121)</f>
        <v>121</v>
      </c>
      <c r="E50" t="s">
        <v>135</v>
      </c>
      <c r="F50" t="s">
        <v>136</v>
      </c>
      <c r="G50" t="s">
        <v>137</v>
      </c>
      <c r="H50" t="s">
        <v>138</v>
      </c>
      <c r="I50">
        <f>ROUND(0.21/100,5)</f>
        <v>2.0999999999999999E-3</v>
      </c>
      <c r="J50">
        <v>0</v>
      </c>
      <c r="O50">
        <f t="shared" si="21"/>
        <v>177.49</v>
      </c>
      <c r="P50">
        <f t="shared" si="22"/>
        <v>0</v>
      </c>
      <c r="Q50">
        <f t="shared" si="23"/>
        <v>72.819999999999993</v>
      </c>
      <c r="R50">
        <f t="shared" si="24"/>
        <v>32.36</v>
      </c>
      <c r="S50">
        <f t="shared" si="25"/>
        <v>104.67</v>
      </c>
      <c r="T50">
        <f t="shared" si="26"/>
        <v>0</v>
      </c>
      <c r="U50">
        <f t="shared" si="27"/>
        <v>0.37432499999999996</v>
      </c>
      <c r="V50">
        <f t="shared" si="28"/>
        <v>9.430574999999998E-2</v>
      </c>
      <c r="W50">
        <f t="shared" si="29"/>
        <v>0</v>
      </c>
      <c r="X50">
        <f t="shared" si="30"/>
        <v>142.51</v>
      </c>
      <c r="Y50">
        <f t="shared" si="31"/>
        <v>82.22</v>
      </c>
      <c r="AA50">
        <v>68990560</v>
      </c>
      <c r="AB50">
        <f t="shared" si="32"/>
        <v>5725.59</v>
      </c>
      <c r="AC50">
        <f>ROUND((ES50),2)</f>
        <v>0</v>
      </c>
      <c r="AD50">
        <f>ROUND(((((ET50*1.15))-((EU50*1.15)))+AE50),2)</f>
        <v>4244.33</v>
      </c>
      <c r="AE50">
        <f>ROUND(((EU50*1.15)),2)</f>
        <v>457.91</v>
      </c>
      <c r="AF50">
        <f>ROUND(((EV50*1.15)),2)</f>
        <v>1481.26</v>
      </c>
      <c r="AG50">
        <f t="shared" si="33"/>
        <v>0</v>
      </c>
      <c r="AH50">
        <f>((EW50*1.15))</f>
        <v>178.25</v>
      </c>
      <c r="AI50">
        <f>((EX50*1.15))</f>
        <v>44.907499999999992</v>
      </c>
      <c r="AJ50">
        <f t="shared" si="34"/>
        <v>0</v>
      </c>
      <c r="AK50">
        <v>4978.7700000000004</v>
      </c>
      <c r="AL50">
        <v>0</v>
      </c>
      <c r="AM50">
        <v>3690.72</v>
      </c>
      <c r="AN50">
        <v>398.18</v>
      </c>
      <c r="AO50">
        <v>1288.05</v>
      </c>
      <c r="AP50">
        <v>0</v>
      </c>
      <c r="AQ50">
        <v>155</v>
      </c>
      <c r="AR50">
        <v>39.049999999999997</v>
      </c>
      <c r="AS50">
        <v>0</v>
      </c>
      <c r="AT50">
        <v>104</v>
      </c>
      <c r="AU50">
        <v>60</v>
      </c>
      <c r="AV50">
        <v>1</v>
      </c>
      <c r="AW50">
        <v>1</v>
      </c>
      <c r="AZ50">
        <v>1</v>
      </c>
      <c r="BA50">
        <v>33.65</v>
      </c>
      <c r="BB50">
        <v>8.17</v>
      </c>
      <c r="BC50">
        <v>1</v>
      </c>
      <c r="BD50" t="s">
        <v>3</v>
      </c>
      <c r="BE50" t="s">
        <v>3</v>
      </c>
      <c r="BF50" t="s">
        <v>3</v>
      </c>
      <c r="BG50" t="s">
        <v>3</v>
      </c>
      <c r="BH50">
        <v>0</v>
      </c>
      <c r="BI50">
        <v>1</v>
      </c>
      <c r="BJ50" t="s">
        <v>139</v>
      </c>
      <c r="BM50">
        <v>68001</v>
      </c>
      <c r="BN50">
        <v>0</v>
      </c>
      <c r="BO50" t="s">
        <v>136</v>
      </c>
      <c r="BP50">
        <v>1</v>
      </c>
      <c r="BQ50">
        <v>6</v>
      </c>
      <c r="BR50">
        <v>0</v>
      </c>
      <c r="BS50">
        <v>33.65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3</v>
      </c>
      <c r="BZ50">
        <v>104</v>
      </c>
      <c r="CA50">
        <v>60</v>
      </c>
      <c r="CE50">
        <v>0</v>
      </c>
      <c r="CF50">
        <v>0</v>
      </c>
      <c r="CG50">
        <v>0</v>
      </c>
      <c r="CM50">
        <v>0</v>
      </c>
      <c r="CN50" t="s">
        <v>1329</v>
      </c>
      <c r="CO50">
        <v>0</v>
      </c>
      <c r="CP50">
        <f t="shared" si="35"/>
        <v>177.49</v>
      </c>
      <c r="CQ50">
        <f t="shared" si="36"/>
        <v>0</v>
      </c>
      <c r="CR50">
        <f t="shared" si="37"/>
        <v>34676.176099999997</v>
      </c>
      <c r="CS50">
        <f t="shared" si="38"/>
        <v>15408.6715</v>
      </c>
      <c r="CT50">
        <f t="shared" si="39"/>
        <v>49844.398999999998</v>
      </c>
      <c r="CU50">
        <f t="shared" si="40"/>
        <v>0</v>
      </c>
      <c r="CV50">
        <f t="shared" si="41"/>
        <v>178.25</v>
      </c>
      <c r="CW50">
        <f t="shared" si="42"/>
        <v>44.907499999999992</v>
      </c>
      <c r="CX50">
        <f t="shared" si="43"/>
        <v>0</v>
      </c>
      <c r="CY50">
        <f t="shared" si="44"/>
        <v>142.5112</v>
      </c>
      <c r="CZ50">
        <f t="shared" si="45"/>
        <v>82.217999999999989</v>
      </c>
      <c r="DC50" t="s">
        <v>3</v>
      </c>
      <c r="DD50" t="s">
        <v>3</v>
      </c>
      <c r="DE50" t="s">
        <v>38</v>
      </c>
      <c r="DF50" t="s">
        <v>38</v>
      </c>
      <c r="DG50" t="s">
        <v>38</v>
      </c>
      <c r="DH50" t="s">
        <v>3</v>
      </c>
      <c r="DI50" t="s">
        <v>38</v>
      </c>
      <c r="DJ50" t="s">
        <v>38</v>
      </c>
      <c r="DK50" t="s">
        <v>3</v>
      </c>
      <c r="DL50" t="s">
        <v>3</v>
      </c>
      <c r="DM50" t="s">
        <v>3</v>
      </c>
      <c r="DN50">
        <v>0</v>
      </c>
      <c r="DO50">
        <v>0</v>
      </c>
      <c r="DP50">
        <v>1</v>
      </c>
      <c r="DQ50">
        <v>1</v>
      </c>
      <c r="DU50">
        <v>1007</v>
      </c>
      <c r="DV50" t="s">
        <v>138</v>
      </c>
      <c r="DW50" t="s">
        <v>138</v>
      </c>
      <c r="DX50">
        <v>100</v>
      </c>
      <c r="DZ50" t="s">
        <v>3</v>
      </c>
      <c r="EA50" t="s">
        <v>3</v>
      </c>
      <c r="EB50" t="s">
        <v>3</v>
      </c>
      <c r="EC50" t="s">
        <v>3</v>
      </c>
      <c r="EE50">
        <v>64095152</v>
      </c>
      <c r="EF50">
        <v>6</v>
      </c>
      <c r="EG50" t="s">
        <v>39</v>
      </c>
      <c r="EH50">
        <v>0</v>
      </c>
      <c r="EI50" t="s">
        <v>3</v>
      </c>
      <c r="EJ50">
        <v>1</v>
      </c>
      <c r="EK50">
        <v>68001</v>
      </c>
      <c r="EL50" t="s">
        <v>140</v>
      </c>
      <c r="EM50" t="s">
        <v>141</v>
      </c>
      <c r="EO50" t="s">
        <v>42</v>
      </c>
      <c r="EQ50">
        <v>0</v>
      </c>
      <c r="ER50">
        <v>4978.7700000000004</v>
      </c>
      <c r="ES50">
        <v>0</v>
      </c>
      <c r="ET50">
        <v>3690.72</v>
      </c>
      <c r="EU50">
        <v>398.18</v>
      </c>
      <c r="EV50">
        <v>1288.05</v>
      </c>
      <c r="EW50">
        <v>155</v>
      </c>
      <c r="EX50">
        <v>39.049999999999997</v>
      </c>
      <c r="EY50">
        <v>0</v>
      </c>
      <c r="FQ50">
        <v>0</v>
      </c>
      <c r="FR50">
        <f t="shared" si="46"/>
        <v>0</v>
      </c>
      <c r="FS50">
        <v>0</v>
      </c>
      <c r="FX50">
        <v>104</v>
      </c>
      <c r="FY50">
        <v>60</v>
      </c>
      <c r="GA50" t="s">
        <v>3</v>
      </c>
      <c r="GD50">
        <v>1</v>
      </c>
      <c r="GF50">
        <v>1363290292</v>
      </c>
      <c r="GG50">
        <v>2</v>
      </c>
      <c r="GH50">
        <v>1</v>
      </c>
      <c r="GI50">
        <v>2</v>
      </c>
      <c r="GJ50">
        <v>0</v>
      </c>
      <c r="GK50">
        <v>0</v>
      </c>
      <c r="GL50">
        <f t="shared" si="47"/>
        <v>0</v>
      </c>
      <c r="GM50">
        <f t="shared" si="48"/>
        <v>402.22</v>
      </c>
      <c r="GN50">
        <f t="shared" si="49"/>
        <v>402.22</v>
      </c>
      <c r="GO50">
        <f t="shared" si="50"/>
        <v>0</v>
      </c>
      <c r="GP50">
        <f t="shared" si="51"/>
        <v>0</v>
      </c>
      <c r="GR50">
        <v>0</v>
      </c>
      <c r="GS50">
        <v>3</v>
      </c>
      <c r="GT50">
        <v>0</v>
      </c>
      <c r="GU50" t="s">
        <v>3</v>
      </c>
      <c r="GV50">
        <f t="shared" si="52"/>
        <v>0</v>
      </c>
      <c r="GW50">
        <v>1</v>
      </c>
      <c r="GX50">
        <f t="shared" si="53"/>
        <v>0</v>
      </c>
      <c r="HA50">
        <v>0</v>
      </c>
      <c r="HB50">
        <v>0</v>
      </c>
      <c r="HC50">
        <f t="shared" si="54"/>
        <v>0</v>
      </c>
      <c r="HE50" t="s">
        <v>3</v>
      </c>
      <c r="HF50" t="s">
        <v>3</v>
      </c>
      <c r="IK50">
        <v>0</v>
      </c>
    </row>
    <row r="51" spans="1:245" x14ac:dyDescent="0.2">
      <c r="A51">
        <v>19</v>
      </c>
      <c r="B51">
        <v>1</v>
      </c>
      <c r="F51" t="s">
        <v>3</v>
      </c>
      <c r="G51" t="s">
        <v>13</v>
      </c>
      <c r="H51" t="s">
        <v>3</v>
      </c>
      <c r="AA51">
        <v>1</v>
      </c>
      <c r="IK51">
        <v>0</v>
      </c>
    </row>
    <row r="52" spans="1:245" x14ac:dyDescent="0.2">
      <c r="A52">
        <v>17</v>
      </c>
      <c r="B52">
        <v>1</v>
      </c>
      <c r="C52">
        <f>ROW(SmtRes!A111)</f>
        <v>111</v>
      </c>
      <c r="D52">
        <f>ROW(EtalonRes!A122)</f>
        <v>122</v>
      </c>
      <c r="E52" t="s">
        <v>142</v>
      </c>
      <c r="F52" t="s">
        <v>143</v>
      </c>
      <c r="G52" t="s">
        <v>144</v>
      </c>
      <c r="H52" t="s">
        <v>138</v>
      </c>
      <c r="I52">
        <f>ROUND(0.42/100,5)</f>
        <v>4.1999999999999997E-3</v>
      </c>
      <c r="J52">
        <v>0</v>
      </c>
      <c r="O52">
        <f t="shared" ref="O52:O83" si="58">ROUND(CP52,2)</f>
        <v>263.56</v>
      </c>
      <c r="P52">
        <f t="shared" ref="P52:P83" si="59">ROUND(CQ52*I52,2)</f>
        <v>0</v>
      </c>
      <c r="Q52">
        <f t="shared" ref="Q52:Q83" si="60">ROUND(CR52*I52,2)</f>
        <v>0</v>
      </c>
      <c r="R52">
        <f t="shared" ref="R52:R83" si="61">ROUND(CS52*I52,2)</f>
        <v>0</v>
      </c>
      <c r="S52">
        <f t="shared" ref="S52:S83" si="62">ROUND(CT52*I52,2)</f>
        <v>263.56</v>
      </c>
      <c r="T52">
        <f t="shared" ref="T52:T83" si="63">ROUND(CU52*I52,2)</f>
        <v>0</v>
      </c>
      <c r="U52">
        <f t="shared" ref="U52:U83" si="64">CV52*I52</f>
        <v>1.004157</v>
      </c>
      <c r="V52">
        <f t="shared" ref="V52:V83" si="65">CW52*I52</f>
        <v>0</v>
      </c>
      <c r="W52">
        <f t="shared" ref="W52:W83" si="66">ROUND(CX52*I52,2)</f>
        <v>0</v>
      </c>
      <c r="X52">
        <f t="shared" ref="X52:X83" si="67">ROUND(CY52,2)</f>
        <v>189.76</v>
      </c>
      <c r="Y52">
        <f t="shared" ref="Y52:Y83" si="68">ROUND(CZ52,2)</f>
        <v>100.15</v>
      </c>
      <c r="AA52">
        <v>68990560</v>
      </c>
      <c r="AB52">
        <f t="shared" ref="AB52:AB83" si="69">ROUND((AC52+AD52+AF52),2)</f>
        <v>1864.86</v>
      </c>
      <c r="AC52">
        <f t="shared" ref="AC52:AC89" si="70">ROUND((ES52),2)</f>
        <v>0</v>
      </c>
      <c r="AD52">
        <f>ROUND((((((ET52*1.25)*1.35))-(((EU52*1.25)*1.35)))+AE52),2)</f>
        <v>0</v>
      </c>
      <c r="AE52">
        <f>ROUND((((EU52*1.25)*1.35)),2)</f>
        <v>0</v>
      </c>
      <c r="AF52">
        <f>ROUND((((EV52*1.15)*1.35)),2)</f>
        <v>1864.86</v>
      </c>
      <c r="AG52">
        <f t="shared" ref="AG52:AG83" si="71">ROUND((AP52),2)</f>
        <v>0</v>
      </c>
      <c r="AH52">
        <f>(((EW52*1.15)*1.35))</f>
        <v>239.08500000000001</v>
      </c>
      <c r="AI52">
        <f>(((EX52*1.25)*1.35))</f>
        <v>0</v>
      </c>
      <c r="AJ52">
        <f t="shared" ref="AJ52:AJ83" si="72">(AS52)</f>
        <v>0</v>
      </c>
      <c r="AK52">
        <v>1201.2</v>
      </c>
      <c r="AL52">
        <v>0</v>
      </c>
      <c r="AM52">
        <v>0</v>
      </c>
      <c r="AN52">
        <v>0</v>
      </c>
      <c r="AO52">
        <v>1201.2</v>
      </c>
      <c r="AP52">
        <v>0</v>
      </c>
      <c r="AQ52">
        <v>154</v>
      </c>
      <c r="AR52">
        <v>0</v>
      </c>
      <c r="AS52">
        <v>0</v>
      </c>
      <c r="AT52">
        <v>72</v>
      </c>
      <c r="AU52">
        <v>38</v>
      </c>
      <c r="AV52">
        <v>1</v>
      </c>
      <c r="AW52">
        <v>1</v>
      </c>
      <c r="AZ52">
        <v>1</v>
      </c>
      <c r="BA52">
        <v>33.65</v>
      </c>
      <c r="BB52">
        <v>1</v>
      </c>
      <c r="BC52">
        <v>1</v>
      </c>
      <c r="BD52" t="s">
        <v>3</v>
      </c>
      <c r="BE52" t="s">
        <v>3</v>
      </c>
      <c r="BF52" t="s">
        <v>3</v>
      </c>
      <c r="BG52" t="s">
        <v>3</v>
      </c>
      <c r="BH52">
        <v>0</v>
      </c>
      <c r="BI52">
        <v>1</v>
      </c>
      <c r="BJ52" t="s">
        <v>145</v>
      </c>
      <c r="BM52">
        <v>1003</v>
      </c>
      <c r="BN52">
        <v>0</v>
      </c>
      <c r="BO52" t="s">
        <v>143</v>
      </c>
      <c r="BP52">
        <v>1</v>
      </c>
      <c r="BQ52">
        <v>2</v>
      </c>
      <c r="BR52">
        <v>0</v>
      </c>
      <c r="BS52">
        <v>33.65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3</v>
      </c>
      <c r="BZ52">
        <v>80</v>
      </c>
      <c r="CA52">
        <v>45</v>
      </c>
      <c r="CE52">
        <v>0</v>
      </c>
      <c r="CF52">
        <v>0</v>
      </c>
      <c r="CG52">
        <v>0</v>
      </c>
      <c r="CM52">
        <v>0</v>
      </c>
      <c r="CN52" t="s">
        <v>1332</v>
      </c>
      <c r="CO52">
        <v>0</v>
      </c>
      <c r="CP52">
        <f t="shared" ref="CP52:CP83" si="73">(P52+Q52+S52)</f>
        <v>263.56</v>
      </c>
      <c r="CQ52">
        <f t="shared" ref="CQ52:CQ83" si="74">AC52*BC52</f>
        <v>0</v>
      </c>
      <c r="CR52">
        <f t="shared" ref="CR52:CR83" si="75">AD52*BB52</f>
        <v>0</v>
      </c>
      <c r="CS52">
        <f t="shared" ref="CS52:CS83" si="76">AE52*BS52</f>
        <v>0</v>
      </c>
      <c r="CT52">
        <f t="shared" ref="CT52:CT83" si="77">AF52*BA52</f>
        <v>62752.538999999997</v>
      </c>
      <c r="CU52">
        <f t="shared" ref="CU52:CU83" si="78">AG52</f>
        <v>0</v>
      </c>
      <c r="CV52">
        <f t="shared" ref="CV52:CV83" si="79">AH52</f>
        <v>239.08500000000001</v>
      </c>
      <c r="CW52">
        <f t="shared" ref="CW52:CW83" si="80">AI52</f>
        <v>0</v>
      </c>
      <c r="CX52">
        <f t="shared" ref="CX52:CX83" si="81">AJ52</f>
        <v>0</v>
      </c>
      <c r="CY52">
        <f t="shared" ref="CY52:CY83" si="82">(((S52+R52)*AT52)/100)</f>
        <v>189.76319999999998</v>
      </c>
      <c r="CZ52">
        <f t="shared" ref="CZ52:CZ83" si="83">(((S52+R52)*AU52)/100)</f>
        <v>100.15280000000001</v>
      </c>
      <c r="DC52" t="s">
        <v>3</v>
      </c>
      <c r="DD52" t="s">
        <v>3</v>
      </c>
      <c r="DE52" t="s">
        <v>146</v>
      </c>
      <c r="DF52" t="s">
        <v>146</v>
      </c>
      <c r="DG52" t="s">
        <v>147</v>
      </c>
      <c r="DH52" t="s">
        <v>3</v>
      </c>
      <c r="DI52" t="s">
        <v>147</v>
      </c>
      <c r="DJ52" t="s">
        <v>146</v>
      </c>
      <c r="DK52" t="s">
        <v>3</v>
      </c>
      <c r="DL52" t="s">
        <v>3</v>
      </c>
      <c r="DM52" t="s">
        <v>3</v>
      </c>
      <c r="DN52">
        <v>0</v>
      </c>
      <c r="DO52">
        <v>0</v>
      </c>
      <c r="DP52">
        <v>1</v>
      </c>
      <c r="DQ52">
        <v>1</v>
      </c>
      <c r="DU52">
        <v>1007</v>
      </c>
      <c r="DV52" t="s">
        <v>138</v>
      </c>
      <c r="DW52" t="s">
        <v>138</v>
      </c>
      <c r="DX52">
        <v>100</v>
      </c>
      <c r="DZ52" t="s">
        <v>3</v>
      </c>
      <c r="EA52" t="s">
        <v>3</v>
      </c>
      <c r="EB52" t="s">
        <v>3</v>
      </c>
      <c r="EC52" t="s">
        <v>3</v>
      </c>
      <c r="EE52">
        <v>64095002</v>
      </c>
      <c r="EF52">
        <v>2</v>
      </c>
      <c r="EG52" t="s">
        <v>13</v>
      </c>
      <c r="EH52">
        <v>0</v>
      </c>
      <c r="EI52" t="s">
        <v>3</v>
      </c>
      <c r="EJ52">
        <v>1</v>
      </c>
      <c r="EK52">
        <v>1003</v>
      </c>
      <c r="EL52" t="s">
        <v>148</v>
      </c>
      <c r="EM52" t="s">
        <v>149</v>
      </c>
      <c r="EO52" t="s">
        <v>150</v>
      </c>
      <c r="EQ52">
        <v>0</v>
      </c>
      <c r="ER52">
        <v>1201.2</v>
      </c>
      <c r="ES52">
        <v>0</v>
      </c>
      <c r="ET52">
        <v>0</v>
      </c>
      <c r="EU52">
        <v>0</v>
      </c>
      <c r="EV52">
        <v>1201.2</v>
      </c>
      <c r="EW52">
        <v>154</v>
      </c>
      <c r="EX52">
        <v>0</v>
      </c>
      <c r="EY52">
        <v>0</v>
      </c>
      <c r="FQ52">
        <v>0</v>
      </c>
      <c r="FR52">
        <f t="shared" ref="FR52:FR83" si="84">ROUND(IF(AND(BH52=3,BI52=3),P52,0),2)</f>
        <v>0</v>
      </c>
      <c r="FS52">
        <v>0</v>
      </c>
      <c r="FT52" t="s">
        <v>52</v>
      </c>
      <c r="FU52" t="s">
        <v>53</v>
      </c>
      <c r="FX52">
        <v>72</v>
      </c>
      <c r="FY52">
        <v>38.25</v>
      </c>
      <c r="GA52" t="s">
        <v>3</v>
      </c>
      <c r="GD52">
        <v>1</v>
      </c>
      <c r="GF52">
        <v>2082858189</v>
      </c>
      <c r="GG52">
        <v>2</v>
      </c>
      <c r="GH52">
        <v>1</v>
      </c>
      <c r="GI52">
        <v>2</v>
      </c>
      <c r="GJ52">
        <v>0</v>
      </c>
      <c r="GK52">
        <v>0</v>
      </c>
      <c r="GL52">
        <f t="shared" ref="GL52:GL83" si="85">ROUND(IF(AND(BH52=3,BI52=3,FS52&lt;&gt;0),P52,0),2)</f>
        <v>0</v>
      </c>
      <c r="GM52">
        <f t="shared" ref="GM52:GM83" si="86">ROUND(O52+X52+Y52,2)+GX52</f>
        <v>553.47</v>
      </c>
      <c r="GN52">
        <f t="shared" ref="GN52:GN83" si="87">IF(OR(BI52=0,BI52=1),ROUND(O52+X52+Y52,2),0)</f>
        <v>553.47</v>
      </c>
      <c r="GO52">
        <f t="shared" ref="GO52:GO83" si="88">IF(BI52=2,ROUND(O52+X52+Y52,2),0)</f>
        <v>0</v>
      </c>
      <c r="GP52">
        <f t="shared" ref="GP52:GP83" si="89">IF(BI52=4,ROUND(O52+X52+Y52,2)+GX52,0)</f>
        <v>0</v>
      </c>
      <c r="GR52">
        <v>0</v>
      </c>
      <c r="GS52">
        <v>3</v>
      </c>
      <c r="GT52">
        <v>0</v>
      </c>
      <c r="GU52" t="s">
        <v>3</v>
      </c>
      <c r="GV52">
        <f t="shared" ref="GV52:GV83" si="90">ROUND((GT52),2)</f>
        <v>0</v>
      </c>
      <c r="GW52">
        <v>1</v>
      </c>
      <c r="GX52">
        <f t="shared" ref="GX52:GX83" si="91">ROUND(HC52*I52,2)</f>
        <v>0</v>
      </c>
      <c r="HA52">
        <v>0</v>
      </c>
      <c r="HB52">
        <v>0</v>
      </c>
      <c r="HC52">
        <f t="shared" ref="HC52:HC83" si="92">GV52*GW52</f>
        <v>0</v>
      </c>
      <c r="HE52" t="s">
        <v>3</v>
      </c>
      <c r="HF52" t="s">
        <v>3</v>
      </c>
      <c r="IK52">
        <v>0</v>
      </c>
    </row>
    <row r="53" spans="1:245" x14ac:dyDescent="0.2">
      <c r="A53">
        <v>17</v>
      </c>
      <c r="B53">
        <v>1</v>
      </c>
      <c r="C53">
        <f>ROW(SmtRes!A129)</f>
        <v>129</v>
      </c>
      <c r="D53">
        <f>ROW(EtalonRes!A140)</f>
        <v>140</v>
      </c>
      <c r="E53" t="s">
        <v>151</v>
      </c>
      <c r="F53" t="s">
        <v>152</v>
      </c>
      <c r="G53" t="s">
        <v>153</v>
      </c>
      <c r="H53" t="s">
        <v>36</v>
      </c>
      <c r="I53">
        <f>ROUND(21/100,5)</f>
        <v>0.21</v>
      </c>
      <c r="J53">
        <v>0</v>
      </c>
      <c r="O53">
        <f t="shared" si="58"/>
        <v>34973.19</v>
      </c>
      <c r="P53">
        <f t="shared" si="59"/>
        <v>20174.900000000001</v>
      </c>
      <c r="Q53">
        <f t="shared" si="60"/>
        <v>469.62</v>
      </c>
      <c r="R53">
        <f t="shared" si="61"/>
        <v>206.91</v>
      </c>
      <c r="S53">
        <f t="shared" si="62"/>
        <v>14328.67</v>
      </c>
      <c r="T53">
        <f t="shared" si="63"/>
        <v>0</v>
      </c>
      <c r="U53">
        <f t="shared" si="64"/>
        <v>46.947600000000001</v>
      </c>
      <c r="V53">
        <f t="shared" si="65"/>
        <v>0.47486250000000008</v>
      </c>
      <c r="W53">
        <f t="shared" si="66"/>
        <v>0</v>
      </c>
      <c r="X53">
        <f t="shared" si="67"/>
        <v>15407.71</v>
      </c>
      <c r="Y53">
        <f t="shared" si="68"/>
        <v>7849.21</v>
      </c>
      <c r="AA53">
        <v>68990560</v>
      </c>
      <c r="AB53">
        <f t="shared" si="69"/>
        <v>15549.43</v>
      </c>
      <c r="AC53">
        <f t="shared" si="70"/>
        <v>13287.82</v>
      </c>
      <c r="AD53">
        <f>ROUND((((((ET53*1.25)*1.35))-(((EU53*1.25)*1.35)))+AE53),2)</f>
        <v>233.92</v>
      </c>
      <c r="AE53">
        <f>ROUND((((EU53*1.25)*1.35)),2)</f>
        <v>29.28</v>
      </c>
      <c r="AF53">
        <f>ROUND((((EV53*1.15)*1.35)),2)</f>
        <v>2027.69</v>
      </c>
      <c r="AG53">
        <f t="shared" si="71"/>
        <v>0</v>
      </c>
      <c r="AH53">
        <f>(((EW53*1.15)*1.35))</f>
        <v>223.56</v>
      </c>
      <c r="AI53">
        <f>(((EX53*1.25)*1.35))</f>
        <v>2.2612500000000004</v>
      </c>
      <c r="AJ53">
        <f t="shared" si="72"/>
        <v>0</v>
      </c>
      <c r="AK53">
        <v>14732.52</v>
      </c>
      <c r="AL53">
        <v>13287.82</v>
      </c>
      <c r="AM53">
        <v>138.62</v>
      </c>
      <c r="AN53">
        <v>17.350000000000001</v>
      </c>
      <c r="AO53">
        <v>1306.08</v>
      </c>
      <c r="AP53">
        <v>0</v>
      </c>
      <c r="AQ53">
        <v>144</v>
      </c>
      <c r="AR53">
        <v>1.34</v>
      </c>
      <c r="AS53">
        <v>0</v>
      </c>
      <c r="AT53">
        <v>106</v>
      </c>
      <c r="AU53">
        <v>54</v>
      </c>
      <c r="AV53">
        <v>1</v>
      </c>
      <c r="AW53">
        <v>1</v>
      </c>
      <c r="AZ53">
        <v>1</v>
      </c>
      <c r="BA53">
        <v>33.65</v>
      </c>
      <c r="BB53">
        <v>9.56</v>
      </c>
      <c r="BC53">
        <v>7.23</v>
      </c>
      <c r="BD53" t="s">
        <v>3</v>
      </c>
      <c r="BE53" t="s">
        <v>3</v>
      </c>
      <c r="BF53" t="s">
        <v>3</v>
      </c>
      <c r="BG53" t="s">
        <v>3</v>
      </c>
      <c r="BH53">
        <v>0</v>
      </c>
      <c r="BI53">
        <v>1</v>
      </c>
      <c r="BJ53" t="s">
        <v>154</v>
      </c>
      <c r="BM53">
        <v>10001</v>
      </c>
      <c r="BN53">
        <v>0</v>
      </c>
      <c r="BO53" t="s">
        <v>152</v>
      </c>
      <c r="BP53">
        <v>1</v>
      </c>
      <c r="BQ53">
        <v>2</v>
      </c>
      <c r="BR53">
        <v>0</v>
      </c>
      <c r="BS53">
        <v>33.65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118</v>
      </c>
      <c r="CA53">
        <v>63</v>
      </c>
      <c r="CE53">
        <v>0</v>
      </c>
      <c r="CF53">
        <v>0</v>
      </c>
      <c r="CG53">
        <v>0</v>
      </c>
      <c r="CM53">
        <v>0</v>
      </c>
      <c r="CN53" t="s">
        <v>1332</v>
      </c>
      <c r="CO53">
        <v>0</v>
      </c>
      <c r="CP53">
        <f t="shared" si="73"/>
        <v>34973.19</v>
      </c>
      <c r="CQ53">
        <f t="shared" si="74"/>
        <v>96070.938600000009</v>
      </c>
      <c r="CR53">
        <f t="shared" si="75"/>
        <v>2236.2752</v>
      </c>
      <c r="CS53">
        <f t="shared" si="76"/>
        <v>985.27200000000005</v>
      </c>
      <c r="CT53">
        <f t="shared" si="77"/>
        <v>68231.768500000006</v>
      </c>
      <c r="CU53">
        <f t="shared" si="78"/>
        <v>0</v>
      </c>
      <c r="CV53">
        <f t="shared" si="79"/>
        <v>223.56</v>
      </c>
      <c r="CW53">
        <f t="shared" si="80"/>
        <v>2.2612500000000004</v>
      </c>
      <c r="CX53">
        <f t="shared" si="81"/>
        <v>0</v>
      </c>
      <c r="CY53">
        <f t="shared" si="82"/>
        <v>15407.7148</v>
      </c>
      <c r="CZ53">
        <f t="shared" si="83"/>
        <v>7849.2131999999992</v>
      </c>
      <c r="DC53" t="s">
        <v>3</v>
      </c>
      <c r="DD53" t="s">
        <v>3</v>
      </c>
      <c r="DE53" t="s">
        <v>146</v>
      </c>
      <c r="DF53" t="s">
        <v>146</v>
      </c>
      <c r="DG53" t="s">
        <v>147</v>
      </c>
      <c r="DH53" t="s">
        <v>3</v>
      </c>
      <c r="DI53" t="s">
        <v>147</v>
      </c>
      <c r="DJ53" t="s">
        <v>146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1005</v>
      </c>
      <c r="DV53" t="s">
        <v>36</v>
      </c>
      <c r="DW53" t="s">
        <v>36</v>
      </c>
      <c r="DX53">
        <v>100</v>
      </c>
      <c r="DZ53" t="s">
        <v>3</v>
      </c>
      <c r="EA53" t="s">
        <v>3</v>
      </c>
      <c r="EB53" t="s">
        <v>3</v>
      </c>
      <c r="EC53" t="s">
        <v>3</v>
      </c>
      <c r="EE53">
        <v>64095026</v>
      </c>
      <c r="EF53">
        <v>2</v>
      </c>
      <c r="EG53" t="s">
        <v>13</v>
      </c>
      <c r="EH53">
        <v>0</v>
      </c>
      <c r="EI53" t="s">
        <v>3</v>
      </c>
      <c r="EJ53">
        <v>1</v>
      </c>
      <c r="EK53">
        <v>10001</v>
      </c>
      <c r="EL53" t="s">
        <v>155</v>
      </c>
      <c r="EM53" t="s">
        <v>156</v>
      </c>
      <c r="EO53" t="s">
        <v>150</v>
      </c>
      <c r="EQ53">
        <v>0</v>
      </c>
      <c r="ER53">
        <v>14732.52</v>
      </c>
      <c r="ES53">
        <v>13287.82</v>
      </c>
      <c r="ET53">
        <v>138.62</v>
      </c>
      <c r="EU53">
        <v>17.350000000000001</v>
      </c>
      <c r="EV53">
        <v>1306.08</v>
      </c>
      <c r="EW53">
        <v>144</v>
      </c>
      <c r="EX53">
        <v>1.34</v>
      </c>
      <c r="EY53">
        <v>0</v>
      </c>
      <c r="FQ53">
        <v>0</v>
      </c>
      <c r="FR53">
        <f t="shared" si="84"/>
        <v>0</v>
      </c>
      <c r="FS53">
        <v>0</v>
      </c>
      <c r="FT53" t="s">
        <v>52</v>
      </c>
      <c r="FU53" t="s">
        <v>53</v>
      </c>
      <c r="FX53">
        <v>106.2</v>
      </c>
      <c r="FY53">
        <v>53.55</v>
      </c>
      <c r="GA53" t="s">
        <v>3</v>
      </c>
      <c r="GD53">
        <v>1</v>
      </c>
      <c r="GF53">
        <v>-1538440594</v>
      </c>
      <c r="GG53">
        <v>2</v>
      </c>
      <c r="GH53">
        <v>1</v>
      </c>
      <c r="GI53">
        <v>2</v>
      </c>
      <c r="GJ53">
        <v>0</v>
      </c>
      <c r="GK53">
        <v>0</v>
      </c>
      <c r="GL53">
        <f t="shared" si="85"/>
        <v>0</v>
      </c>
      <c r="GM53">
        <f t="shared" si="86"/>
        <v>58230.11</v>
      </c>
      <c r="GN53">
        <f t="shared" si="87"/>
        <v>58230.11</v>
      </c>
      <c r="GO53">
        <f t="shared" si="88"/>
        <v>0</v>
      </c>
      <c r="GP53">
        <f t="shared" si="89"/>
        <v>0</v>
      </c>
      <c r="GR53">
        <v>0</v>
      </c>
      <c r="GS53">
        <v>3</v>
      </c>
      <c r="GT53">
        <v>0</v>
      </c>
      <c r="GU53" t="s">
        <v>3</v>
      </c>
      <c r="GV53">
        <f t="shared" si="90"/>
        <v>0</v>
      </c>
      <c r="GW53">
        <v>1</v>
      </c>
      <c r="GX53">
        <f t="shared" si="91"/>
        <v>0</v>
      </c>
      <c r="HA53">
        <v>0</v>
      </c>
      <c r="HB53">
        <v>0</v>
      </c>
      <c r="HC53">
        <f t="shared" si="92"/>
        <v>0</v>
      </c>
      <c r="HE53" t="s">
        <v>3</v>
      </c>
      <c r="HF53" t="s">
        <v>3</v>
      </c>
      <c r="IK53">
        <v>0</v>
      </c>
    </row>
    <row r="54" spans="1:245" x14ac:dyDescent="0.2">
      <c r="A54">
        <v>18</v>
      </c>
      <c r="B54">
        <v>1</v>
      </c>
      <c r="C54">
        <v>127</v>
      </c>
      <c r="E54" t="s">
        <v>157</v>
      </c>
      <c r="F54" t="s">
        <v>158</v>
      </c>
      <c r="G54" t="s">
        <v>159</v>
      </c>
      <c r="H54" t="s">
        <v>113</v>
      </c>
      <c r="I54">
        <f>I53*J54</f>
        <v>1.26</v>
      </c>
      <c r="J54">
        <v>6</v>
      </c>
      <c r="O54">
        <f t="shared" si="58"/>
        <v>3616.11</v>
      </c>
      <c r="P54">
        <f t="shared" si="59"/>
        <v>3616.11</v>
      </c>
      <c r="Q54">
        <f t="shared" si="60"/>
        <v>0</v>
      </c>
      <c r="R54">
        <f t="shared" si="61"/>
        <v>0</v>
      </c>
      <c r="S54">
        <f t="shared" si="62"/>
        <v>0</v>
      </c>
      <c r="T54">
        <f t="shared" si="63"/>
        <v>0</v>
      </c>
      <c r="U54">
        <f t="shared" si="64"/>
        <v>0</v>
      </c>
      <c r="V54">
        <f t="shared" si="65"/>
        <v>0</v>
      </c>
      <c r="W54">
        <f t="shared" si="66"/>
        <v>0</v>
      </c>
      <c r="X54">
        <f t="shared" si="67"/>
        <v>0</v>
      </c>
      <c r="Y54">
        <f t="shared" si="68"/>
        <v>0</v>
      </c>
      <c r="AA54">
        <v>68990560</v>
      </c>
      <c r="AB54">
        <f t="shared" si="69"/>
        <v>359.64</v>
      </c>
      <c r="AC54">
        <f t="shared" si="70"/>
        <v>359.64</v>
      </c>
      <c r="AD54">
        <f>ROUND((((ET54)-(EU54))+AE54),2)</f>
        <v>0</v>
      </c>
      <c r="AE54">
        <f>ROUND((EU54),2)</f>
        <v>0</v>
      </c>
      <c r="AF54">
        <f>ROUND((EV54),2)</f>
        <v>0</v>
      </c>
      <c r="AG54">
        <f t="shared" si="71"/>
        <v>0</v>
      </c>
      <c r="AH54">
        <f>(EW54)</f>
        <v>0</v>
      </c>
      <c r="AI54">
        <f>(EX54)</f>
        <v>0</v>
      </c>
      <c r="AJ54">
        <f t="shared" si="72"/>
        <v>0</v>
      </c>
      <c r="AK54">
        <v>359.64</v>
      </c>
      <c r="AL54">
        <v>359.64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106</v>
      </c>
      <c r="AU54">
        <v>54</v>
      </c>
      <c r="AV54">
        <v>1</v>
      </c>
      <c r="AW54">
        <v>1</v>
      </c>
      <c r="AZ54">
        <v>1</v>
      </c>
      <c r="BA54">
        <v>1</v>
      </c>
      <c r="BB54">
        <v>1</v>
      </c>
      <c r="BC54">
        <v>7.98</v>
      </c>
      <c r="BD54" t="s">
        <v>3</v>
      </c>
      <c r="BE54" t="s">
        <v>3</v>
      </c>
      <c r="BF54" t="s">
        <v>3</v>
      </c>
      <c r="BG54" t="s">
        <v>3</v>
      </c>
      <c r="BH54">
        <v>3</v>
      </c>
      <c r="BI54">
        <v>1</v>
      </c>
      <c r="BJ54" t="s">
        <v>160</v>
      </c>
      <c r="BM54">
        <v>10001</v>
      </c>
      <c r="BN54">
        <v>0</v>
      </c>
      <c r="BO54" t="s">
        <v>158</v>
      </c>
      <c r="BP54">
        <v>1</v>
      </c>
      <c r="BQ54">
        <v>2</v>
      </c>
      <c r="BR54">
        <v>0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3</v>
      </c>
      <c r="BZ54">
        <v>118</v>
      </c>
      <c r="CA54">
        <v>63</v>
      </c>
      <c r="CE54">
        <v>0</v>
      </c>
      <c r="CF54">
        <v>0</v>
      </c>
      <c r="CG54">
        <v>0</v>
      </c>
      <c r="CM54">
        <v>0</v>
      </c>
      <c r="CN54" t="s">
        <v>3</v>
      </c>
      <c r="CO54">
        <v>0</v>
      </c>
      <c r="CP54">
        <f t="shared" si="73"/>
        <v>3616.11</v>
      </c>
      <c r="CQ54">
        <f t="shared" si="74"/>
        <v>2869.9272000000001</v>
      </c>
      <c r="CR54">
        <f t="shared" si="75"/>
        <v>0</v>
      </c>
      <c r="CS54">
        <f t="shared" si="76"/>
        <v>0</v>
      </c>
      <c r="CT54">
        <f t="shared" si="77"/>
        <v>0</v>
      </c>
      <c r="CU54">
        <f t="shared" si="78"/>
        <v>0</v>
      </c>
      <c r="CV54">
        <f t="shared" si="79"/>
        <v>0</v>
      </c>
      <c r="CW54">
        <f t="shared" si="80"/>
        <v>0</v>
      </c>
      <c r="CX54">
        <f t="shared" si="81"/>
        <v>0</v>
      </c>
      <c r="CY54">
        <f t="shared" si="82"/>
        <v>0</v>
      </c>
      <c r="CZ54">
        <f t="shared" si="83"/>
        <v>0</v>
      </c>
      <c r="DC54" t="s">
        <v>3</v>
      </c>
      <c r="DD54" t="s">
        <v>3</v>
      </c>
      <c r="DE54" t="s">
        <v>3</v>
      </c>
      <c r="DF54" t="s">
        <v>3</v>
      </c>
      <c r="DG54" t="s">
        <v>3</v>
      </c>
      <c r="DH54" t="s">
        <v>3</v>
      </c>
      <c r="DI54" t="s">
        <v>3</v>
      </c>
      <c r="DJ54" t="s">
        <v>3</v>
      </c>
      <c r="DK54" t="s">
        <v>3</v>
      </c>
      <c r="DL54" t="s">
        <v>3</v>
      </c>
      <c r="DM54" t="s">
        <v>3</v>
      </c>
      <c r="DN54">
        <v>0</v>
      </c>
      <c r="DO54">
        <v>0</v>
      </c>
      <c r="DP54">
        <v>1</v>
      </c>
      <c r="DQ54">
        <v>1</v>
      </c>
      <c r="DU54">
        <v>1007</v>
      </c>
      <c r="DV54" t="s">
        <v>113</v>
      </c>
      <c r="DW54" t="s">
        <v>113</v>
      </c>
      <c r="DX54">
        <v>1</v>
      </c>
      <c r="DZ54" t="s">
        <v>3</v>
      </c>
      <c r="EA54" t="s">
        <v>3</v>
      </c>
      <c r="EB54" t="s">
        <v>3</v>
      </c>
      <c r="EC54" t="s">
        <v>3</v>
      </c>
      <c r="EE54">
        <v>64095026</v>
      </c>
      <c r="EF54">
        <v>2</v>
      </c>
      <c r="EG54" t="s">
        <v>13</v>
      </c>
      <c r="EH54">
        <v>0</v>
      </c>
      <c r="EI54" t="s">
        <v>3</v>
      </c>
      <c r="EJ54">
        <v>1</v>
      </c>
      <c r="EK54">
        <v>10001</v>
      </c>
      <c r="EL54" t="s">
        <v>155</v>
      </c>
      <c r="EM54" t="s">
        <v>156</v>
      </c>
      <c r="EO54" t="s">
        <v>3</v>
      </c>
      <c r="EQ54">
        <v>0</v>
      </c>
      <c r="ER54">
        <v>359.64</v>
      </c>
      <c r="ES54">
        <v>359.64</v>
      </c>
      <c r="ET54">
        <v>0</v>
      </c>
      <c r="EU54">
        <v>0</v>
      </c>
      <c r="EV54">
        <v>0</v>
      </c>
      <c r="EW54">
        <v>0</v>
      </c>
      <c r="EX54">
        <v>0</v>
      </c>
      <c r="FQ54">
        <v>0</v>
      </c>
      <c r="FR54">
        <f t="shared" si="84"/>
        <v>0</v>
      </c>
      <c r="FS54">
        <v>0</v>
      </c>
      <c r="FT54" t="s">
        <v>52</v>
      </c>
      <c r="FU54" t="s">
        <v>53</v>
      </c>
      <c r="FX54">
        <v>106.2</v>
      </c>
      <c r="FY54">
        <v>53.55</v>
      </c>
      <c r="GA54" t="s">
        <v>3</v>
      </c>
      <c r="GD54">
        <v>1</v>
      </c>
      <c r="GF54">
        <v>-1061747194</v>
      </c>
      <c r="GG54">
        <v>2</v>
      </c>
      <c r="GH54">
        <v>1</v>
      </c>
      <c r="GI54">
        <v>2</v>
      </c>
      <c r="GJ54">
        <v>0</v>
      </c>
      <c r="GK54">
        <v>0</v>
      </c>
      <c r="GL54">
        <f t="shared" si="85"/>
        <v>0</v>
      </c>
      <c r="GM54">
        <f t="shared" si="86"/>
        <v>3616.11</v>
      </c>
      <c r="GN54">
        <f t="shared" si="87"/>
        <v>3616.11</v>
      </c>
      <c r="GO54">
        <f t="shared" si="88"/>
        <v>0</v>
      </c>
      <c r="GP54">
        <f t="shared" si="89"/>
        <v>0</v>
      </c>
      <c r="GR54">
        <v>0</v>
      </c>
      <c r="GS54">
        <v>3</v>
      </c>
      <c r="GT54">
        <v>0</v>
      </c>
      <c r="GU54" t="s">
        <v>3</v>
      </c>
      <c r="GV54">
        <f t="shared" si="90"/>
        <v>0</v>
      </c>
      <c r="GW54">
        <v>1</v>
      </c>
      <c r="GX54">
        <f t="shared" si="91"/>
        <v>0</v>
      </c>
      <c r="HA54">
        <v>0</v>
      </c>
      <c r="HB54">
        <v>0</v>
      </c>
      <c r="HC54">
        <f t="shared" si="92"/>
        <v>0</v>
      </c>
      <c r="HE54" t="s">
        <v>3</v>
      </c>
      <c r="HF54" t="s">
        <v>3</v>
      </c>
      <c r="IK54">
        <v>0</v>
      </c>
    </row>
    <row r="55" spans="1:245" x14ac:dyDescent="0.2">
      <c r="A55">
        <v>17</v>
      </c>
      <c r="B55">
        <v>1</v>
      </c>
      <c r="C55">
        <f>ROW(SmtRes!A137)</f>
        <v>137</v>
      </c>
      <c r="D55">
        <f>ROW(EtalonRes!A148)</f>
        <v>148</v>
      </c>
      <c r="E55" t="s">
        <v>161</v>
      </c>
      <c r="F55" t="s">
        <v>162</v>
      </c>
      <c r="G55" t="s">
        <v>163</v>
      </c>
      <c r="H55" t="s">
        <v>36</v>
      </c>
      <c r="I55">
        <f>ROUND(42/100,5)</f>
        <v>0.42</v>
      </c>
      <c r="J55">
        <v>0</v>
      </c>
      <c r="O55">
        <f t="shared" si="58"/>
        <v>6345.47</v>
      </c>
      <c r="P55">
        <f t="shared" si="59"/>
        <v>6.66</v>
      </c>
      <c r="Q55">
        <f t="shared" si="60"/>
        <v>257.95</v>
      </c>
      <c r="R55">
        <f t="shared" si="61"/>
        <v>240.4</v>
      </c>
      <c r="S55">
        <f t="shared" si="62"/>
        <v>6080.86</v>
      </c>
      <c r="T55">
        <f t="shared" si="63"/>
        <v>0</v>
      </c>
      <c r="U55">
        <f t="shared" si="64"/>
        <v>21.185104500000001</v>
      </c>
      <c r="V55">
        <f t="shared" si="65"/>
        <v>0.65913750000000004</v>
      </c>
      <c r="W55">
        <f t="shared" si="66"/>
        <v>0</v>
      </c>
      <c r="X55">
        <f t="shared" si="67"/>
        <v>6005.2</v>
      </c>
      <c r="Y55">
        <f t="shared" si="68"/>
        <v>2970.99</v>
      </c>
      <c r="AA55">
        <v>68990560</v>
      </c>
      <c r="AB55">
        <f t="shared" si="69"/>
        <v>460.24</v>
      </c>
      <c r="AC55">
        <f t="shared" si="70"/>
        <v>1.24</v>
      </c>
      <c r="AD55">
        <f>ROUND((((((ET55*1.25)*1.35))-(((EU55*1.25)*1.35)))+AE55),2)</f>
        <v>28.74</v>
      </c>
      <c r="AE55">
        <f>ROUND((((EU55*1.25)*1.35)),2)</f>
        <v>17.010000000000002</v>
      </c>
      <c r="AF55">
        <f>ROUND((((EV55*1.15)*1.35)),2)</f>
        <v>430.26</v>
      </c>
      <c r="AG55">
        <f t="shared" si="71"/>
        <v>0</v>
      </c>
      <c r="AH55">
        <f>(((EW55*1.15)*1.35))</f>
        <v>50.440725000000008</v>
      </c>
      <c r="AI55">
        <f>(((EX55*1.25)*1.35))</f>
        <v>1.5693750000000002</v>
      </c>
      <c r="AJ55">
        <f t="shared" si="72"/>
        <v>0</v>
      </c>
      <c r="AK55">
        <v>295.41000000000003</v>
      </c>
      <c r="AL55">
        <v>1.24</v>
      </c>
      <c r="AM55">
        <v>17.03</v>
      </c>
      <c r="AN55">
        <v>10.08</v>
      </c>
      <c r="AO55">
        <v>277.14</v>
      </c>
      <c r="AP55">
        <v>0</v>
      </c>
      <c r="AQ55">
        <v>32.49</v>
      </c>
      <c r="AR55">
        <v>0.93</v>
      </c>
      <c r="AS55">
        <v>0</v>
      </c>
      <c r="AT55">
        <v>95</v>
      </c>
      <c r="AU55">
        <v>47</v>
      </c>
      <c r="AV55">
        <v>1</v>
      </c>
      <c r="AW55">
        <v>1</v>
      </c>
      <c r="AZ55">
        <v>1</v>
      </c>
      <c r="BA55">
        <v>33.65</v>
      </c>
      <c r="BB55">
        <v>21.37</v>
      </c>
      <c r="BC55">
        <v>12.78</v>
      </c>
      <c r="BD55" t="s">
        <v>3</v>
      </c>
      <c r="BE55" t="s">
        <v>3</v>
      </c>
      <c r="BF55" t="s">
        <v>3</v>
      </c>
      <c r="BG55" t="s">
        <v>3</v>
      </c>
      <c r="BH55">
        <v>0</v>
      </c>
      <c r="BI55">
        <v>1</v>
      </c>
      <c r="BJ55" t="s">
        <v>164</v>
      </c>
      <c r="BM55">
        <v>15001</v>
      </c>
      <c r="BN55">
        <v>0</v>
      </c>
      <c r="BO55" t="s">
        <v>162</v>
      </c>
      <c r="BP55">
        <v>1</v>
      </c>
      <c r="BQ55">
        <v>2</v>
      </c>
      <c r="BR55">
        <v>0</v>
      </c>
      <c r="BS55">
        <v>33.65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105</v>
      </c>
      <c r="CA55">
        <v>55</v>
      </c>
      <c r="CE55">
        <v>0</v>
      </c>
      <c r="CF55">
        <v>0</v>
      </c>
      <c r="CG55">
        <v>0</v>
      </c>
      <c r="CM55">
        <v>0</v>
      </c>
      <c r="CN55" t="s">
        <v>1332</v>
      </c>
      <c r="CO55">
        <v>0</v>
      </c>
      <c r="CP55">
        <f t="shared" si="73"/>
        <v>6345.4699999999993</v>
      </c>
      <c r="CQ55">
        <f t="shared" si="74"/>
        <v>15.847199999999999</v>
      </c>
      <c r="CR55">
        <f t="shared" si="75"/>
        <v>614.17380000000003</v>
      </c>
      <c r="CS55">
        <f t="shared" si="76"/>
        <v>572.38650000000007</v>
      </c>
      <c r="CT55">
        <f t="shared" si="77"/>
        <v>14478.249</v>
      </c>
      <c r="CU55">
        <f t="shared" si="78"/>
        <v>0</v>
      </c>
      <c r="CV55">
        <f t="shared" si="79"/>
        <v>50.440725000000008</v>
      </c>
      <c r="CW55">
        <f t="shared" si="80"/>
        <v>1.5693750000000002</v>
      </c>
      <c r="CX55">
        <f t="shared" si="81"/>
        <v>0</v>
      </c>
      <c r="CY55">
        <f t="shared" si="82"/>
        <v>6005.1969999999992</v>
      </c>
      <c r="CZ55">
        <f t="shared" si="83"/>
        <v>2970.9921999999997</v>
      </c>
      <c r="DC55" t="s">
        <v>3</v>
      </c>
      <c r="DD55" t="s">
        <v>3</v>
      </c>
      <c r="DE55" t="s">
        <v>146</v>
      </c>
      <c r="DF55" t="s">
        <v>146</v>
      </c>
      <c r="DG55" t="s">
        <v>147</v>
      </c>
      <c r="DH55" t="s">
        <v>3</v>
      </c>
      <c r="DI55" t="s">
        <v>147</v>
      </c>
      <c r="DJ55" t="s">
        <v>146</v>
      </c>
      <c r="DK55" t="s">
        <v>3</v>
      </c>
      <c r="DL55" t="s">
        <v>3</v>
      </c>
      <c r="DM55" t="s">
        <v>3</v>
      </c>
      <c r="DN55">
        <v>0</v>
      </c>
      <c r="DO55">
        <v>0</v>
      </c>
      <c r="DP55">
        <v>1</v>
      </c>
      <c r="DQ55">
        <v>1</v>
      </c>
      <c r="DU55">
        <v>1005</v>
      </c>
      <c r="DV55" t="s">
        <v>36</v>
      </c>
      <c r="DW55" t="s">
        <v>36</v>
      </c>
      <c r="DX55">
        <v>100</v>
      </c>
      <c r="DZ55" t="s">
        <v>3</v>
      </c>
      <c r="EA55" t="s">
        <v>3</v>
      </c>
      <c r="EB55" t="s">
        <v>3</v>
      </c>
      <c r="EC55" t="s">
        <v>3</v>
      </c>
      <c r="EE55">
        <v>64095052</v>
      </c>
      <c r="EF55">
        <v>2</v>
      </c>
      <c r="EG55" t="s">
        <v>13</v>
      </c>
      <c r="EH55">
        <v>0</v>
      </c>
      <c r="EI55" t="s">
        <v>3</v>
      </c>
      <c r="EJ55">
        <v>1</v>
      </c>
      <c r="EK55">
        <v>15001</v>
      </c>
      <c r="EL55" t="s">
        <v>165</v>
      </c>
      <c r="EM55" t="s">
        <v>166</v>
      </c>
      <c r="EO55" t="s">
        <v>150</v>
      </c>
      <c r="EQ55">
        <v>0</v>
      </c>
      <c r="ER55">
        <v>295.41000000000003</v>
      </c>
      <c r="ES55">
        <v>1.24</v>
      </c>
      <c r="ET55">
        <v>17.03</v>
      </c>
      <c r="EU55">
        <v>10.08</v>
      </c>
      <c r="EV55">
        <v>277.14</v>
      </c>
      <c r="EW55">
        <v>32.49</v>
      </c>
      <c r="EX55">
        <v>0.93</v>
      </c>
      <c r="EY55">
        <v>0</v>
      </c>
      <c r="FQ55">
        <v>0</v>
      </c>
      <c r="FR55">
        <f t="shared" si="84"/>
        <v>0</v>
      </c>
      <c r="FS55">
        <v>0</v>
      </c>
      <c r="FT55" t="s">
        <v>52</v>
      </c>
      <c r="FU55" t="s">
        <v>53</v>
      </c>
      <c r="FX55">
        <v>94.5</v>
      </c>
      <c r="FY55">
        <v>46.75</v>
      </c>
      <c r="GA55" t="s">
        <v>3</v>
      </c>
      <c r="GD55">
        <v>1</v>
      </c>
      <c r="GF55">
        <v>1702297309</v>
      </c>
      <c r="GG55">
        <v>2</v>
      </c>
      <c r="GH55">
        <v>1</v>
      </c>
      <c r="GI55">
        <v>2</v>
      </c>
      <c r="GJ55">
        <v>0</v>
      </c>
      <c r="GK55">
        <v>0</v>
      </c>
      <c r="GL55">
        <f t="shared" si="85"/>
        <v>0</v>
      </c>
      <c r="GM55">
        <f t="shared" si="86"/>
        <v>15321.66</v>
      </c>
      <c r="GN55">
        <f t="shared" si="87"/>
        <v>15321.66</v>
      </c>
      <c r="GO55">
        <f t="shared" si="88"/>
        <v>0</v>
      </c>
      <c r="GP55">
        <f t="shared" si="89"/>
        <v>0</v>
      </c>
      <c r="GR55">
        <v>0</v>
      </c>
      <c r="GS55">
        <v>3</v>
      </c>
      <c r="GT55">
        <v>0</v>
      </c>
      <c r="GU55" t="s">
        <v>3</v>
      </c>
      <c r="GV55">
        <f t="shared" si="90"/>
        <v>0</v>
      </c>
      <c r="GW55">
        <v>1</v>
      </c>
      <c r="GX55">
        <f t="shared" si="91"/>
        <v>0</v>
      </c>
      <c r="HA55">
        <v>0</v>
      </c>
      <c r="HB55">
        <v>0</v>
      </c>
      <c r="HC55">
        <f t="shared" si="92"/>
        <v>0</v>
      </c>
      <c r="HE55" t="s">
        <v>3</v>
      </c>
      <c r="HF55" t="s">
        <v>3</v>
      </c>
      <c r="IK55">
        <v>0</v>
      </c>
    </row>
    <row r="56" spans="1:245" x14ac:dyDescent="0.2">
      <c r="A56">
        <v>18</v>
      </c>
      <c r="B56">
        <v>1</v>
      </c>
      <c r="C56">
        <v>136</v>
      </c>
      <c r="E56" t="s">
        <v>167</v>
      </c>
      <c r="F56" t="s">
        <v>168</v>
      </c>
      <c r="G56" t="s">
        <v>169</v>
      </c>
      <c r="H56" t="s">
        <v>170</v>
      </c>
      <c r="I56">
        <f>I55*J56</f>
        <v>357</v>
      </c>
      <c r="J56">
        <v>850</v>
      </c>
      <c r="O56">
        <f t="shared" si="58"/>
        <v>6898.95</v>
      </c>
      <c r="P56">
        <f t="shared" si="59"/>
        <v>6898.95</v>
      </c>
      <c r="Q56">
        <f t="shared" si="60"/>
        <v>0</v>
      </c>
      <c r="R56">
        <f t="shared" si="61"/>
        <v>0</v>
      </c>
      <c r="S56">
        <f t="shared" si="62"/>
        <v>0</v>
      </c>
      <c r="T56">
        <f t="shared" si="63"/>
        <v>0</v>
      </c>
      <c r="U56">
        <f t="shared" si="64"/>
        <v>0</v>
      </c>
      <c r="V56">
        <f t="shared" si="65"/>
        <v>0</v>
      </c>
      <c r="W56">
        <f t="shared" si="66"/>
        <v>0</v>
      </c>
      <c r="X56">
        <f t="shared" si="67"/>
        <v>0</v>
      </c>
      <c r="Y56">
        <f t="shared" si="68"/>
        <v>0</v>
      </c>
      <c r="AA56">
        <v>68990560</v>
      </c>
      <c r="AB56">
        <f t="shared" si="69"/>
        <v>2.64</v>
      </c>
      <c r="AC56">
        <f t="shared" si="70"/>
        <v>2.64</v>
      </c>
      <c r="AD56">
        <f>ROUND((((ET56)-(EU56))+AE56),2)</f>
        <v>0</v>
      </c>
      <c r="AE56">
        <f>ROUND((EU56),2)</f>
        <v>0</v>
      </c>
      <c r="AF56">
        <f>ROUND((EV56),2)</f>
        <v>0</v>
      </c>
      <c r="AG56">
        <f t="shared" si="71"/>
        <v>0</v>
      </c>
      <c r="AH56">
        <f>(EW56)</f>
        <v>0</v>
      </c>
      <c r="AI56">
        <f>(EX56)</f>
        <v>0</v>
      </c>
      <c r="AJ56">
        <f t="shared" si="72"/>
        <v>0</v>
      </c>
      <c r="AK56">
        <v>2.64</v>
      </c>
      <c r="AL56">
        <v>2.64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95</v>
      </c>
      <c r="AU56">
        <v>47</v>
      </c>
      <c r="AV56">
        <v>1</v>
      </c>
      <c r="AW56">
        <v>1</v>
      </c>
      <c r="AZ56">
        <v>1</v>
      </c>
      <c r="BA56">
        <v>1</v>
      </c>
      <c r="BB56">
        <v>1</v>
      </c>
      <c r="BC56">
        <v>7.32</v>
      </c>
      <c r="BD56" t="s">
        <v>3</v>
      </c>
      <c r="BE56" t="s">
        <v>3</v>
      </c>
      <c r="BF56" t="s">
        <v>3</v>
      </c>
      <c r="BG56" t="s">
        <v>3</v>
      </c>
      <c r="BH56">
        <v>3</v>
      </c>
      <c r="BI56">
        <v>1</v>
      </c>
      <c r="BJ56" t="s">
        <v>171</v>
      </c>
      <c r="BM56">
        <v>15001</v>
      </c>
      <c r="BN56">
        <v>0</v>
      </c>
      <c r="BO56" t="s">
        <v>168</v>
      </c>
      <c r="BP56">
        <v>1</v>
      </c>
      <c r="BQ56">
        <v>2</v>
      </c>
      <c r="BR56">
        <v>0</v>
      </c>
      <c r="BS56">
        <v>1</v>
      </c>
      <c r="BT56">
        <v>1</v>
      </c>
      <c r="BU56">
        <v>1</v>
      </c>
      <c r="BV56">
        <v>1</v>
      </c>
      <c r="BW56">
        <v>1</v>
      </c>
      <c r="BX56">
        <v>1</v>
      </c>
      <c r="BY56" t="s">
        <v>3</v>
      </c>
      <c r="BZ56">
        <v>105</v>
      </c>
      <c r="CA56">
        <v>55</v>
      </c>
      <c r="CE56">
        <v>0</v>
      </c>
      <c r="CF56">
        <v>0</v>
      </c>
      <c r="CG56">
        <v>0</v>
      </c>
      <c r="CM56">
        <v>0</v>
      </c>
      <c r="CN56" t="s">
        <v>3</v>
      </c>
      <c r="CO56">
        <v>0</v>
      </c>
      <c r="CP56">
        <f t="shared" si="73"/>
        <v>6898.95</v>
      </c>
      <c r="CQ56">
        <f t="shared" si="74"/>
        <v>19.324800000000003</v>
      </c>
      <c r="CR56">
        <f t="shared" si="75"/>
        <v>0</v>
      </c>
      <c r="CS56">
        <f t="shared" si="76"/>
        <v>0</v>
      </c>
      <c r="CT56">
        <f t="shared" si="77"/>
        <v>0</v>
      </c>
      <c r="CU56">
        <f t="shared" si="78"/>
        <v>0</v>
      </c>
      <c r="CV56">
        <f t="shared" si="79"/>
        <v>0</v>
      </c>
      <c r="CW56">
        <f t="shared" si="80"/>
        <v>0</v>
      </c>
      <c r="CX56">
        <f t="shared" si="81"/>
        <v>0</v>
      </c>
      <c r="CY56">
        <f t="shared" si="82"/>
        <v>0</v>
      </c>
      <c r="CZ56">
        <f t="shared" si="83"/>
        <v>0</v>
      </c>
      <c r="DC56" t="s">
        <v>3</v>
      </c>
      <c r="DD56" t="s">
        <v>3</v>
      </c>
      <c r="DE56" t="s">
        <v>3</v>
      </c>
      <c r="DF56" t="s">
        <v>3</v>
      </c>
      <c r="DG56" t="s">
        <v>3</v>
      </c>
      <c r="DH56" t="s">
        <v>3</v>
      </c>
      <c r="DI56" t="s">
        <v>3</v>
      </c>
      <c r="DJ56" t="s">
        <v>3</v>
      </c>
      <c r="DK56" t="s">
        <v>3</v>
      </c>
      <c r="DL56" t="s">
        <v>3</v>
      </c>
      <c r="DM56" t="s">
        <v>3</v>
      </c>
      <c r="DN56">
        <v>0</v>
      </c>
      <c r="DO56">
        <v>0</v>
      </c>
      <c r="DP56">
        <v>1</v>
      </c>
      <c r="DQ56">
        <v>1</v>
      </c>
      <c r="DU56">
        <v>1009</v>
      </c>
      <c r="DV56" t="s">
        <v>170</v>
      </c>
      <c r="DW56" t="s">
        <v>170</v>
      </c>
      <c r="DX56">
        <v>1</v>
      </c>
      <c r="DZ56" t="s">
        <v>3</v>
      </c>
      <c r="EA56" t="s">
        <v>3</v>
      </c>
      <c r="EB56" t="s">
        <v>3</v>
      </c>
      <c r="EC56" t="s">
        <v>3</v>
      </c>
      <c r="EE56">
        <v>64095052</v>
      </c>
      <c r="EF56">
        <v>2</v>
      </c>
      <c r="EG56" t="s">
        <v>13</v>
      </c>
      <c r="EH56">
        <v>0</v>
      </c>
      <c r="EI56" t="s">
        <v>3</v>
      </c>
      <c r="EJ56">
        <v>1</v>
      </c>
      <c r="EK56">
        <v>15001</v>
      </c>
      <c r="EL56" t="s">
        <v>165</v>
      </c>
      <c r="EM56" t="s">
        <v>166</v>
      </c>
      <c r="EO56" t="s">
        <v>3</v>
      </c>
      <c r="EQ56">
        <v>0</v>
      </c>
      <c r="ER56">
        <v>2.64</v>
      </c>
      <c r="ES56">
        <v>2.64</v>
      </c>
      <c r="ET56">
        <v>0</v>
      </c>
      <c r="EU56">
        <v>0</v>
      </c>
      <c r="EV56">
        <v>0</v>
      </c>
      <c r="EW56">
        <v>0</v>
      </c>
      <c r="EX56">
        <v>0</v>
      </c>
      <c r="FQ56">
        <v>0</v>
      </c>
      <c r="FR56">
        <f t="shared" si="84"/>
        <v>0</v>
      </c>
      <c r="FS56">
        <v>0</v>
      </c>
      <c r="FT56" t="s">
        <v>52</v>
      </c>
      <c r="FU56" t="s">
        <v>53</v>
      </c>
      <c r="FX56">
        <v>94.5</v>
      </c>
      <c r="FY56">
        <v>46.75</v>
      </c>
      <c r="GA56" t="s">
        <v>3</v>
      </c>
      <c r="GD56">
        <v>1</v>
      </c>
      <c r="GF56">
        <v>375865034</v>
      </c>
      <c r="GG56">
        <v>2</v>
      </c>
      <c r="GH56">
        <v>1</v>
      </c>
      <c r="GI56">
        <v>2</v>
      </c>
      <c r="GJ56">
        <v>0</v>
      </c>
      <c r="GK56">
        <v>0</v>
      </c>
      <c r="GL56">
        <f t="shared" si="85"/>
        <v>0</v>
      </c>
      <c r="GM56">
        <f t="shared" si="86"/>
        <v>6898.95</v>
      </c>
      <c r="GN56">
        <f t="shared" si="87"/>
        <v>6898.95</v>
      </c>
      <c r="GO56">
        <f t="shared" si="88"/>
        <v>0</v>
      </c>
      <c r="GP56">
        <f t="shared" si="89"/>
        <v>0</v>
      </c>
      <c r="GR56">
        <v>0</v>
      </c>
      <c r="GS56">
        <v>3</v>
      </c>
      <c r="GT56">
        <v>0</v>
      </c>
      <c r="GU56" t="s">
        <v>3</v>
      </c>
      <c r="GV56">
        <f t="shared" si="90"/>
        <v>0</v>
      </c>
      <c r="GW56">
        <v>1</v>
      </c>
      <c r="GX56">
        <f t="shared" si="91"/>
        <v>0</v>
      </c>
      <c r="HA56">
        <v>0</v>
      </c>
      <c r="HB56">
        <v>0</v>
      </c>
      <c r="HC56">
        <f t="shared" si="92"/>
        <v>0</v>
      </c>
      <c r="HE56" t="s">
        <v>3</v>
      </c>
      <c r="HF56" t="s">
        <v>3</v>
      </c>
      <c r="IK56">
        <v>0</v>
      </c>
    </row>
    <row r="57" spans="1:245" x14ac:dyDescent="0.2">
      <c r="A57">
        <v>18</v>
      </c>
      <c r="B57">
        <v>1</v>
      </c>
      <c r="C57">
        <v>137</v>
      </c>
      <c r="E57" t="s">
        <v>172</v>
      </c>
      <c r="F57" t="s">
        <v>173</v>
      </c>
      <c r="G57" t="s">
        <v>1333</v>
      </c>
      <c r="H57" t="s">
        <v>174</v>
      </c>
      <c r="I57">
        <f>I55*J57</f>
        <v>8.4</v>
      </c>
      <c r="J57">
        <v>20</v>
      </c>
      <c r="O57">
        <f t="shared" si="58"/>
        <v>1369.11</v>
      </c>
      <c r="P57">
        <f t="shared" si="59"/>
        <v>1369.11</v>
      </c>
      <c r="Q57">
        <f t="shared" si="60"/>
        <v>0</v>
      </c>
      <c r="R57">
        <f t="shared" si="61"/>
        <v>0</v>
      </c>
      <c r="S57">
        <f t="shared" si="62"/>
        <v>0</v>
      </c>
      <c r="T57">
        <f t="shared" si="63"/>
        <v>0</v>
      </c>
      <c r="U57">
        <f t="shared" si="64"/>
        <v>0</v>
      </c>
      <c r="V57">
        <f t="shared" si="65"/>
        <v>0</v>
      </c>
      <c r="W57">
        <f t="shared" si="66"/>
        <v>0</v>
      </c>
      <c r="X57">
        <f t="shared" si="67"/>
        <v>0</v>
      </c>
      <c r="Y57">
        <f t="shared" si="68"/>
        <v>0</v>
      </c>
      <c r="AA57">
        <v>68990560</v>
      </c>
      <c r="AB57">
        <f t="shared" si="69"/>
        <v>43.58</v>
      </c>
      <c r="AC57">
        <f t="shared" si="70"/>
        <v>43.58</v>
      </c>
      <c r="AD57">
        <f>ROUND((((ET57)-(EU57))+AE57),2)</f>
        <v>0</v>
      </c>
      <c r="AE57">
        <f>ROUND((EU57),2)</f>
        <v>0</v>
      </c>
      <c r="AF57">
        <f>ROUND((EV57),2)</f>
        <v>0</v>
      </c>
      <c r="AG57">
        <f t="shared" si="71"/>
        <v>0</v>
      </c>
      <c r="AH57">
        <f>(EW57)</f>
        <v>0</v>
      </c>
      <c r="AI57">
        <f>(EX57)</f>
        <v>0</v>
      </c>
      <c r="AJ57">
        <f t="shared" si="72"/>
        <v>0</v>
      </c>
      <c r="AK57">
        <v>43.58</v>
      </c>
      <c r="AL57">
        <v>43.58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95</v>
      </c>
      <c r="AU57">
        <v>47</v>
      </c>
      <c r="AV57">
        <v>1</v>
      </c>
      <c r="AW57">
        <v>1</v>
      </c>
      <c r="AZ57">
        <v>1</v>
      </c>
      <c r="BA57">
        <v>1</v>
      </c>
      <c r="BB57">
        <v>1</v>
      </c>
      <c r="BC57">
        <v>3.74</v>
      </c>
      <c r="BD57" t="s">
        <v>3</v>
      </c>
      <c r="BE57" t="s">
        <v>3</v>
      </c>
      <c r="BF57" t="s">
        <v>3</v>
      </c>
      <c r="BG57" t="s">
        <v>3</v>
      </c>
      <c r="BH57">
        <v>3</v>
      </c>
      <c r="BI57">
        <v>1</v>
      </c>
      <c r="BJ57" t="s">
        <v>175</v>
      </c>
      <c r="BM57">
        <v>15001</v>
      </c>
      <c r="BN57">
        <v>0</v>
      </c>
      <c r="BO57" t="s">
        <v>173</v>
      </c>
      <c r="BP57">
        <v>1</v>
      </c>
      <c r="BQ57">
        <v>2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3</v>
      </c>
      <c r="BZ57">
        <v>105</v>
      </c>
      <c r="CA57">
        <v>55</v>
      </c>
      <c r="CE57">
        <v>0</v>
      </c>
      <c r="CF57">
        <v>0</v>
      </c>
      <c r="CG57">
        <v>0</v>
      </c>
      <c r="CM57">
        <v>0</v>
      </c>
      <c r="CN57" t="s">
        <v>3</v>
      </c>
      <c r="CO57">
        <v>0</v>
      </c>
      <c r="CP57">
        <f t="shared" si="73"/>
        <v>1369.11</v>
      </c>
      <c r="CQ57">
        <f t="shared" si="74"/>
        <v>162.98920000000001</v>
      </c>
      <c r="CR57">
        <f t="shared" si="75"/>
        <v>0</v>
      </c>
      <c r="CS57">
        <f t="shared" si="76"/>
        <v>0</v>
      </c>
      <c r="CT57">
        <f t="shared" si="77"/>
        <v>0</v>
      </c>
      <c r="CU57">
        <f t="shared" si="78"/>
        <v>0</v>
      </c>
      <c r="CV57">
        <f t="shared" si="79"/>
        <v>0</v>
      </c>
      <c r="CW57">
        <f t="shared" si="80"/>
        <v>0</v>
      </c>
      <c r="CX57">
        <f t="shared" si="81"/>
        <v>0</v>
      </c>
      <c r="CY57">
        <f t="shared" si="82"/>
        <v>0</v>
      </c>
      <c r="CZ57">
        <f t="shared" si="83"/>
        <v>0</v>
      </c>
      <c r="DC57" t="s">
        <v>3</v>
      </c>
      <c r="DD57" t="s">
        <v>3</v>
      </c>
      <c r="DE57" t="s">
        <v>3</v>
      </c>
      <c r="DF57" t="s">
        <v>3</v>
      </c>
      <c r="DG57" t="s">
        <v>3</v>
      </c>
      <c r="DH57" t="s">
        <v>3</v>
      </c>
      <c r="DI57" t="s">
        <v>3</v>
      </c>
      <c r="DJ57" t="s">
        <v>3</v>
      </c>
      <c r="DK57" t="s">
        <v>3</v>
      </c>
      <c r="DL57" t="s">
        <v>3</v>
      </c>
      <c r="DM57" t="s">
        <v>3</v>
      </c>
      <c r="DN57">
        <v>0</v>
      </c>
      <c r="DO57">
        <v>0</v>
      </c>
      <c r="DP57">
        <v>1</v>
      </c>
      <c r="DQ57">
        <v>1</v>
      </c>
      <c r="DU57">
        <v>1002</v>
      </c>
      <c r="DV57" t="s">
        <v>174</v>
      </c>
      <c r="DW57" t="s">
        <v>174</v>
      </c>
      <c r="DX57">
        <v>1</v>
      </c>
      <c r="DZ57" t="s">
        <v>3</v>
      </c>
      <c r="EA57" t="s">
        <v>3</v>
      </c>
      <c r="EB57" t="s">
        <v>3</v>
      </c>
      <c r="EC57" t="s">
        <v>3</v>
      </c>
      <c r="EE57">
        <v>64095052</v>
      </c>
      <c r="EF57">
        <v>2</v>
      </c>
      <c r="EG57" t="s">
        <v>13</v>
      </c>
      <c r="EH57">
        <v>0</v>
      </c>
      <c r="EI57" t="s">
        <v>3</v>
      </c>
      <c r="EJ57">
        <v>1</v>
      </c>
      <c r="EK57">
        <v>15001</v>
      </c>
      <c r="EL57" t="s">
        <v>165</v>
      </c>
      <c r="EM57" t="s">
        <v>166</v>
      </c>
      <c r="EO57" t="s">
        <v>3</v>
      </c>
      <c r="EQ57">
        <v>0</v>
      </c>
      <c r="ER57">
        <v>43.58</v>
      </c>
      <c r="ES57">
        <v>43.58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84"/>
        <v>0</v>
      </c>
      <c r="FS57">
        <v>0</v>
      </c>
      <c r="FT57" t="s">
        <v>52</v>
      </c>
      <c r="FU57" t="s">
        <v>53</v>
      </c>
      <c r="FX57">
        <v>94.5</v>
      </c>
      <c r="FY57">
        <v>46.75</v>
      </c>
      <c r="GA57" t="s">
        <v>3</v>
      </c>
      <c r="GD57">
        <v>1</v>
      </c>
      <c r="GF57">
        <v>1151322612</v>
      </c>
      <c r="GG57">
        <v>2</v>
      </c>
      <c r="GH57">
        <v>1</v>
      </c>
      <c r="GI57">
        <v>2</v>
      </c>
      <c r="GJ57">
        <v>0</v>
      </c>
      <c r="GK57">
        <v>0</v>
      </c>
      <c r="GL57">
        <f t="shared" si="85"/>
        <v>0</v>
      </c>
      <c r="GM57">
        <f t="shared" si="86"/>
        <v>1369.11</v>
      </c>
      <c r="GN57">
        <f t="shared" si="87"/>
        <v>1369.11</v>
      </c>
      <c r="GO57">
        <f t="shared" si="88"/>
        <v>0</v>
      </c>
      <c r="GP57">
        <f t="shared" si="89"/>
        <v>0</v>
      </c>
      <c r="GR57">
        <v>0</v>
      </c>
      <c r="GS57">
        <v>0</v>
      </c>
      <c r="GT57">
        <v>0</v>
      </c>
      <c r="GU57" t="s">
        <v>3</v>
      </c>
      <c r="GV57">
        <f t="shared" si="90"/>
        <v>0</v>
      </c>
      <c r="GW57">
        <v>1</v>
      </c>
      <c r="GX57">
        <f t="shared" si="91"/>
        <v>0</v>
      </c>
      <c r="HA57">
        <v>0</v>
      </c>
      <c r="HB57">
        <v>0</v>
      </c>
      <c r="HC57">
        <f t="shared" si="92"/>
        <v>0</v>
      </c>
      <c r="HE57" t="s">
        <v>3</v>
      </c>
      <c r="HF57" t="s">
        <v>3</v>
      </c>
      <c r="IK57">
        <v>0</v>
      </c>
    </row>
    <row r="58" spans="1:245" x14ac:dyDescent="0.2">
      <c r="A58">
        <v>17</v>
      </c>
      <c r="B58">
        <v>1</v>
      </c>
      <c r="C58">
        <f>ROW(SmtRes!A146)</f>
        <v>146</v>
      </c>
      <c r="D58">
        <f>ROW(EtalonRes!A157)</f>
        <v>157</v>
      </c>
      <c r="E58" t="s">
        <v>176</v>
      </c>
      <c r="F58" t="s">
        <v>177</v>
      </c>
      <c r="G58" t="s">
        <v>178</v>
      </c>
      <c r="H58" t="s">
        <v>36</v>
      </c>
      <c r="I58">
        <f>ROUND(42/100,5)</f>
        <v>0.42</v>
      </c>
      <c r="J58">
        <v>0</v>
      </c>
      <c r="O58">
        <f t="shared" si="58"/>
        <v>6633.31</v>
      </c>
      <c r="P58">
        <f t="shared" si="59"/>
        <v>212.66</v>
      </c>
      <c r="Q58">
        <f t="shared" si="60"/>
        <v>57.83</v>
      </c>
      <c r="R58">
        <f t="shared" si="61"/>
        <v>30.53</v>
      </c>
      <c r="S58">
        <f t="shared" si="62"/>
        <v>6362.82</v>
      </c>
      <c r="T58">
        <f t="shared" si="63"/>
        <v>0</v>
      </c>
      <c r="U58">
        <f t="shared" si="64"/>
        <v>21.341596499999994</v>
      </c>
      <c r="V58">
        <f t="shared" si="65"/>
        <v>7.7962500000000018E-2</v>
      </c>
      <c r="W58">
        <f t="shared" si="66"/>
        <v>0</v>
      </c>
      <c r="X58">
        <f t="shared" si="67"/>
        <v>6073.68</v>
      </c>
      <c r="Y58">
        <f t="shared" si="68"/>
        <v>3004.87</v>
      </c>
      <c r="AA58">
        <v>68990560</v>
      </c>
      <c r="AB58">
        <f t="shared" si="69"/>
        <v>580.07000000000005</v>
      </c>
      <c r="AC58">
        <f t="shared" si="70"/>
        <v>118.3</v>
      </c>
      <c r="AD58">
        <f>ROUND((((((ET58*1.25)*1.35))-(((EU58*1.25)*1.35)))+AE58),2)</f>
        <v>11.56</v>
      </c>
      <c r="AE58">
        <f>ROUND((((EU58*1.25)*1.35)),2)</f>
        <v>2.16</v>
      </c>
      <c r="AF58">
        <f>ROUND((((EV58*1.15)*1.35)),2)</f>
        <v>450.21</v>
      </c>
      <c r="AG58">
        <f t="shared" si="71"/>
        <v>0</v>
      </c>
      <c r="AH58">
        <f>(((EW58*1.15)*1.35))</f>
        <v>50.813324999999992</v>
      </c>
      <c r="AI58">
        <f>(((EX58*1.25)*1.35))</f>
        <v>0.18562500000000004</v>
      </c>
      <c r="AJ58">
        <f t="shared" si="72"/>
        <v>0</v>
      </c>
      <c r="AK58">
        <v>415.14</v>
      </c>
      <c r="AL58">
        <v>118.3</v>
      </c>
      <c r="AM58">
        <v>6.85</v>
      </c>
      <c r="AN58">
        <v>1.28</v>
      </c>
      <c r="AO58">
        <v>289.99</v>
      </c>
      <c r="AP58">
        <v>0</v>
      </c>
      <c r="AQ58">
        <v>32.729999999999997</v>
      </c>
      <c r="AR58">
        <v>0.11</v>
      </c>
      <c r="AS58">
        <v>0</v>
      </c>
      <c r="AT58">
        <v>95</v>
      </c>
      <c r="AU58">
        <v>47</v>
      </c>
      <c r="AV58">
        <v>1</v>
      </c>
      <c r="AW58">
        <v>1</v>
      </c>
      <c r="AZ58">
        <v>1</v>
      </c>
      <c r="BA58">
        <v>33.65</v>
      </c>
      <c r="BB58">
        <v>11.91</v>
      </c>
      <c r="BC58">
        <v>4.28</v>
      </c>
      <c r="BD58" t="s">
        <v>3</v>
      </c>
      <c r="BE58" t="s">
        <v>3</v>
      </c>
      <c r="BF58" t="s">
        <v>3</v>
      </c>
      <c r="BG58" t="s">
        <v>3</v>
      </c>
      <c r="BH58">
        <v>0</v>
      </c>
      <c r="BI58">
        <v>1</v>
      </c>
      <c r="BJ58" t="s">
        <v>179</v>
      </c>
      <c r="BM58">
        <v>15001</v>
      </c>
      <c r="BN58">
        <v>0</v>
      </c>
      <c r="BO58" t="s">
        <v>177</v>
      </c>
      <c r="BP58">
        <v>1</v>
      </c>
      <c r="BQ58">
        <v>2</v>
      </c>
      <c r="BR58">
        <v>0</v>
      </c>
      <c r="BS58">
        <v>33.65</v>
      </c>
      <c r="BT58">
        <v>1</v>
      </c>
      <c r="BU58">
        <v>1</v>
      </c>
      <c r="BV58">
        <v>1</v>
      </c>
      <c r="BW58">
        <v>1</v>
      </c>
      <c r="BX58">
        <v>1</v>
      </c>
      <c r="BY58" t="s">
        <v>3</v>
      </c>
      <c r="BZ58">
        <v>105</v>
      </c>
      <c r="CA58">
        <v>55</v>
      </c>
      <c r="CE58">
        <v>0</v>
      </c>
      <c r="CF58">
        <v>0</v>
      </c>
      <c r="CG58">
        <v>0</v>
      </c>
      <c r="CM58">
        <v>0</v>
      </c>
      <c r="CN58" t="s">
        <v>1332</v>
      </c>
      <c r="CO58">
        <v>0</v>
      </c>
      <c r="CP58">
        <f t="shared" si="73"/>
        <v>6633.3099999999995</v>
      </c>
      <c r="CQ58">
        <f t="shared" si="74"/>
        <v>506.32400000000001</v>
      </c>
      <c r="CR58">
        <f t="shared" si="75"/>
        <v>137.67959999999999</v>
      </c>
      <c r="CS58">
        <f t="shared" si="76"/>
        <v>72.683999999999997</v>
      </c>
      <c r="CT58">
        <f t="shared" si="77"/>
        <v>15149.566499999999</v>
      </c>
      <c r="CU58">
        <f t="shared" si="78"/>
        <v>0</v>
      </c>
      <c r="CV58">
        <f t="shared" si="79"/>
        <v>50.813324999999992</v>
      </c>
      <c r="CW58">
        <f t="shared" si="80"/>
        <v>0.18562500000000004</v>
      </c>
      <c r="CX58">
        <f t="shared" si="81"/>
        <v>0</v>
      </c>
      <c r="CY58">
        <f t="shared" si="82"/>
        <v>6073.6824999999999</v>
      </c>
      <c r="CZ58">
        <f t="shared" si="83"/>
        <v>3004.8744999999994</v>
      </c>
      <c r="DC58" t="s">
        <v>3</v>
      </c>
      <c r="DD58" t="s">
        <v>3</v>
      </c>
      <c r="DE58" t="s">
        <v>146</v>
      </c>
      <c r="DF58" t="s">
        <v>146</v>
      </c>
      <c r="DG58" t="s">
        <v>147</v>
      </c>
      <c r="DH58" t="s">
        <v>3</v>
      </c>
      <c r="DI58" t="s">
        <v>147</v>
      </c>
      <c r="DJ58" t="s">
        <v>146</v>
      </c>
      <c r="DK58" t="s">
        <v>3</v>
      </c>
      <c r="DL58" t="s">
        <v>3</v>
      </c>
      <c r="DM58" t="s">
        <v>3</v>
      </c>
      <c r="DN58">
        <v>0</v>
      </c>
      <c r="DO58">
        <v>0</v>
      </c>
      <c r="DP58">
        <v>1</v>
      </c>
      <c r="DQ58">
        <v>1</v>
      </c>
      <c r="DU58">
        <v>1005</v>
      </c>
      <c r="DV58" t="s">
        <v>36</v>
      </c>
      <c r="DW58" t="s">
        <v>36</v>
      </c>
      <c r="DX58">
        <v>100</v>
      </c>
      <c r="DZ58" t="s">
        <v>3</v>
      </c>
      <c r="EA58" t="s">
        <v>3</v>
      </c>
      <c r="EB58" t="s">
        <v>3</v>
      </c>
      <c r="EC58" t="s">
        <v>3</v>
      </c>
      <c r="EE58">
        <v>64095052</v>
      </c>
      <c r="EF58">
        <v>2</v>
      </c>
      <c r="EG58" t="s">
        <v>13</v>
      </c>
      <c r="EH58">
        <v>0</v>
      </c>
      <c r="EI58" t="s">
        <v>3</v>
      </c>
      <c r="EJ58">
        <v>1</v>
      </c>
      <c r="EK58">
        <v>15001</v>
      </c>
      <c r="EL58" t="s">
        <v>165</v>
      </c>
      <c r="EM58" t="s">
        <v>166</v>
      </c>
      <c r="EO58" t="s">
        <v>150</v>
      </c>
      <c r="EQ58">
        <v>0</v>
      </c>
      <c r="ER58">
        <v>415.14</v>
      </c>
      <c r="ES58">
        <v>118.3</v>
      </c>
      <c r="ET58">
        <v>6.85</v>
      </c>
      <c r="EU58">
        <v>1.28</v>
      </c>
      <c r="EV58">
        <v>289.99</v>
      </c>
      <c r="EW58">
        <v>32.729999999999997</v>
      </c>
      <c r="EX58">
        <v>0.11</v>
      </c>
      <c r="EY58">
        <v>0</v>
      </c>
      <c r="FQ58">
        <v>0</v>
      </c>
      <c r="FR58">
        <f t="shared" si="84"/>
        <v>0</v>
      </c>
      <c r="FS58">
        <v>0</v>
      </c>
      <c r="FT58" t="s">
        <v>52</v>
      </c>
      <c r="FU58" t="s">
        <v>53</v>
      </c>
      <c r="FX58">
        <v>94.5</v>
      </c>
      <c r="FY58">
        <v>46.75</v>
      </c>
      <c r="GA58" t="s">
        <v>3</v>
      </c>
      <c r="GD58">
        <v>1</v>
      </c>
      <c r="GF58">
        <v>782023760</v>
      </c>
      <c r="GG58">
        <v>2</v>
      </c>
      <c r="GH58">
        <v>1</v>
      </c>
      <c r="GI58">
        <v>2</v>
      </c>
      <c r="GJ58">
        <v>0</v>
      </c>
      <c r="GK58">
        <v>0</v>
      </c>
      <c r="GL58">
        <f t="shared" si="85"/>
        <v>0</v>
      </c>
      <c r="GM58">
        <f t="shared" si="86"/>
        <v>15711.86</v>
      </c>
      <c r="GN58">
        <f t="shared" si="87"/>
        <v>15711.86</v>
      </c>
      <c r="GO58">
        <f t="shared" si="88"/>
        <v>0</v>
      </c>
      <c r="GP58">
        <f t="shared" si="89"/>
        <v>0</v>
      </c>
      <c r="GR58">
        <v>0</v>
      </c>
      <c r="GS58">
        <v>3</v>
      </c>
      <c r="GT58">
        <v>0</v>
      </c>
      <c r="GU58" t="s">
        <v>3</v>
      </c>
      <c r="GV58">
        <f t="shared" si="90"/>
        <v>0</v>
      </c>
      <c r="GW58">
        <v>1</v>
      </c>
      <c r="GX58">
        <f t="shared" si="91"/>
        <v>0</v>
      </c>
      <c r="HA58">
        <v>0</v>
      </c>
      <c r="HB58">
        <v>0</v>
      </c>
      <c r="HC58">
        <f t="shared" si="92"/>
        <v>0</v>
      </c>
      <c r="HE58" t="s">
        <v>3</v>
      </c>
      <c r="HF58" t="s">
        <v>3</v>
      </c>
      <c r="IK58">
        <v>0</v>
      </c>
    </row>
    <row r="59" spans="1:245" x14ac:dyDescent="0.2">
      <c r="A59">
        <v>18</v>
      </c>
      <c r="B59">
        <v>1</v>
      </c>
      <c r="C59">
        <v>144</v>
      </c>
      <c r="E59" t="s">
        <v>180</v>
      </c>
      <c r="F59" t="s">
        <v>181</v>
      </c>
      <c r="G59" t="s">
        <v>1334</v>
      </c>
      <c r="H59" t="s">
        <v>174</v>
      </c>
      <c r="I59">
        <f>I58*J59</f>
        <v>12.6</v>
      </c>
      <c r="J59">
        <v>30</v>
      </c>
      <c r="O59">
        <f t="shared" si="58"/>
        <v>7716.21</v>
      </c>
      <c r="P59">
        <f t="shared" si="59"/>
        <v>7716.21</v>
      </c>
      <c r="Q59">
        <f t="shared" si="60"/>
        <v>0</v>
      </c>
      <c r="R59">
        <f t="shared" si="61"/>
        <v>0</v>
      </c>
      <c r="S59">
        <f t="shared" si="62"/>
        <v>0</v>
      </c>
      <c r="T59">
        <f t="shared" si="63"/>
        <v>0</v>
      </c>
      <c r="U59">
        <f t="shared" si="64"/>
        <v>0</v>
      </c>
      <c r="V59">
        <f t="shared" si="65"/>
        <v>0</v>
      </c>
      <c r="W59">
        <f t="shared" si="66"/>
        <v>0</v>
      </c>
      <c r="X59">
        <f t="shared" si="67"/>
        <v>0</v>
      </c>
      <c r="Y59">
        <f t="shared" si="68"/>
        <v>0</v>
      </c>
      <c r="AA59">
        <v>68990560</v>
      </c>
      <c r="AB59">
        <f t="shared" si="69"/>
        <v>85.77</v>
      </c>
      <c r="AC59">
        <f t="shared" si="70"/>
        <v>85.77</v>
      </c>
      <c r="AD59">
        <f>ROUND((((ET59)-(EU59))+AE59),2)</f>
        <v>0</v>
      </c>
      <c r="AE59">
        <f>ROUND((EU59),2)</f>
        <v>0</v>
      </c>
      <c r="AF59">
        <f>ROUND((EV59),2)</f>
        <v>0</v>
      </c>
      <c r="AG59">
        <f t="shared" si="71"/>
        <v>0</v>
      </c>
      <c r="AH59">
        <f>(EW59)</f>
        <v>0</v>
      </c>
      <c r="AI59">
        <f>(EX59)</f>
        <v>0</v>
      </c>
      <c r="AJ59">
        <f t="shared" si="72"/>
        <v>0</v>
      </c>
      <c r="AK59">
        <v>85.77</v>
      </c>
      <c r="AL59">
        <v>85.77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95</v>
      </c>
      <c r="AU59">
        <v>47</v>
      </c>
      <c r="AV59">
        <v>1</v>
      </c>
      <c r="AW59">
        <v>1</v>
      </c>
      <c r="AZ59">
        <v>1</v>
      </c>
      <c r="BA59">
        <v>1</v>
      </c>
      <c r="BB59">
        <v>1</v>
      </c>
      <c r="BC59">
        <v>7.14</v>
      </c>
      <c r="BD59" t="s">
        <v>3</v>
      </c>
      <c r="BE59" t="s">
        <v>3</v>
      </c>
      <c r="BF59" t="s">
        <v>3</v>
      </c>
      <c r="BG59" t="s">
        <v>3</v>
      </c>
      <c r="BH59">
        <v>3</v>
      </c>
      <c r="BI59">
        <v>1</v>
      </c>
      <c r="BJ59" t="s">
        <v>182</v>
      </c>
      <c r="BM59">
        <v>15001</v>
      </c>
      <c r="BN59">
        <v>0</v>
      </c>
      <c r="BO59" t="s">
        <v>181</v>
      </c>
      <c r="BP59">
        <v>1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3</v>
      </c>
      <c r="BZ59">
        <v>105</v>
      </c>
      <c r="CA59">
        <v>55</v>
      </c>
      <c r="CE59">
        <v>0</v>
      </c>
      <c r="CF59">
        <v>0</v>
      </c>
      <c r="CG59">
        <v>0</v>
      </c>
      <c r="CM59">
        <v>0</v>
      </c>
      <c r="CN59" t="s">
        <v>3</v>
      </c>
      <c r="CO59">
        <v>0</v>
      </c>
      <c r="CP59">
        <f t="shared" si="73"/>
        <v>7716.21</v>
      </c>
      <c r="CQ59">
        <f t="shared" si="74"/>
        <v>612.39779999999996</v>
      </c>
      <c r="CR59">
        <f t="shared" si="75"/>
        <v>0</v>
      </c>
      <c r="CS59">
        <f t="shared" si="76"/>
        <v>0</v>
      </c>
      <c r="CT59">
        <f t="shared" si="77"/>
        <v>0</v>
      </c>
      <c r="CU59">
        <f t="shared" si="78"/>
        <v>0</v>
      </c>
      <c r="CV59">
        <f t="shared" si="79"/>
        <v>0</v>
      </c>
      <c r="CW59">
        <f t="shared" si="80"/>
        <v>0</v>
      </c>
      <c r="CX59">
        <f t="shared" si="81"/>
        <v>0</v>
      </c>
      <c r="CY59">
        <f t="shared" si="82"/>
        <v>0</v>
      </c>
      <c r="CZ59">
        <f t="shared" si="83"/>
        <v>0</v>
      </c>
      <c r="DC59" t="s">
        <v>3</v>
      </c>
      <c r="DD59" t="s">
        <v>3</v>
      </c>
      <c r="DE59" t="s">
        <v>3</v>
      </c>
      <c r="DF59" t="s">
        <v>3</v>
      </c>
      <c r="DG59" t="s">
        <v>3</v>
      </c>
      <c r="DH59" t="s">
        <v>3</v>
      </c>
      <c r="DI59" t="s">
        <v>3</v>
      </c>
      <c r="DJ59" t="s">
        <v>3</v>
      </c>
      <c r="DK59" t="s">
        <v>3</v>
      </c>
      <c r="DL59" t="s">
        <v>3</v>
      </c>
      <c r="DM59" t="s">
        <v>3</v>
      </c>
      <c r="DN59">
        <v>0</v>
      </c>
      <c r="DO59">
        <v>0</v>
      </c>
      <c r="DP59">
        <v>1</v>
      </c>
      <c r="DQ59">
        <v>1</v>
      </c>
      <c r="DU59">
        <v>1002</v>
      </c>
      <c r="DV59" t="s">
        <v>174</v>
      </c>
      <c r="DW59" t="s">
        <v>174</v>
      </c>
      <c r="DX59">
        <v>1</v>
      </c>
      <c r="DZ59" t="s">
        <v>3</v>
      </c>
      <c r="EA59" t="s">
        <v>3</v>
      </c>
      <c r="EB59" t="s">
        <v>3</v>
      </c>
      <c r="EC59" t="s">
        <v>3</v>
      </c>
      <c r="EE59">
        <v>64095052</v>
      </c>
      <c r="EF59">
        <v>2</v>
      </c>
      <c r="EG59" t="s">
        <v>13</v>
      </c>
      <c r="EH59">
        <v>0</v>
      </c>
      <c r="EI59" t="s">
        <v>3</v>
      </c>
      <c r="EJ59">
        <v>1</v>
      </c>
      <c r="EK59">
        <v>15001</v>
      </c>
      <c r="EL59" t="s">
        <v>165</v>
      </c>
      <c r="EM59" t="s">
        <v>166</v>
      </c>
      <c r="EO59" t="s">
        <v>3</v>
      </c>
      <c r="EQ59">
        <v>0</v>
      </c>
      <c r="ER59">
        <v>85.77</v>
      </c>
      <c r="ES59">
        <v>85.77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84"/>
        <v>0</v>
      </c>
      <c r="FS59">
        <v>0</v>
      </c>
      <c r="FT59" t="s">
        <v>52</v>
      </c>
      <c r="FU59" t="s">
        <v>53</v>
      </c>
      <c r="FX59">
        <v>94.5</v>
      </c>
      <c r="FY59">
        <v>46.75</v>
      </c>
      <c r="GA59" t="s">
        <v>3</v>
      </c>
      <c r="GD59">
        <v>1</v>
      </c>
      <c r="GF59">
        <v>-49844416</v>
      </c>
      <c r="GG59">
        <v>2</v>
      </c>
      <c r="GH59">
        <v>1</v>
      </c>
      <c r="GI59">
        <v>2</v>
      </c>
      <c r="GJ59">
        <v>0</v>
      </c>
      <c r="GK59">
        <v>0</v>
      </c>
      <c r="GL59">
        <f t="shared" si="85"/>
        <v>0</v>
      </c>
      <c r="GM59">
        <f t="shared" si="86"/>
        <v>7716.21</v>
      </c>
      <c r="GN59">
        <f t="shared" si="87"/>
        <v>7716.21</v>
      </c>
      <c r="GO59">
        <f t="shared" si="88"/>
        <v>0</v>
      </c>
      <c r="GP59">
        <f t="shared" si="89"/>
        <v>0</v>
      </c>
      <c r="GR59">
        <v>0</v>
      </c>
      <c r="GS59">
        <v>3</v>
      </c>
      <c r="GT59">
        <v>0</v>
      </c>
      <c r="GU59" t="s">
        <v>3</v>
      </c>
      <c r="GV59">
        <f t="shared" si="90"/>
        <v>0</v>
      </c>
      <c r="GW59">
        <v>1</v>
      </c>
      <c r="GX59">
        <f t="shared" si="91"/>
        <v>0</v>
      </c>
      <c r="HA59">
        <v>0</v>
      </c>
      <c r="HB59">
        <v>0</v>
      </c>
      <c r="HC59">
        <f t="shared" si="92"/>
        <v>0</v>
      </c>
      <c r="HE59" t="s">
        <v>3</v>
      </c>
      <c r="HF59" t="s">
        <v>3</v>
      </c>
      <c r="IK59">
        <v>0</v>
      </c>
    </row>
    <row r="60" spans="1:245" x14ac:dyDescent="0.2">
      <c r="A60">
        <v>18</v>
      </c>
      <c r="B60">
        <v>1</v>
      </c>
      <c r="C60">
        <v>145</v>
      </c>
      <c r="E60" t="s">
        <v>183</v>
      </c>
      <c r="F60" t="s">
        <v>173</v>
      </c>
      <c r="G60" t="s">
        <v>1333</v>
      </c>
      <c r="H60" t="s">
        <v>174</v>
      </c>
      <c r="I60">
        <f>I58*J60</f>
        <v>8.4</v>
      </c>
      <c r="J60">
        <v>20</v>
      </c>
      <c r="O60">
        <f t="shared" si="58"/>
        <v>1369.11</v>
      </c>
      <c r="P60">
        <f t="shared" si="59"/>
        <v>1369.11</v>
      </c>
      <c r="Q60">
        <f t="shared" si="60"/>
        <v>0</v>
      </c>
      <c r="R60">
        <f t="shared" si="61"/>
        <v>0</v>
      </c>
      <c r="S60">
        <f t="shared" si="62"/>
        <v>0</v>
      </c>
      <c r="T60">
        <f t="shared" si="63"/>
        <v>0</v>
      </c>
      <c r="U60">
        <f t="shared" si="64"/>
        <v>0</v>
      </c>
      <c r="V60">
        <f t="shared" si="65"/>
        <v>0</v>
      </c>
      <c r="W60">
        <f t="shared" si="66"/>
        <v>0</v>
      </c>
      <c r="X60">
        <f t="shared" si="67"/>
        <v>0</v>
      </c>
      <c r="Y60">
        <f t="shared" si="68"/>
        <v>0</v>
      </c>
      <c r="AA60">
        <v>68990560</v>
      </c>
      <c r="AB60">
        <f t="shared" si="69"/>
        <v>43.58</v>
      </c>
      <c r="AC60">
        <f t="shared" si="70"/>
        <v>43.58</v>
      </c>
      <c r="AD60">
        <f>ROUND((((ET60)-(EU60))+AE60),2)</f>
        <v>0</v>
      </c>
      <c r="AE60">
        <f>ROUND((EU60),2)</f>
        <v>0</v>
      </c>
      <c r="AF60">
        <f>ROUND((EV60),2)</f>
        <v>0</v>
      </c>
      <c r="AG60">
        <f t="shared" si="71"/>
        <v>0</v>
      </c>
      <c r="AH60">
        <f>(EW60)</f>
        <v>0</v>
      </c>
      <c r="AI60">
        <f>(EX60)</f>
        <v>0</v>
      </c>
      <c r="AJ60">
        <f t="shared" si="72"/>
        <v>0</v>
      </c>
      <c r="AK60">
        <v>43.58</v>
      </c>
      <c r="AL60">
        <v>43.58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95</v>
      </c>
      <c r="AU60">
        <v>47</v>
      </c>
      <c r="AV60">
        <v>1</v>
      </c>
      <c r="AW60">
        <v>1</v>
      </c>
      <c r="AZ60">
        <v>1</v>
      </c>
      <c r="BA60">
        <v>1</v>
      </c>
      <c r="BB60">
        <v>1</v>
      </c>
      <c r="BC60">
        <v>3.74</v>
      </c>
      <c r="BD60" t="s">
        <v>3</v>
      </c>
      <c r="BE60" t="s">
        <v>3</v>
      </c>
      <c r="BF60" t="s">
        <v>3</v>
      </c>
      <c r="BG60" t="s">
        <v>3</v>
      </c>
      <c r="BH60">
        <v>3</v>
      </c>
      <c r="BI60">
        <v>1</v>
      </c>
      <c r="BJ60" t="s">
        <v>175</v>
      </c>
      <c r="BM60">
        <v>15001</v>
      </c>
      <c r="BN60">
        <v>0</v>
      </c>
      <c r="BO60" t="s">
        <v>173</v>
      </c>
      <c r="BP60">
        <v>1</v>
      </c>
      <c r="BQ60">
        <v>2</v>
      </c>
      <c r="BR60">
        <v>0</v>
      </c>
      <c r="BS60">
        <v>1</v>
      </c>
      <c r="BT60">
        <v>1</v>
      </c>
      <c r="BU60">
        <v>1</v>
      </c>
      <c r="BV60">
        <v>1</v>
      </c>
      <c r="BW60">
        <v>1</v>
      </c>
      <c r="BX60">
        <v>1</v>
      </c>
      <c r="BY60" t="s">
        <v>3</v>
      </c>
      <c r="BZ60">
        <v>105</v>
      </c>
      <c r="CA60">
        <v>55</v>
      </c>
      <c r="CE60">
        <v>0</v>
      </c>
      <c r="CF60">
        <v>0</v>
      </c>
      <c r="CG60">
        <v>0</v>
      </c>
      <c r="CM60">
        <v>0</v>
      </c>
      <c r="CN60" t="s">
        <v>3</v>
      </c>
      <c r="CO60">
        <v>0</v>
      </c>
      <c r="CP60">
        <f t="shared" si="73"/>
        <v>1369.11</v>
      </c>
      <c r="CQ60">
        <f t="shared" si="74"/>
        <v>162.98920000000001</v>
      </c>
      <c r="CR60">
        <f t="shared" si="75"/>
        <v>0</v>
      </c>
      <c r="CS60">
        <f t="shared" si="76"/>
        <v>0</v>
      </c>
      <c r="CT60">
        <f t="shared" si="77"/>
        <v>0</v>
      </c>
      <c r="CU60">
        <f t="shared" si="78"/>
        <v>0</v>
      </c>
      <c r="CV60">
        <f t="shared" si="79"/>
        <v>0</v>
      </c>
      <c r="CW60">
        <f t="shared" si="80"/>
        <v>0</v>
      </c>
      <c r="CX60">
        <f t="shared" si="81"/>
        <v>0</v>
      </c>
      <c r="CY60">
        <f t="shared" si="82"/>
        <v>0</v>
      </c>
      <c r="CZ60">
        <f t="shared" si="83"/>
        <v>0</v>
      </c>
      <c r="DC60" t="s">
        <v>3</v>
      </c>
      <c r="DD60" t="s">
        <v>3</v>
      </c>
      <c r="DE60" t="s">
        <v>3</v>
      </c>
      <c r="DF60" t="s">
        <v>3</v>
      </c>
      <c r="DG60" t="s">
        <v>3</v>
      </c>
      <c r="DH60" t="s">
        <v>3</v>
      </c>
      <c r="DI60" t="s">
        <v>3</v>
      </c>
      <c r="DJ60" t="s">
        <v>3</v>
      </c>
      <c r="DK60" t="s">
        <v>3</v>
      </c>
      <c r="DL60" t="s">
        <v>3</v>
      </c>
      <c r="DM60" t="s">
        <v>3</v>
      </c>
      <c r="DN60">
        <v>0</v>
      </c>
      <c r="DO60">
        <v>0</v>
      </c>
      <c r="DP60">
        <v>1</v>
      </c>
      <c r="DQ60">
        <v>1</v>
      </c>
      <c r="DU60">
        <v>1002</v>
      </c>
      <c r="DV60" t="s">
        <v>174</v>
      </c>
      <c r="DW60" t="s">
        <v>174</v>
      </c>
      <c r="DX60">
        <v>1</v>
      </c>
      <c r="DZ60" t="s">
        <v>3</v>
      </c>
      <c r="EA60" t="s">
        <v>3</v>
      </c>
      <c r="EB60" t="s">
        <v>3</v>
      </c>
      <c r="EC60" t="s">
        <v>3</v>
      </c>
      <c r="EE60">
        <v>64095052</v>
      </c>
      <c r="EF60">
        <v>2</v>
      </c>
      <c r="EG60" t="s">
        <v>13</v>
      </c>
      <c r="EH60">
        <v>0</v>
      </c>
      <c r="EI60" t="s">
        <v>3</v>
      </c>
      <c r="EJ60">
        <v>1</v>
      </c>
      <c r="EK60">
        <v>15001</v>
      </c>
      <c r="EL60" t="s">
        <v>165</v>
      </c>
      <c r="EM60" t="s">
        <v>166</v>
      </c>
      <c r="EO60" t="s">
        <v>3</v>
      </c>
      <c r="EQ60">
        <v>0</v>
      </c>
      <c r="ER60">
        <v>43.58</v>
      </c>
      <c r="ES60">
        <v>43.58</v>
      </c>
      <c r="ET60">
        <v>0</v>
      </c>
      <c r="EU60">
        <v>0</v>
      </c>
      <c r="EV60">
        <v>0</v>
      </c>
      <c r="EW60">
        <v>0</v>
      </c>
      <c r="EX60">
        <v>0</v>
      </c>
      <c r="FQ60">
        <v>0</v>
      </c>
      <c r="FR60">
        <f t="shared" si="84"/>
        <v>0</v>
      </c>
      <c r="FS60">
        <v>0</v>
      </c>
      <c r="FT60" t="s">
        <v>52</v>
      </c>
      <c r="FU60" t="s">
        <v>53</v>
      </c>
      <c r="FX60">
        <v>94.5</v>
      </c>
      <c r="FY60">
        <v>46.75</v>
      </c>
      <c r="GA60" t="s">
        <v>3</v>
      </c>
      <c r="GD60">
        <v>1</v>
      </c>
      <c r="GF60">
        <v>1151322612</v>
      </c>
      <c r="GG60">
        <v>2</v>
      </c>
      <c r="GH60">
        <v>1</v>
      </c>
      <c r="GI60">
        <v>2</v>
      </c>
      <c r="GJ60">
        <v>0</v>
      </c>
      <c r="GK60">
        <v>0</v>
      </c>
      <c r="GL60">
        <f t="shared" si="85"/>
        <v>0</v>
      </c>
      <c r="GM60">
        <f t="shared" si="86"/>
        <v>1369.11</v>
      </c>
      <c r="GN60">
        <f t="shared" si="87"/>
        <v>1369.11</v>
      </c>
      <c r="GO60">
        <f t="shared" si="88"/>
        <v>0</v>
      </c>
      <c r="GP60">
        <f t="shared" si="89"/>
        <v>0</v>
      </c>
      <c r="GR60">
        <v>0</v>
      </c>
      <c r="GS60">
        <v>0</v>
      </c>
      <c r="GT60">
        <v>0</v>
      </c>
      <c r="GU60" t="s">
        <v>3</v>
      </c>
      <c r="GV60">
        <f t="shared" si="90"/>
        <v>0</v>
      </c>
      <c r="GW60">
        <v>1</v>
      </c>
      <c r="GX60">
        <f t="shared" si="91"/>
        <v>0</v>
      </c>
      <c r="HA60">
        <v>0</v>
      </c>
      <c r="HB60">
        <v>0</v>
      </c>
      <c r="HC60">
        <f t="shared" si="92"/>
        <v>0</v>
      </c>
      <c r="HE60" t="s">
        <v>3</v>
      </c>
      <c r="HF60" t="s">
        <v>3</v>
      </c>
      <c r="IK60">
        <v>0</v>
      </c>
    </row>
    <row r="61" spans="1:245" x14ac:dyDescent="0.2">
      <c r="A61">
        <v>17</v>
      </c>
      <c r="B61">
        <v>1</v>
      </c>
      <c r="C61">
        <f>ROW(SmtRes!A152)</f>
        <v>152</v>
      </c>
      <c r="D61">
        <f>ROW(EtalonRes!A162)</f>
        <v>162</v>
      </c>
      <c r="E61" t="s">
        <v>184</v>
      </c>
      <c r="F61" t="s">
        <v>185</v>
      </c>
      <c r="G61" t="s">
        <v>186</v>
      </c>
      <c r="H61" t="s">
        <v>36</v>
      </c>
      <c r="I61">
        <f>ROUND(4.5/100,5)</f>
        <v>4.4999999999999998E-2</v>
      </c>
      <c r="J61">
        <v>0</v>
      </c>
      <c r="O61">
        <f t="shared" si="58"/>
        <v>5010</v>
      </c>
      <c r="P61">
        <f t="shared" si="59"/>
        <v>2448.9499999999998</v>
      </c>
      <c r="Q61">
        <f t="shared" si="60"/>
        <v>296.88</v>
      </c>
      <c r="R61">
        <f t="shared" si="61"/>
        <v>161.97999999999999</v>
      </c>
      <c r="S61">
        <f t="shared" si="62"/>
        <v>2264.17</v>
      </c>
      <c r="T61">
        <f t="shared" si="63"/>
        <v>0</v>
      </c>
      <c r="U61">
        <f t="shared" si="64"/>
        <v>7.1581117499999989</v>
      </c>
      <c r="V61">
        <f t="shared" si="65"/>
        <v>0.40550625000000001</v>
      </c>
      <c r="W61">
        <f t="shared" si="66"/>
        <v>0</v>
      </c>
      <c r="X61">
        <f t="shared" si="67"/>
        <v>2304.84</v>
      </c>
      <c r="Y61">
        <f t="shared" si="68"/>
        <v>1140.29</v>
      </c>
      <c r="AA61">
        <v>68990560</v>
      </c>
      <c r="AB61">
        <f t="shared" si="69"/>
        <v>7378.59</v>
      </c>
      <c r="AC61">
        <f t="shared" si="70"/>
        <v>5335.4</v>
      </c>
      <c r="AD61">
        <f>ROUND((((((ET61*1.25)*1.35))-(((EU61*1.25)*1.35)))+AE61),2)</f>
        <v>547.95000000000005</v>
      </c>
      <c r="AE61">
        <f>ROUND((((EU61*1.25)*1.35)),2)</f>
        <v>106.97</v>
      </c>
      <c r="AF61">
        <f>ROUND((((EV61*1.15)*1.35)),2)</f>
        <v>1495.24</v>
      </c>
      <c r="AG61">
        <f t="shared" si="71"/>
        <v>0</v>
      </c>
      <c r="AH61">
        <f>(((EW61*1.15)*1.35))</f>
        <v>159.06914999999998</v>
      </c>
      <c r="AI61">
        <f>(((EX61*1.25)*1.35))</f>
        <v>9.0112500000000004</v>
      </c>
      <c r="AJ61">
        <f t="shared" si="72"/>
        <v>0</v>
      </c>
      <c r="AK61">
        <v>6623.23</v>
      </c>
      <c r="AL61">
        <v>5335.4</v>
      </c>
      <c r="AM61">
        <v>324.70999999999998</v>
      </c>
      <c r="AN61">
        <v>63.39</v>
      </c>
      <c r="AO61">
        <v>963.12</v>
      </c>
      <c r="AP61">
        <v>0</v>
      </c>
      <c r="AQ61">
        <v>102.46</v>
      </c>
      <c r="AR61">
        <v>5.34</v>
      </c>
      <c r="AS61">
        <v>0</v>
      </c>
      <c r="AT61">
        <v>95</v>
      </c>
      <c r="AU61">
        <v>47</v>
      </c>
      <c r="AV61">
        <v>1</v>
      </c>
      <c r="AW61">
        <v>1</v>
      </c>
      <c r="AZ61">
        <v>1</v>
      </c>
      <c r="BA61">
        <v>33.65</v>
      </c>
      <c r="BB61">
        <v>12.04</v>
      </c>
      <c r="BC61">
        <v>10.199999999999999</v>
      </c>
      <c r="BD61" t="s">
        <v>3</v>
      </c>
      <c r="BE61" t="s">
        <v>3</v>
      </c>
      <c r="BF61" t="s">
        <v>3</v>
      </c>
      <c r="BG61" t="s">
        <v>3</v>
      </c>
      <c r="BH61">
        <v>0</v>
      </c>
      <c r="BI61">
        <v>1</v>
      </c>
      <c r="BJ61" t="s">
        <v>187</v>
      </c>
      <c r="BM61">
        <v>15001</v>
      </c>
      <c r="BN61">
        <v>0</v>
      </c>
      <c r="BO61" t="s">
        <v>185</v>
      </c>
      <c r="BP61">
        <v>1</v>
      </c>
      <c r="BQ61">
        <v>2</v>
      </c>
      <c r="BR61">
        <v>0</v>
      </c>
      <c r="BS61">
        <v>33.65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3</v>
      </c>
      <c r="BZ61">
        <v>105</v>
      </c>
      <c r="CA61">
        <v>55</v>
      </c>
      <c r="CE61">
        <v>0</v>
      </c>
      <c r="CF61">
        <v>0</v>
      </c>
      <c r="CG61">
        <v>0</v>
      </c>
      <c r="CM61">
        <v>0</v>
      </c>
      <c r="CN61" t="s">
        <v>1332</v>
      </c>
      <c r="CO61">
        <v>0</v>
      </c>
      <c r="CP61">
        <f t="shared" si="73"/>
        <v>5010</v>
      </c>
      <c r="CQ61">
        <f t="shared" si="74"/>
        <v>54421.079999999994</v>
      </c>
      <c r="CR61">
        <f t="shared" si="75"/>
        <v>6597.3180000000002</v>
      </c>
      <c r="CS61">
        <f t="shared" si="76"/>
        <v>3599.5404999999996</v>
      </c>
      <c r="CT61">
        <f t="shared" si="77"/>
        <v>50314.826000000001</v>
      </c>
      <c r="CU61">
        <f t="shared" si="78"/>
        <v>0</v>
      </c>
      <c r="CV61">
        <f t="shared" si="79"/>
        <v>159.06914999999998</v>
      </c>
      <c r="CW61">
        <f t="shared" si="80"/>
        <v>9.0112500000000004</v>
      </c>
      <c r="CX61">
        <f t="shared" si="81"/>
        <v>0</v>
      </c>
      <c r="CY61">
        <f t="shared" si="82"/>
        <v>2304.8425000000002</v>
      </c>
      <c r="CZ61">
        <f t="shared" si="83"/>
        <v>1140.2905000000001</v>
      </c>
      <c r="DC61" t="s">
        <v>3</v>
      </c>
      <c r="DD61" t="s">
        <v>3</v>
      </c>
      <c r="DE61" t="s">
        <v>146</v>
      </c>
      <c r="DF61" t="s">
        <v>146</v>
      </c>
      <c r="DG61" t="s">
        <v>147</v>
      </c>
      <c r="DH61" t="s">
        <v>3</v>
      </c>
      <c r="DI61" t="s">
        <v>147</v>
      </c>
      <c r="DJ61" t="s">
        <v>146</v>
      </c>
      <c r="DK61" t="s">
        <v>3</v>
      </c>
      <c r="DL61" t="s">
        <v>3</v>
      </c>
      <c r="DM61" t="s">
        <v>3</v>
      </c>
      <c r="DN61">
        <v>0</v>
      </c>
      <c r="DO61">
        <v>0</v>
      </c>
      <c r="DP61">
        <v>1</v>
      </c>
      <c r="DQ61">
        <v>1</v>
      </c>
      <c r="DU61">
        <v>1005</v>
      </c>
      <c r="DV61" t="s">
        <v>36</v>
      </c>
      <c r="DW61" t="s">
        <v>36</v>
      </c>
      <c r="DX61">
        <v>100</v>
      </c>
      <c r="DZ61" t="s">
        <v>3</v>
      </c>
      <c r="EA61" t="s">
        <v>3</v>
      </c>
      <c r="EB61" t="s">
        <v>3</v>
      </c>
      <c r="EC61" t="s">
        <v>3</v>
      </c>
      <c r="EE61">
        <v>64095052</v>
      </c>
      <c r="EF61">
        <v>2</v>
      </c>
      <c r="EG61" t="s">
        <v>13</v>
      </c>
      <c r="EH61">
        <v>0</v>
      </c>
      <c r="EI61" t="s">
        <v>3</v>
      </c>
      <c r="EJ61">
        <v>1</v>
      </c>
      <c r="EK61">
        <v>15001</v>
      </c>
      <c r="EL61" t="s">
        <v>165</v>
      </c>
      <c r="EM61" t="s">
        <v>166</v>
      </c>
      <c r="EO61" t="s">
        <v>150</v>
      </c>
      <c r="EQ61">
        <v>0</v>
      </c>
      <c r="ER61">
        <v>6623.23</v>
      </c>
      <c r="ES61">
        <v>5335.4</v>
      </c>
      <c r="ET61">
        <v>324.70999999999998</v>
      </c>
      <c r="EU61">
        <v>63.39</v>
      </c>
      <c r="EV61">
        <v>963.12</v>
      </c>
      <c r="EW61">
        <v>102.46</v>
      </c>
      <c r="EX61">
        <v>5.34</v>
      </c>
      <c r="EY61">
        <v>0</v>
      </c>
      <c r="FQ61">
        <v>0</v>
      </c>
      <c r="FR61">
        <f t="shared" si="84"/>
        <v>0</v>
      </c>
      <c r="FS61">
        <v>0</v>
      </c>
      <c r="FT61" t="s">
        <v>52</v>
      </c>
      <c r="FU61" t="s">
        <v>53</v>
      </c>
      <c r="FX61">
        <v>94.5</v>
      </c>
      <c r="FY61">
        <v>46.75</v>
      </c>
      <c r="GA61" t="s">
        <v>3</v>
      </c>
      <c r="GD61">
        <v>1</v>
      </c>
      <c r="GF61">
        <v>103452061</v>
      </c>
      <c r="GG61">
        <v>2</v>
      </c>
      <c r="GH61">
        <v>1</v>
      </c>
      <c r="GI61">
        <v>2</v>
      </c>
      <c r="GJ61">
        <v>0</v>
      </c>
      <c r="GK61">
        <v>0</v>
      </c>
      <c r="GL61">
        <f t="shared" si="85"/>
        <v>0</v>
      </c>
      <c r="GM61">
        <f t="shared" si="86"/>
        <v>8455.1299999999992</v>
      </c>
      <c r="GN61">
        <f t="shared" si="87"/>
        <v>8455.1299999999992</v>
      </c>
      <c r="GO61">
        <f t="shared" si="88"/>
        <v>0</v>
      </c>
      <c r="GP61">
        <f t="shared" si="89"/>
        <v>0</v>
      </c>
      <c r="GR61">
        <v>0</v>
      </c>
      <c r="GS61">
        <v>3</v>
      </c>
      <c r="GT61">
        <v>0</v>
      </c>
      <c r="GU61" t="s">
        <v>3</v>
      </c>
      <c r="GV61">
        <f t="shared" si="90"/>
        <v>0</v>
      </c>
      <c r="GW61">
        <v>1</v>
      </c>
      <c r="GX61">
        <f t="shared" si="91"/>
        <v>0</v>
      </c>
      <c r="HA61">
        <v>0</v>
      </c>
      <c r="HB61">
        <v>0</v>
      </c>
      <c r="HC61">
        <f t="shared" si="92"/>
        <v>0</v>
      </c>
      <c r="HE61" t="s">
        <v>3</v>
      </c>
      <c r="HF61" t="s">
        <v>3</v>
      </c>
      <c r="IK61">
        <v>0</v>
      </c>
    </row>
    <row r="62" spans="1:245" x14ac:dyDescent="0.2">
      <c r="A62">
        <v>18</v>
      </c>
      <c r="B62">
        <v>1</v>
      </c>
      <c r="C62">
        <v>152</v>
      </c>
      <c r="E62" t="s">
        <v>188</v>
      </c>
      <c r="F62" t="s">
        <v>189</v>
      </c>
      <c r="G62" t="s">
        <v>190</v>
      </c>
      <c r="H62" t="s">
        <v>46</v>
      </c>
      <c r="I62">
        <f>I61*J62</f>
        <v>4.6349999999999998</v>
      </c>
      <c r="J62">
        <v>103</v>
      </c>
      <c r="O62">
        <f t="shared" si="58"/>
        <v>3093.79</v>
      </c>
      <c r="P62">
        <f t="shared" si="59"/>
        <v>3093.79</v>
      </c>
      <c r="Q62">
        <f t="shared" si="60"/>
        <v>0</v>
      </c>
      <c r="R62">
        <f t="shared" si="61"/>
        <v>0</v>
      </c>
      <c r="S62">
        <f t="shared" si="62"/>
        <v>0</v>
      </c>
      <c r="T62">
        <f t="shared" si="63"/>
        <v>0</v>
      </c>
      <c r="U62">
        <f t="shared" si="64"/>
        <v>0</v>
      </c>
      <c r="V62">
        <f t="shared" si="65"/>
        <v>0</v>
      </c>
      <c r="W62">
        <f t="shared" si="66"/>
        <v>0</v>
      </c>
      <c r="X62">
        <f t="shared" si="67"/>
        <v>0</v>
      </c>
      <c r="Y62">
        <f t="shared" si="68"/>
        <v>0</v>
      </c>
      <c r="AA62">
        <v>68990560</v>
      </c>
      <c r="AB62">
        <f t="shared" si="69"/>
        <v>146.69999999999999</v>
      </c>
      <c r="AC62">
        <f t="shared" si="70"/>
        <v>146.69999999999999</v>
      </c>
      <c r="AD62">
        <f>ROUND((((ET62)-(EU62))+AE62),2)</f>
        <v>0</v>
      </c>
      <c r="AE62">
        <f>ROUND((EU62),2)</f>
        <v>0</v>
      </c>
      <c r="AF62">
        <f>ROUND((EV62),2)</f>
        <v>0</v>
      </c>
      <c r="AG62">
        <f t="shared" si="71"/>
        <v>0</v>
      </c>
      <c r="AH62">
        <f>(EW62)</f>
        <v>0</v>
      </c>
      <c r="AI62">
        <f>(EX62)</f>
        <v>0</v>
      </c>
      <c r="AJ62">
        <f t="shared" si="72"/>
        <v>0</v>
      </c>
      <c r="AK62">
        <v>146.69999999999999</v>
      </c>
      <c r="AL62">
        <v>146.69999999999999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95</v>
      </c>
      <c r="AU62">
        <v>47</v>
      </c>
      <c r="AV62">
        <v>1</v>
      </c>
      <c r="AW62">
        <v>1</v>
      </c>
      <c r="AZ62">
        <v>1</v>
      </c>
      <c r="BA62">
        <v>1</v>
      </c>
      <c r="BB62">
        <v>1</v>
      </c>
      <c r="BC62">
        <v>4.55</v>
      </c>
      <c r="BD62" t="s">
        <v>3</v>
      </c>
      <c r="BE62" t="s">
        <v>3</v>
      </c>
      <c r="BF62" t="s">
        <v>3</v>
      </c>
      <c r="BG62" t="s">
        <v>3</v>
      </c>
      <c r="BH62">
        <v>3</v>
      </c>
      <c r="BI62">
        <v>1</v>
      </c>
      <c r="BJ62" t="s">
        <v>191</v>
      </c>
      <c r="BM62">
        <v>15001</v>
      </c>
      <c r="BN62">
        <v>0</v>
      </c>
      <c r="BO62" t="s">
        <v>189</v>
      </c>
      <c r="BP62">
        <v>1</v>
      </c>
      <c r="BQ62">
        <v>2</v>
      </c>
      <c r="BR62">
        <v>0</v>
      </c>
      <c r="BS62">
        <v>1</v>
      </c>
      <c r="BT62">
        <v>1</v>
      </c>
      <c r="BU62">
        <v>1</v>
      </c>
      <c r="BV62">
        <v>1</v>
      </c>
      <c r="BW62">
        <v>1</v>
      </c>
      <c r="BX62">
        <v>1</v>
      </c>
      <c r="BY62" t="s">
        <v>3</v>
      </c>
      <c r="BZ62">
        <v>105</v>
      </c>
      <c r="CA62">
        <v>55</v>
      </c>
      <c r="CE62">
        <v>0</v>
      </c>
      <c r="CF62">
        <v>0</v>
      </c>
      <c r="CG62">
        <v>0</v>
      </c>
      <c r="CM62">
        <v>0</v>
      </c>
      <c r="CN62" t="s">
        <v>3</v>
      </c>
      <c r="CO62">
        <v>0</v>
      </c>
      <c r="CP62">
        <f t="shared" si="73"/>
        <v>3093.79</v>
      </c>
      <c r="CQ62">
        <f t="shared" si="74"/>
        <v>667.4849999999999</v>
      </c>
      <c r="CR62">
        <f t="shared" si="75"/>
        <v>0</v>
      </c>
      <c r="CS62">
        <f t="shared" si="76"/>
        <v>0</v>
      </c>
      <c r="CT62">
        <f t="shared" si="77"/>
        <v>0</v>
      </c>
      <c r="CU62">
        <f t="shared" si="78"/>
        <v>0</v>
      </c>
      <c r="CV62">
        <f t="shared" si="79"/>
        <v>0</v>
      </c>
      <c r="CW62">
        <f t="shared" si="80"/>
        <v>0</v>
      </c>
      <c r="CX62">
        <f t="shared" si="81"/>
        <v>0</v>
      </c>
      <c r="CY62">
        <f t="shared" si="82"/>
        <v>0</v>
      </c>
      <c r="CZ62">
        <f t="shared" si="83"/>
        <v>0</v>
      </c>
      <c r="DC62" t="s">
        <v>3</v>
      </c>
      <c r="DD62" t="s">
        <v>3</v>
      </c>
      <c r="DE62" t="s">
        <v>3</v>
      </c>
      <c r="DF62" t="s">
        <v>3</v>
      </c>
      <c r="DG62" t="s">
        <v>3</v>
      </c>
      <c r="DH62" t="s">
        <v>3</v>
      </c>
      <c r="DI62" t="s">
        <v>3</v>
      </c>
      <c r="DJ62" t="s">
        <v>3</v>
      </c>
      <c r="DK62" t="s">
        <v>3</v>
      </c>
      <c r="DL62" t="s">
        <v>3</v>
      </c>
      <c r="DM62" t="s">
        <v>3</v>
      </c>
      <c r="DN62">
        <v>0</v>
      </c>
      <c r="DO62">
        <v>0</v>
      </c>
      <c r="DP62">
        <v>1</v>
      </c>
      <c r="DQ62">
        <v>1</v>
      </c>
      <c r="DU62">
        <v>1005</v>
      </c>
      <c r="DV62" t="s">
        <v>46</v>
      </c>
      <c r="DW62" t="s">
        <v>46</v>
      </c>
      <c r="DX62">
        <v>1</v>
      </c>
      <c r="DZ62" t="s">
        <v>3</v>
      </c>
      <c r="EA62" t="s">
        <v>3</v>
      </c>
      <c r="EB62" t="s">
        <v>3</v>
      </c>
      <c r="EC62" t="s">
        <v>3</v>
      </c>
      <c r="EE62">
        <v>64095052</v>
      </c>
      <c r="EF62">
        <v>2</v>
      </c>
      <c r="EG62" t="s">
        <v>13</v>
      </c>
      <c r="EH62">
        <v>0</v>
      </c>
      <c r="EI62" t="s">
        <v>3</v>
      </c>
      <c r="EJ62">
        <v>1</v>
      </c>
      <c r="EK62">
        <v>15001</v>
      </c>
      <c r="EL62" t="s">
        <v>165</v>
      </c>
      <c r="EM62" t="s">
        <v>166</v>
      </c>
      <c r="EO62" t="s">
        <v>3</v>
      </c>
      <c r="EQ62">
        <v>0</v>
      </c>
      <c r="ER62">
        <v>146.69999999999999</v>
      </c>
      <c r="ES62">
        <v>146.69999999999999</v>
      </c>
      <c r="ET62">
        <v>0</v>
      </c>
      <c r="EU62">
        <v>0</v>
      </c>
      <c r="EV62">
        <v>0</v>
      </c>
      <c r="EW62">
        <v>0</v>
      </c>
      <c r="EX62">
        <v>0</v>
      </c>
      <c r="FQ62">
        <v>0</v>
      </c>
      <c r="FR62">
        <f t="shared" si="84"/>
        <v>0</v>
      </c>
      <c r="FS62">
        <v>0</v>
      </c>
      <c r="FT62" t="s">
        <v>52</v>
      </c>
      <c r="FU62" t="s">
        <v>53</v>
      </c>
      <c r="FX62">
        <v>94.5</v>
      </c>
      <c r="FY62">
        <v>46.75</v>
      </c>
      <c r="GA62" t="s">
        <v>3</v>
      </c>
      <c r="GD62">
        <v>1</v>
      </c>
      <c r="GF62">
        <v>-322748241</v>
      </c>
      <c r="GG62">
        <v>2</v>
      </c>
      <c r="GH62">
        <v>1</v>
      </c>
      <c r="GI62">
        <v>2</v>
      </c>
      <c r="GJ62">
        <v>0</v>
      </c>
      <c r="GK62">
        <v>0</v>
      </c>
      <c r="GL62">
        <f t="shared" si="85"/>
        <v>0</v>
      </c>
      <c r="GM62">
        <f t="shared" si="86"/>
        <v>3093.79</v>
      </c>
      <c r="GN62">
        <f t="shared" si="87"/>
        <v>3093.79</v>
      </c>
      <c r="GO62">
        <f t="shared" si="88"/>
        <v>0</v>
      </c>
      <c r="GP62">
        <f t="shared" si="89"/>
        <v>0</v>
      </c>
      <c r="GR62">
        <v>0</v>
      </c>
      <c r="GS62">
        <v>3</v>
      </c>
      <c r="GT62">
        <v>0</v>
      </c>
      <c r="GU62" t="s">
        <v>3</v>
      </c>
      <c r="GV62">
        <f t="shared" si="90"/>
        <v>0</v>
      </c>
      <c r="GW62">
        <v>1</v>
      </c>
      <c r="GX62">
        <f t="shared" si="91"/>
        <v>0</v>
      </c>
      <c r="HA62">
        <v>0</v>
      </c>
      <c r="HB62">
        <v>0</v>
      </c>
      <c r="HC62">
        <f t="shared" si="92"/>
        <v>0</v>
      </c>
      <c r="HE62" t="s">
        <v>3</v>
      </c>
      <c r="HF62" t="s">
        <v>3</v>
      </c>
      <c r="IK62">
        <v>0</v>
      </c>
    </row>
    <row r="63" spans="1:245" x14ac:dyDescent="0.2">
      <c r="A63">
        <v>18</v>
      </c>
      <c r="B63">
        <v>1</v>
      </c>
      <c r="C63">
        <v>151</v>
      </c>
      <c r="E63" t="s">
        <v>192</v>
      </c>
      <c r="F63" t="s">
        <v>193</v>
      </c>
      <c r="G63" t="s">
        <v>194</v>
      </c>
      <c r="H63" t="s">
        <v>46</v>
      </c>
      <c r="I63">
        <f>I61*J63</f>
        <v>-4.6349999999999998</v>
      </c>
      <c r="J63">
        <v>-103</v>
      </c>
      <c r="O63">
        <f t="shared" si="58"/>
        <v>-2448.9499999999998</v>
      </c>
      <c r="P63">
        <f t="shared" si="59"/>
        <v>-2448.9499999999998</v>
      </c>
      <c r="Q63">
        <f t="shared" si="60"/>
        <v>0</v>
      </c>
      <c r="R63">
        <f t="shared" si="61"/>
        <v>0</v>
      </c>
      <c r="S63">
        <f t="shared" si="62"/>
        <v>0</v>
      </c>
      <c r="T63">
        <f t="shared" si="63"/>
        <v>0</v>
      </c>
      <c r="U63">
        <f t="shared" si="64"/>
        <v>0</v>
      </c>
      <c r="V63">
        <f t="shared" si="65"/>
        <v>0</v>
      </c>
      <c r="W63">
        <f t="shared" si="66"/>
        <v>0</v>
      </c>
      <c r="X63">
        <f t="shared" si="67"/>
        <v>0</v>
      </c>
      <c r="Y63">
        <f t="shared" si="68"/>
        <v>0</v>
      </c>
      <c r="AA63">
        <v>68990560</v>
      </c>
      <c r="AB63">
        <f t="shared" si="69"/>
        <v>51.8</v>
      </c>
      <c r="AC63">
        <f t="shared" si="70"/>
        <v>51.8</v>
      </c>
      <c r="AD63">
        <f>ROUND((((ET63)-(EU63))+AE63),2)</f>
        <v>0</v>
      </c>
      <c r="AE63">
        <f>ROUND((EU63),2)</f>
        <v>0</v>
      </c>
      <c r="AF63">
        <f>ROUND((EV63),2)</f>
        <v>0</v>
      </c>
      <c r="AG63">
        <f t="shared" si="71"/>
        <v>0</v>
      </c>
      <c r="AH63">
        <f>(EW63)</f>
        <v>0</v>
      </c>
      <c r="AI63">
        <f>(EX63)</f>
        <v>0</v>
      </c>
      <c r="AJ63">
        <f t="shared" si="72"/>
        <v>0</v>
      </c>
      <c r="AK63">
        <v>51.8</v>
      </c>
      <c r="AL63">
        <v>51.8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95</v>
      </c>
      <c r="AU63">
        <v>47</v>
      </c>
      <c r="AV63">
        <v>1</v>
      </c>
      <c r="AW63">
        <v>1</v>
      </c>
      <c r="AZ63">
        <v>1</v>
      </c>
      <c r="BA63">
        <v>1</v>
      </c>
      <c r="BB63">
        <v>1</v>
      </c>
      <c r="BC63">
        <v>10.199999999999999</v>
      </c>
      <c r="BD63" t="s">
        <v>3</v>
      </c>
      <c r="BE63" t="s">
        <v>3</v>
      </c>
      <c r="BF63" t="s">
        <v>3</v>
      </c>
      <c r="BG63" t="s">
        <v>3</v>
      </c>
      <c r="BH63">
        <v>3</v>
      </c>
      <c r="BI63">
        <v>1</v>
      </c>
      <c r="BJ63" t="s">
        <v>195</v>
      </c>
      <c r="BM63">
        <v>15001</v>
      </c>
      <c r="BN63">
        <v>0</v>
      </c>
      <c r="BO63" t="s">
        <v>193</v>
      </c>
      <c r="BP63">
        <v>1</v>
      </c>
      <c r="BQ63">
        <v>2</v>
      </c>
      <c r="BR63">
        <v>1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3</v>
      </c>
      <c r="BZ63">
        <v>105</v>
      </c>
      <c r="CA63">
        <v>55</v>
      </c>
      <c r="CE63">
        <v>0</v>
      </c>
      <c r="CF63">
        <v>0</v>
      </c>
      <c r="CG63">
        <v>0</v>
      </c>
      <c r="CM63">
        <v>0</v>
      </c>
      <c r="CN63" t="s">
        <v>3</v>
      </c>
      <c r="CO63">
        <v>0</v>
      </c>
      <c r="CP63">
        <f t="shared" si="73"/>
        <v>-2448.9499999999998</v>
      </c>
      <c r="CQ63">
        <f t="shared" si="74"/>
        <v>528.3599999999999</v>
      </c>
      <c r="CR63">
        <f t="shared" si="75"/>
        <v>0</v>
      </c>
      <c r="CS63">
        <f t="shared" si="76"/>
        <v>0</v>
      </c>
      <c r="CT63">
        <f t="shared" si="77"/>
        <v>0</v>
      </c>
      <c r="CU63">
        <f t="shared" si="78"/>
        <v>0</v>
      </c>
      <c r="CV63">
        <f t="shared" si="79"/>
        <v>0</v>
      </c>
      <c r="CW63">
        <f t="shared" si="80"/>
        <v>0</v>
      </c>
      <c r="CX63">
        <f t="shared" si="81"/>
        <v>0</v>
      </c>
      <c r="CY63">
        <f t="shared" si="82"/>
        <v>0</v>
      </c>
      <c r="CZ63">
        <f t="shared" si="83"/>
        <v>0</v>
      </c>
      <c r="DC63" t="s">
        <v>3</v>
      </c>
      <c r="DD63" t="s">
        <v>3</v>
      </c>
      <c r="DE63" t="s">
        <v>3</v>
      </c>
      <c r="DF63" t="s">
        <v>3</v>
      </c>
      <c r="DG63" t="s">
        <v>3</v>
      </c>
      <c r="DH63" t="s">
        <v>3</v>
      </c>
      <c r="DI63" t="s">
        <v>3</v>
      </c>
      <c r="DJ63" t="s">
        <v>3</v>
      </c>
      <c r="DK63" t="s">
        <v>3</v>
      </c>
      <c r="DL63" t="s">
        <v>3</v>
      </c>
      <c r="DM63" t="s">
        <v>3</v>
      </c>
      <c r="DN63">
        <v>0</v>
      </c>
      <c r="DO63">
        <v>0</v>
      </c>
      <c r="DP63">
        <v>1</v>
      </c>
      <c r="DQ63">
        <v>1</v>
      </c>
      <c r="DU63">
        <v>1005</v>
      </c>
      <c r="DV63" t="s">
        <v>46</v>
      </c>
      <c r="DW63" t="s">
        <v>46</v>
      </c>
      <c r="DX63">
        <v>1</v>
      </c>
      <c r="DZ63" t="s">
        <v>3</v>
      </c>
      <c r="EA63" t="s">
        <v>3</v>
      </c>
      <c r="EB63" t="s">
        <v>3</v>
      </c>
      <c r="EC63" t="s">
        <v>3</v>
      </c>
      <c r="EE63">
        <v>64095052</v>
      </c>
      <c r="EF63">
        <v>2</v>
      </c>
      <c r="EG63" t="s">
        <v>13</v>
      </c>
      <c r="EH63">
        <v>0</v>
      </c>
      <c r="EI63" t="s">
        <v>3</v>
      </c>
      <c r="EJ63">
        <v>1</v>
      </c>
      <c r="EK63">
        <v>15001</v>
      </c>
      <c r="EL63" t="s">
        <v>165</v>
      </c>
      <c r="EM63" t="s">
        <v>166</v>
      </c>
      <c r="EO63" t="s">
        <v>3</v>
      </c>
      <c r="EQ63">
        <v>32768</v>
      </c>
      <c r="ER63">
        <v>51.8</v>
      </c>
      <c r="ES63">
        <v>51.8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84"/>
        <v>0</v>
      </c>
      <c r="FS63">
        <v>0</v>
      </c>
      <c r="FT63" t="s">
        <v>52</v>
      </c>
      <c r="FU63" t="s">
        <v>53</v>
      </c>
      <c r="FX63">
        <v>94.5</v>
      </c>
      <c r="FY63">
        <v>46.75</v>
      </c>
      <c r="GA63" t="s">
        <v>3</v>
      </c>
      <c r="GD63">
        <v>1</v>
      </c>
      <c r="GF63">
        <v>-719568414</v>
      </c>
      <c r="GG63">
        <v>2</v>
      </c>
      <c r="GH63">
        <v>1</v>
      </c>
      <c r="GI63">
        <v>2</v>
      </c>
      <c r="GJ63">
        <v>0</v>
      </c>
      <c r="GK63">
        <v>0</v>
      </c>
      <c r="GL63">
        <f t="shared" si="85"/>
        <v>0</v>
      </c>
      <c r="GM63">
        <f t="shared" si="86"/>
        <v>-2448.9499999999998</v>
      </c>
      <c r="GN63">
        <f t="shared" si="87"/>
        <v>-2448.9499999999998</v>
      </c>
      <c r="GO63">
        <f t="shared" si="88"/>
        <v>0</v>
      </c>
      <c r="GP63">
        <f t="shared" si="89"/>
        <v>0</v>
      </c>
      <c r="GR63">
        <v>0</v>
      </c>
      <c r="GS63">
        <v>3</v>
      </c>
      <c r="GT63">
        <v>0</v>
      </c>
      <c r="GU63" t="s">
        <v>3</v>
      </c>
      <c r="GV63">
        <f t="shared" si="90"/>
        <v>0</v>
      </c>
      <c r="GW63">
        <v>1</v>
      </c>
      <c r="GX63">
        <f t="shared" si="91"/>
        <v>0</v>
      </c>
      <c r="HA63">
        <v>0</v>
      </c>
      <c r="HB63">
        <v>0</v>
      </c>
      <c r="HC63">
        <f t="shared" si="92"/>
        <v>0</v>
      </c>
      <c r="HE63" t="s">
        <v>3</v>
      </c>
      <c r="HF63" t="s">
        <v>3</v>
      </c>
      <c r="IK63">
        <v>0</v>
      </c>
    </row>
    <row r="64" spans="1:245" x14ac:dyDescent="0.2">
      <c r="A64">
        <v>17</v>
      </c>
      <c r="B64">
        <v>1</v>
      </c>
      <c r="C64">
        <f>ROW(SmtRes!A159)</f>
        <v>159</v>
      </c>
      <c r="D64">
        <f>ROW(EtalonRes!A168)</f>
        <v>168</v>
      </c>
      <c r="E64" t="s">
        <v>196</v>
      </c>
      <c r="F64" t="s">
        <v>197</v>
      </c>
      <c r="G64" t="s">
        <v>198</v>
      </c>
      <c r="H64" t="s">
        <v>18</v>
      </c>
      <c r="I64">
        <f>ROUND(2/100,5)</f>
        <v>0.02</v>
      </c>
      <c r="J64">
        <v>0</v>
      </c>
      <c r="O64">
        <f t="shared" si="58"/>
        <v>884.52</v>
      </c>
      <c r="P64">
        <f t="shared" si="59"/>
        <v>23.71</v>
      </c>
      <c r="Q64">
        <f t="shared" si="60"/>
        <v>10</v>
      </c>
      <c r="R64">
        <f t="shared" si="61"/>
        <v>4.5599999999999996</v>
      </c>
      <c r="S64">
        <f t="shared" si="62"/>
        <v>850.81</v>
      </c>
      <c r="T64">
        <f t="shared" si="63"/>
        <v>0</v>
      </c>
      <c r="U64">
        <f t="shared" si="64"/>
        <v>2.5488000000000004</v>
      </c>
      <c r="V64">
        <f t="shared" si="65"/>
        <v>1.0800000000000001E-2</v>
      </c>
      <c r="W64">
        <f t="shared" si="66"/>
        <v>0</v>
      </c>
      <c r="X64">
        <f t="shared" si="67"/>
        <v>812.6</v>
      </c>
      <c r="Y64">
        <f t="shared" si="68"/>
        <v>555.99</v>
      </c>
      <c r="AA64">
        <v>68990560</v>
      </c>
      <c r="AB64">
        <f t="shared" si="69"/>
        <v>1433.84</v>
      </c>
      <c r="AC64">
        <f t="shared" si="70"/>
        <v>120.73</v>
      </c>
      <c r="AD64">
        <f>ROUND(((((ET64*1.35))-((EU64*1.35)))+AE64),2)</f>
        <v>48.9</v>
      </c>
      <c r="AE64">
        <f>ROUND(((EU64*1.35)),2)</f>
        <v>6.78</v>
      </c>
      <c r="AF64">
        <f>ROUND(((EV64*1.35)),2)</f>
        <v>1264.21</v>
      </c>
      <c r="AG64">
        <f t="shared" si="71"/>
        <v>0</v>
      </c>
      <c r="AH64">
        <f>((EW64*1.35))</f>
        <v>127.44000000000001</v>
      </c>
      <c r="AI64">
        <f>((EX64*1.35))</f>
        <v>0.54</v>
      </c>
      <c r="AJ64">
        <f t="shared" si="72"/>
        <v>0</v>
      </c>
      <c r="AK64">
        <v>1093.4000000000001</v>
      </c>
      <c r="AL64">
        <v>120.73</v>
      </c>
      <c r="AM64">
        <v>36.22</v>
      </c>
      <c r="AN64">
        <v>5.0199999999999996</v>
      </c>
      <c r="AO64">
        <v>936.45</v>
      </c>
      <c r="AP64">
        <v>0</v>
      </c>
      <c r="AQ64">
        <v>94.4</v>
      </c>
      <c r="AR64">
        <v>0.4</v>
      </c>
      <c r="AS64">
        <v>0</v>
      </c>
      <c r="AT64">
        <v>95</v>
      </c>
      <c r="AU64">
        <v>65</v>
      </c>
      <c r="AV64">
        <v>1</v>
      </c>
      <c r="AW64">
        <v>1</v>
      </c>
      <c r="AZ64">
        <v>1</v>
      </c>
      <c r="BA64">
        <v>33.65</v>
      </c>
      <c r="BB64">
        <v>10.220000000000001</v>
      </c>
      <c r="BC64">
        <v>9.82</v>
      </c>
      <c r="BD64" t="s">
        <v>3</v>
      </c>
      <c r="BE64" t="s">
        <v>3</v>
      </c>
      <c r="BF64" t="s">
        <v>3</v>
      </c>
      <c r="BG64" t="s">
        <v>3</v>
      </c>
      <c r="BH64">
        <v>0</v>
      </c>
      <c r="BI64">
        <v>2</v>
      </c>
      <c r="BJ64" t="s">
        <v>199</v>
      </c>
      <c r="BM64">
        <v>108001</v>
      </c>
      <c r="BN64">
        <v>0</v>
      </c>
      <c r="BO64" t="s">
        <v>197</v>
      </c>
      <c r="BP64">
        <v>1</v>
      </c>
      <c r="BQ64">
        <v>3</v>
      </c>
      <c r="BR64">
        <v>0</v>
      </c>
      <c r="BS64">
        <v>33.65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3</v>
      </c>
      <c r="BZ64">
        <v>95</v>
      </c>
      <c r="CA64">
        <v>65</v>
      </c>
      <c r="CE64">
        <v>0</v>
      </c>
      <c r="CF64">
        <v>0</v>
      </c>
      <c r="CG64">
        <v>0</v>
      </c>
      <c r="CM64">
        <v>0</v>
      </c>
      <c r="CN64" t="s">
        <v>1329</v>
      </c>
      <c r="CO64">
        <v>0</v>
      </c>
      <c r="CP64">
        <f t="shared" si="73"/>
        <v>884.52</v>
      </c>
      <c r="CQ64">
        <f t="shared" si="74"/>
        <v>1185.5686000000001</v>
      </c>
      <c r="CR64">
        <f t="shared" si="75"/>
        <v>499.75800000000004</v>
      </c>
      <c r="CS64">
        <f t="shared" si="76"/>
        <v>228.14699999999999</v>
      </c>
      <c r="CT64">
        <f t="shared" si="77"/>
        <v>42540.666499999999</v>
      </c>
      <c r="CU64">
        <f t="shared" si="78"/>
        <v>0</v>
      </c>
      <c r="CV64">
        <f t="shared" si="79"/>
        <v>127.44000000000001</v>
      </c>
      <c r="CW64">
        <f t="shared" si="80"/>
        <v>0.54</v>
      </c>
      <c r="CX64">
        <f t="shared" si="81"/>
        <v>0</v>
      </c>
      <c r="CY64">
        <f t="shared" si="82"/>
        <v>812.60149999999999</v>
      </c>
      <c r="CZ64">
        <f t="shared" si="83"/>
        <v>555.9905</v>
      </c>
      <c r="DC64" t="s">
        <v>3</v>
      </c>
      <c r="DD64" t="s">
        <v>3</v>
      </c>
      <c r="DE64" t="s">
        <v>200</v>
      </c>
      <c r="DF64" t="s">
        <v>200</v>
      </c>
      <c r="DG64" t="s">
        <v>200</v>
      </c>
      <c r="DH64" t="s">
        <v>3</v>
      </c>
      <c r="DI64" t="s">
        <v>200</v>
      </c>
      <c r="DJ64" t="s">
        <v>200</v>
      </c>
      <c r="DK64" t="s">
        <v>3</v>
      </c>
      <c r="DL64" t="s">
        <v>3</v>
      </c>
      <c r="DM64" t="s">
        <v>3</v>
      </c>
      <c r="DN64">
        <v>0</v>
      </c>
      <c r="DO64">
        <v>0</v>
      </c>
      <c r="DP64">
        <v>1</v>
      </c>
      <c r="DQ64">
        <v>1</v>
      </c>
      <c r="DU64">
        <v>1013</v>
      </c>
      <c r="DV64" t="s">
        <v>18</v>
      </c>
      <c r="DW64" t="s">
        <v>18</v>
      </c>
      <c r="DX64">
        <v>1</v>
      </c>
      <c r="DZ64" t="s">
        <v>3</v>
      </c>
      <c r="EA64" t="s">
        <v>3</v>
      </c>
      <c r="EB64" t="s">
        <v>3</v>
      </c>
      <c r="EC64" t="s">
        <v>3</v>
      </c>
      <c r="EE64">
        <v>64094909</v>
      </c>
      <c r="EF64">
        <v>3</v>
      </c>
      <c r="EG64" t="s">
        <v>22</v>
      </c>
      <c r="EH64">
        <v>0</v>
      </c>
      <c r="EI64" t="s">
        <v>3</v>
      </c>
      <c r="EJ64">
        <v>2</v>
      </c>
      <c r="EK64">
        <v>108001</v>
      </c>
      <c r="EL64" t="s">
        <v>23</v>
      </c>
      <c r="EM64" t="s">
        <v>24</v>
      </c>
      <c r="EO64" t="s">
        <v>42</v>
      </c>
      <c r="EQ64">
        <v>0</v>
      </c>
      <c r="ER64">
        <v>1093.4000000000001</v>
      </c>
      <c r="ES64">
        <v>120.73</v>
      </c>
      <c r="ET64">
        <v>36.22</v>
      </c>
      <c r="EU64">
        <v>5.0199999999999996</v>
      </c>
      <c r="EV64">
        <v>936.45</v>
      </c>
      <c r="EW64">
        <v>94.4</v>
      </c>
      <c r="EX64">
        <v>0.4</v>
      </c>
      <c r="EY64">
        <v>0</v>
      </c>
      <c r="FQ64">
        <v>0</v>
      </c>
      <c r="FR64">
        <f t="shared" si="84"/>
        <v>0</v>
      </c>
      <c r="FS64">
        <v>0</v>
      </c>
      <c r="FX64">
        <v>95</v>
      </c>
      <c r="FY64">
        <v>65</v>
      </c>
      <c r="GA64" t="s">
        <v>3</v>
      </c>
      <c r="GD64">
        <v>1</v>
      </c>
      <c r="GF64">
        <v>2052985022</v>
      </c>
      <c r="GG64">
        <v>2</v>
      </c>
      <c r="GH64">
        <v>1</v>
      </c>
      <c r="GI64">
        <v>2</v>
      </c>
      <c r="GJ64">
        <v>0</v>
      </c>
      <c r="GK64">
        <v>0</v>
      </c>
      <c r="GL64">
        <f t="shared" si="85"/>
        <v>0</v>
      </c>
      <c r="GM64">
        <f t="shared" si="86"/>
        <v>2253.11</v>
      </c>
      <c r="GN64">
        <f t="shared" si="87"/>
        <v>0</v>
      </c>
      <c r="GO64">
        <f t="shared" si="88"/>
        <v>2253.11</v>
      </c>
      <c r="GP64">
        <f t="shared" si="89"/>
        <v>0</v>
      </c>
      <c r="GR64">
        <v>0</v>
      </c>
      <c r="GS64">
        <v>3</v>
      </c>
      <c r="GT64">
        <v>0</v>
      </c>
      <c r="GU64" t="s">
        <v>3</v>
      </c>
      <c r="GV64">
        <f t="shared" si="90"/>
        <v>0</v>
      </c>
      <c r="GW64">
        <v>1</v>
      </c>
      <c r="GX64">
        <f t="shared" si="91"/>
        <v>0</v>
      </c>
      <c r="HA64">
        <v>0</v>
      </c>
      <c r="HB64">
        <v>0</v>
      </c>
      <c r="HC64">
        <f t="shared" si="92"/>
        <v>0</v>
      </c>
      <c r="HE64" t="s">
        <v>3</v>
      </c>
      <c r="HF64" t="s">
        <v>3</v>
      </c>
      <c r="IK64">
        <v>0</v>
      </c>
    </row>
    <row r="65" spans="1:245" x14ac:dyDescent="0.2">
      <c r="A65">
        <v>18</v>
      </c>
      <c r="B65">
        <v>1</v>
      </c>
      <c r="C65">
        <v>157</v>
      </c>
      <c r="E65" t="s">
        <v>201</v>
      </c>
      <c r="F65" t="s">
        <v>202</v>
      </c>
      <c r="G65" t="s">
        <v>203</v>
      </c>
      <c r="H65" t="s">
        <v>29</v>
      </c>
      <c r="I65">
        <f>I64*J65</f>
        <v>2</v>
      </c>
      <c r="J65">
        <v>100</v>
      </c>
      <c r="O65">
        <f t="shared" si="58"/>
        <v>4542.03</v>
      </c>
      <c r="P65">
        <f t="shared" si="59"/>
        <v>4542.03</v>
      </c>
      <c r="Q65">
        <f t="shared" si="60"/>
        <v>0</v>
      </c>
      <c r="R65">
        <f t="shared" si="61"/>
        <v>0</v>
      </c>
      <c r="S65">
        <f t="shared" si="62"/>
        <v>0</v>
      </c>
      <c r="T65">
        <f t="shared" si="63"/>
        <v>0</v>
      </c>
      <c r="U65">
        <f t="shared" si="64"/>
        <v>0</v>
      </c>
      <c r="V65">
        <f t="shared" si="65"/>
        <v>0</v>
      </c>
      <c r="W65">
        <f t="shared" si="66"/>
        <v>0</v>
      </c>
      <c r="X65">
        <f t="shared" si="67"/>
        <v>0</v>
      </c>
      <c r="Y65">
        <f t="shared" si="68"/>
        <v>0</v>
      </c>
      <c r="AA65">
        <v>68990560</v>
      </c>
      <c r="AB65">
        <f t="shared" si="69"/>
        <v>229.86</v>
      </c>
      <c r="AC65">
        <f t="shared" si="70"/>
        <v>229.86</v>
      </c>
      <c r="AD65">
        <f>ROUND((((ET65)-(EU65))+AE65),2)</f>
        <v>0</v>
      </c>
      <c r="AE65">
        <f>ROUND((EU65),2)</f>
        <v>0</v>
      </c>
      <c r="AF65">
        <f>ROUND((EV65),2)</f>
        <v>0</v>
      </c>
      <c r="AG65">
        <f t="shared" si="71"/>
        <v>0</v>
      </c>
      <c r="AH65">
        <f>(EW65)</f>
        <v>0</v>
      </c>
      <c r="AI65">
        <f>(EX65)</f>
        <v>0</v>
      </c>
      <c r="AJ65">
        <f t="shared" si="72"/>
        <v>0</v>
      </c>
      <c r="AK65">
        <v>229.86</v>
      </c>
      <c r="AL65">
        <v>229.86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95</v>
      </c>
      <c r="AU65">
        <v>65</v>
      </c>
      <c r="AV65">
        <v>1</v>
      </c>
      <c r="AW65">
        <v>1</v>
      </c>
      <c r="AZ65">
        <v>1</v>
      </c>
      <c r="BA65">
        <v>1</v>
      </c>
      <c r="BB65">
        <v>1</v>
      </c>
      <c r="BC65">
        <v>9.8800000000000008</v>
      </c>
      <c r="BD65" t="s">
        <v>3</v>
      </c>
      <c r="BE65" t="s">
        <v>3</v>
      </c>
      <c r="BF65" t="s">
        <v>3</v>
      </c>
      <c r="BG65" t="s">
        <v>3</v>
      </c>
      <c r="BH65">
        <v>3</v>
      </c>
      <c r="BI65">
        <v>2</v>
      </c>
      <c r="BJ65" t="s">
        <v>204</v>
      </c>
      <c r="BM65">
        <v>108001</v>
      </c>
      <c r="BN65">
        <v>0</v>
      </c>
      <c r="BO65" t="s">
        <v>202</v>
      </c>
      <c r="BP65">
        <v>1</v>
      </c>
      <c r="BQ65">
        <v>3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3</v>
      </c>
      <c r="BZ65">
        <v>95</v>
      </c>
      <c r="CA65">
        <v>65</v>
      </c>
      <c r="CE65">
        <v>0</v>
      </c>
      <c r="CF65">
        <v>0</v>
      </c>
      <c r="CG65">
        <v>0</v>
      </c>
      <c r="CM65">
        <v>0</v>
      </c>
      <c r="CN65" t="s">
        <v>3</v>
      </c>
      <c r="CO65">
        <v>0</v>
      </c>
      <c r="CP65">
        <f t="shared" si="73"/>
        <v>4542.03</v>
      </c>
      <c r="CQ65">
        <f t="shared" si="74"/>
        <v>2271.0168000000003</v>
      </c>
      <c r="CR65">
        <f t="shared" si="75"/>
        <v>0</v>
      </c>
      <c r="CS65">
        <f t="shared" si="76"/>
        <v>0</v>
      </c>
      <c r="CT65">
        <f t="shared" si="77"/>
        <v>0</v>
      </c>
      <c r="CU65">
        <f t="shared" si="78"/>
        <v>0</v>
      </c>
      <c r="CV65">
        <f t="shared" si="79"/>
        <v>0</v>
      </c>
      <c r="CW65">
        <f t="shared" si="80"/>
        <v>0</v>
      </c>
      <c r="CX65">
        <f t="shared" si="81"/>
        <v>0</v>
      </c>
      <c r="CY65">
        <f t="shared" si="82"/>
        <v>0</v>
      </c>
      <c r="CZ65">
        <f t="shared" si="83"/>
        <v>0</v>
      </c>
      <c r="DC65" t="s">
        <v>3</v>
      </c>
      <c r="DD65" t="s">
        <v>3</v>
      </c>
      <c r="DE65" t="s">
        <v>3</v>
      </c>
      <c r="DF65" t="s">
        <v>3</v>
      </c>
      <c r="DG65" t="s">
        <v>3</v>
      </c>
      <c r="DH65" t="s">
        <v>3</v>
      </c>
      <c r="DI65" t="s">
        <v>3</v>
      </c>
      <c r="DJ65" t="s">
        <v>3</v>
      </c>
      <c r="DK65" t="s">
        <v>3</v>
      </c>
      <c r="DL65" t="s">
        <v>3</v>
      </c>
      <c r="DM65" t="s">
        <v>3</v>
      </c>
      <c r="DN65">
        <v>0</v>
      </c>
      <c r="DO65">
        <v>0</v>
      </c>
      <c r="DP65">
        <v>1</v>
      </c>
      <c r="DQ65">
        <v>1</v>
      </c>
      <c r="DU65">
        <v>1013</v>
      </c>
      <c r="DV65" t="s">
        <v>29</v>
      </c>
      <c r="DW65" t="s">
        <v>29</v>
      </c>
      <c r="DX65">
        <v>1</v>
      </c>
      <c r="DZ65" t="s">
        <v>3</v>
      </c>
      <c r="EA65" t="s">
        <v>3</v>
      </c>
      <c r="EB65" t="s">
        <v>3</v>
      </c>
      <c r="EC65" t="s">
        <v>3</v>
      </c>
      <c r="EE65">
        <v>64094909</v>
      </c>
      <c r="EF65">
        <v>3</v>
      </c>
      <c r="EG65" t="s">
        <v>22</v>
      </c>
      <c r="EH65">
        <v>0</v>
      </c>
      <c r="EI65" t="s">
        <v>3</v>
      </c>
      <c r="EJ65">
        <v>2</v>
      </c>
      <c r="EK65">
        <v>108001</v>
      </c>
      <c r="EL65" t="s">
        <v>23</v>
      </c>
      <c r="EM65" t="s">
        <v>24</v>
      </c>
      <c r="EO65" t="s">
        <v>3</v>
      </c>
      <c r="EQ65">
        <v>0</v>
      </c>
      <c r="ER65">
        <v>229.86</v>
      </c>
      <c r="ES65">
        <v>229.86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84"/>
        <v>0</v>
      </c>
      <c r="FS65">
        <v>0</v>
      </c>
      <c r="FX65">
        <v>95</v>
      </c>
      <c r="FY65">
        <v>65</v>
      </c>
      <c r="GA65" t="s">
        <v>3</v>
      </c>
      <c r="GD65">
        <v>1</v>
      </c>
      <c r="GF65">
        <v>1559818039</v>
      </c>
      <c r="GG65">
        <v>2</v>
      </c>
      <c r="GH65">
        <v>1</v>
      </c>
      <c r="GI65">
        <v>2</v>
      </c>
      <c r="GJ65">
        <v>0</v>
      </c>
      <c r="GK65">
        <v>0</v>
      </c>
      <c r="GL65">
        <f t="shared" si="85"/>
        <v>0</v>
      </c>
      <c r="GM65">
        <f t="shared" si="86"/>
        <v>4542.03</v>
      </c>
      <c r="GN65">
        <f t="shared" si="87"/>
        <v>0</v>
      </c>
      <c r="GO65">
        <f t="shared" si="88"/>
        <v>4542.03</v>
      </c>
      <c r="GP65">
        <f t="shared" si="89"/>
        <v>0</v>
      </c>
      <c r="GR65">
        <v>0</v>
      </c>
      <c r="GS65">
        <v>3</v>
      </c>
      <c r="GT65">
        <v>0</v>
      </c>
      <c r="GU65" t="s">
        <v>3</v>
      </c>
      <c r="GV65">
        <f t="shared" si="90"/>
        <v>0</v>
      </c>
      <c r="GW65">
        <v>1</v>
      </c>
      <c r="GX65">
        <f t="shared" si="91"/>
        <v>0</v>
      </c>
      <c r="HA65">
        <v>0</v>
      </c>
      <c r="HB65">
        <v>0</v>
      </c>
      <c r="HC65">
        <f t="shared" si="92"/>
        <v>0</v>
      </c>
      <c r="HE65" t="s">
        <v>3</v>
      </c>
      <c r="HF65" t="s">
        <v>3</v>
      </c>
      <c r="IK65">
        <v>0</v>
      </c>
    </row>
    <row r="66" spans="1:245" x14ac:dyDescent="0.2">
      <c r="A66">
        <v>17</v>
      </c>
      <c r="B66">
        <v>1</v>
      </c>
      <c r="C66">
        <f>ROW(SmtRes!A165)</f>
        <v>165</v>
      </c>
      <c r="D66">
        <f>ROW(EtalonRes!A174)</f>
        <v>174</v>
      </c>
      <c r="E66" t="s">
        <v>205</v>
      </c>
      <c r="F66" t="s">
        <v>206</v>
      </c>
      <c r="G66" t="s">
        <v>207</v>
      </c>
      <c r="H66" t="s">
        <v>36</v>
      </c>
      <c r="I66">
        <f>ROUND(1.25/100,5)</f>
        <v>1.2500000000000001E-2</v>
      </c>
      <c r="J66">
        <v>0</v>
      </c>
      <c r="O66">
        <f t="shared" si="58"/>
        <v>511.47</v>
      </c>
      <c r="P66">
        <f t="shared" si="59"/>
        <v>0</v>
      </c>
      <c r="Q66">
        <f t="shared" si="60"/>
        <v>52.64</v>
      </c>
      <c r="R66">
        <f t="shared" si="61"/>
        <v>11.76</v>
      </c>
      <c r="S66">
        <f t="shared" si="62"/>
        <v>458.83</v>
      </c>
      <c r="T66">
        <f t="shared" si="63"/>
        <v>0</v>
      </c>
      <c r="U66">
        <f t="shared" si="64"/>
        <v>1.5985</v>
      </c>
      <c r="V66">
        <f t="shared" si="65"/>
        <v>2.5874999999999999E-2</v>
      </c>
      <c r="W66">
        <f t="shared" si="66"/>
        <v>0</v>
      </c>
      <c r="X66">
        <f t="shared" si="67"/>
        <v>376.47</v>
      </c>
      <c r="Y66">
        <f t="shared" si="68"/>
        <v>320</v>
      </c>
      <c r="AA66">
        <v>68990560</v>
      </c>
      <c r="AB66">
        <f t="shared" si="69"/>
        <v>2300.8200000000002</v>
      </c>
      <c r="AC66">
        <f t="shared" si="70"/>
        <v>0</v>
      </c>
      <c r="AD66">
        <f>ROUND(((((ET66*1.15))-((EU66*1.15)))+AE66),2)</f>
        <v>1210</v>
      </c>
      <c r="AE66">
        <f>ROUND(((EU66*1.15)),2)</f>
        <v>27.95</v>
      </c>
      <c r="AF66">
        <f>ROUND(((EV66*1.15)),2)</f>
        <v>1090.82</v>
      </c>
      <c r="AG66">
        <f t="shared" si="71"/>
        <v>0</v>
      </c>
      <c r="AH66">
        <f>((EW66*1.15))</f>
        <v>127.88</v>
      </c>
      <c r="AI66">
        <f>((EX66*1.15))</f>
        <v>2.0699999999999998</v>
      </c>
      <c r="AJ66">
        <f t="shared" si="72"/>
        <v>0</v>
      </c>
      <c r="AK66">
        <v>2000.71</v>
      </c>
      <c r="AL66">
        <v>0</v>
      </c>
      <c r="AM66">
        <v>1052.17</v>
      </c>
      <c r="AN66">
        <v>24.3</v>
      </c>
      <c r="AO66">
        <v>948.54</v>
      </c>
      <c r="AP66">
        <v>0</v>
      </c>
      <c r="AQ66">
        <v>111.2</v>
      </c>
      <c r="AR66">
        <v>1.8</v>
      </c>
      <c r="AS66">
        <v>0</v>
      </c>
      <c r="AT66">
        <v>80</v>
      </c>
      <c r="AU66">
        <v>68</v>
      </c>
      <c r="AV66">
        <v>1</v>
      </c>
      <c r="AW66">
        <v>1</v>
      </c>
      <c r="AZ66">
        <v>1</v>
      </c>
      <c r="BA66">
        <v>33.65</v>
      </c>
      <c r="BB66">
        <v>3.48</v>
      </c>
      <c r="BC66">
        <v>1</v>
      </c>
      <c r="BD66" t="s">
        <v>3</v>
      </c>
      <c r="BE66" t="s">
        <v>3</v>
      </c>
      <c r="BF66" t="s">
        <v>3</v>
      </c>
      <c r="BG66" t="s">
        <v>3</v>
      </c>
      <c r="BH66">
        <v>0</v>
      </c>
      <c r="BI66">
        <v>1</v>
      </c>
      <c r="BJ66" t="s">
        <v>208</v>
      </c>
      <c r="BM66">
        <v>57001</v>
      </c>
      <c r="BN66">
        <v>0</v>
      </c>
      <c r="BO66" t="s">
        <v>206</v>
      </c>
      <c r="BP66">
        <v>1</v>
      </c>
      <c r="BQ66">
        <v>6</v>
      </c>
      <c r="BR66">
        <v>0</v>
      </c>
      <c r="BS66">
        <v>33.65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3</v>
      </c>
      <c r="BZ66">
        <v>80</v>
      </c>
      <c r="CA66">
        <v>68</v>
      </c>
      <c r="CE66">
        <v>0</v>
      </c>
      <c r="CF66">
        <v>0</v>
      </c>
      <c r="CG66">
        <v>0</v>
      </c>
      <c r="CM66">
        <v>0</v>
      </c>
      <c r="CN66" t="s">
        <v>1329</v>
      </c>
      <c r="CO66">
        <v>0</v>
      </c>
      <c r="CP66">
        <f t="shared" si="73"/>
        <v>511.46999999999997</v>
      </c>
      <c r="CQ66">
        <f t="shared" si="74"/>
        <v>0</v>
      </c>
      <c r="CR66">
        <f t="shared" si="75"/>
        <v>4210.8</v>
      </c>
      <c r="CS66">
        <f t="shared" si="76"/>
        <v>940.51749999999993</v>
      </c>
      <c r="CT66">
        <f t="shared" si="77"/>
        <v>36706.092999999993</v>
      </c>
      <c r="CU66">
        <f t="shared" si="78"/>
        <v>0</v>
      </c>
      <c r="CV66">
        <f t="shared" si="79"/>
        <v>127.88</v>
      </c>
      <c r="CW66">
        <f t="shared" si="80"/>
        <v>2.0699999999999998</v>
      </c>
      <c r="CX66">
        <f t="shared" si="81"/>
        <v>0</v>
      </c>
      <c r="CY66">
        <f t="shared" si="82"/>
        <v>376.47199999999998</v>
      </c>
      <c r="CZ66">
        <f t="shared" si="83"/>
        <v>320.00119999999998</v>
      </c>
      <c r="DC66" t="s">
        <v>3</v>
      </c>
      <c r="DD66" t="s">
        <v>3</v>
      </c>
      <c r="DE66" t="s">
        <v>38</v>
      </c>
      <c r="DF66" t="s">
        <v>38</v>
      </c>
      <c r="DG66" t="s">
        <v>38</v>
      </c>
      <c r="DH66" t="s">
        <v>3</v>
      </c>
      <c r="DI66" t="s">
        <v>38</v>
      </c>
      <c r="DJ66" t="s">
        <v>38</v>
      </c>
      <c r="DK66" t="s">
        <v>3</v>
      </c>
      <c r="DL66" t="s">
        <v>3</v>
      </c>
      <c r="DM66" t="s">
        <v>3</v>
      </c>
      <c r="DN66">
        <v>0</v>
      </c>
      <c r="DO66">
        <v>0</v>
      </c>
      <c r="DP66">
        <v>1</v>
      </c>
      <c r="DQ66">
        <v>1</v>
      </c>
      <c r="DU66">
        <v>1005</v>
      </c>
      <c r="DV66" t="s">
        <v>36</v>
      </c>
      <c r="DW66" t="s">
        <v>36</v>
      </c>
      <c r="DX66">
        <v>100</v>
      </c>
      <c r="DZ66" t="s">
        <v>3</v>
      </c>
      <c r="EA66" t="s">
        <v>3</v>
      </c>
      <c r="EB66" t="s">
        <v>3</v>
      </c>
      <c r="EC66" t="s">
        <v>3</v>
      </c>
      <c r="EE66">
        <v>64095105</v>
      </c>
      <c r="EF66">
        <v>6</v>
      </c>
      <c r="EG66" t="s">
        <v>39</v>
      </c>
      <c r="EH66">
        <v>0</v>
      </c>
      <c r="EI66" t="s">
        <v>3</v>
      </c>
      <c r="EJ66">
        <v>1</v>
      </c>
      <c r="EK66">
        <v>57001</v>
      </c>
      <c r="EL66" t="s">
        <v>92</v>
      </c>
      <c r="EM66" t="s">
        <v>93</v>
      </c>
      <c r="EO66" t="s">
        <v>42</v>
      </c>
      <c r="EQ66">
        <v>0</v>
      </c>
      <c r="ER66">
        <v>2000.71</v>
      </c>
      <c r="ES66">
        <v>0</v>
      </c>
      <c r="ET66">
        <v>1052.17</v>
      </c>
      <c r="EU66">
        <v>24.3</v>
      </c>
      <c r="EV66">
        <v>948.54</v>
      </c>
      <c r="EW66">
        <v>111.2</v>
      </c>
      <c r="EX66">
        <v>1.8</v>
      </c>
      <c r="EY66">
        <v>0</v>
      </c>
      <c r="FQ66">
        <v>0</v>
      </c>
      <c r="FR66">
        <f t="shared" si="84"/>
        <v>0</v>
      </c>
      <c r="FS66">
        <v>0</v>
      </c>
      <c r="FX66">
        <v>80</v>
      </c>
      <c r="FY66">
        <v>68</v>
      </c>
      <c r="GA66" t="s">
        <v>3</v>
      </c>
      <c r="GD66">
        <v>1</v>
      </c>
      <c r="GF66">
        <v>2077299682</v>
      </c>
      <c r="GG66">
        <v>2</v>
      </c>
      <c r="GH66">
        <v>1</v>
      </c>
      <c r="GI66">
        <v>2</v>
      </c>
      <c r="GJ66">
        <v>0</v>
      </c>
      <c r="GK66">
        <v>0</v>
      </c>
      <c r="GL66">
        <f t="shared" si="85"/>
        <v>0</v>
      </c>
      <c r="GM66">
        <f t="shared" si="86"/>
        <v>1207.94</v>
      </c>
      <c r="GN66">
        <f t="shared" si="87"/>
        <v>1207.94</v>
      </c>
      <c r="GO66">
        <f t="shared" si="88"/>
        <v>0</v>
      </c>
      <c r="GP66">
        <f t="shared" si="89"/>
        <v>0</v>
      </c>
      <c r="GR66">
        <v>0</v>
      </c>
      <c r="GS66">
        <v>3</v>
      </c>
      <c r="GT66">
        <v>0</v>
      </c>
      <c r="GU66" t="s">
        <v>3</v>
      </c>
      <c r="GV66">
        <f t="shared" si="90"/>
        <v>0</v>
      </c>
      <c r="GW66">
        <v>1</v>
      </c>
      <c r="GX66">
        <f t="shared" si="91"/>
        <v>0</v>
      </c>
      <c r="HA66">
        <v>0</v>
      </c>
      <c r="HB66">
        <v>0</v>
      </c>
      <c r="HC66">
        <f t="shared" si="92"/>
        <v>0</v>
      </c>
      <c r="HE66" t="s">
        <v>3</v>
      </c>
      <c r="HF66" t="s">
        <v>3</v>
      </c>
      <c r="IK66">
        <v>0</v>
      </c>
    </row>
    <row r="67" spans="1:245" x14ac:dyDescent="0.2">
      <c r="A67">
        <v>18</v>
      </c>
      <c r="B67">
        <v>1</v>
      </c>
      <c r="C67">
        <v>165</v>
      </c>
      <c r="E67" t="s">
        <v>209</v>
      </c>
      <c r="F67" t="s">
        <v>69</v>
      </c>
      <c r="G67" t="s">
        <v>70</v>
      </c>
      <c r="H67" t="s">
        <v>71</v>
      </c>
      <c r="I67">
        <f>I66*J67</f>
        <v>0.41249999999999992</v>
      </c>
      <c r="J67">
        <v>32.999999999999993</v>
      </c>
      <c r="O67">
        <f t="shared" si="58"/>
        <v>0</v>
      </c>
      <c r="P67">
        <f t="shared" si="59"/>
        <v>0</v>
      </c>
      <c r="Q67">
        <f t="shared" si="60"/>
        <v>0</v>
      </c>
      <c r="R67">
        <f t="shared" si="61"/>
        <v>0</v>
      </c>
      <c r="S67">
        <f t="shared" si="62"/>
        <v>0</v>
      </c>
      <c r="T67">
        <f t="shared" si="63"/>
        <v>0</v>
      </c>
      <c r="U67">
        <f t="shared" si="64"/>
        <v>0</v>
      </c>
      <c r="V67">
        <f t="shared" si="65"/>
        <v>0</v>
      </c>
      <c r="W67">
        <f t="shared" si="66"/>
        <v>0</v>
      </c>
      <c r="X67">
        <f t="shared" si="67"/>
        <v>0</v>
      </c>
      <c r="Y67">
        <f t="shared" si="68"/>
        <v>0</v>
      </c>
      <c r="AA67">
        <v>68990560</v>
      </c>
      <c r="AB67">
        <f t="shared" si="69"/>
        <v>0</v>
      </c>
      <c r="AC67">
        <f t="shared" si="70"/>
        <v>0</v>
      </c>
      <c r="AD67">
        <f>ROUND((((ET67)-(EU67))+AE67),2)</f>
        <v>0</v>
      </c>
      <c r="AE67">
        <f>ROUND((EU67),2)</f>
        <v>0</v>
      </c>
      <c r="AF67">
        <f>ROUND((EV67),2)</f>
        <v>0</v>
      </c>
      <c r="AG67">
        <f t="shared" si="71"/>
        <v>0</v>
      </c>
      <c r="AH67">
        <f>(EW67)</f>
        <v>0</v>
      </c>
      <c r="AI67">
        <f>(EX67)</f>
        <v>0</v>
      </c>
      <c r="AJ67">
        <f t="shared" si="72"/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80</v>
      </c>
      <c r="AU67">
        <v>68</v>
      </c>
      <c r="AV67">
        <v>1</v>
      </c>
      <c r="AW67">
        <v>1</v>
      </c>
      <c r="AZ67">
        <v>1</v>
      </c>
      <c r="BA67">
        <v>1</v>
      </c>
      <c r="BB67">
        <v>1</v>
      </c>
      <c r="BC67">
        <v>1</v>
      </c>
      <c r="BD67" t="s">
        <v>3</v>
      </c>
      <c r="BE67" t="s">
        <v>3</v>
      </c>
      <c r="BF67" t="s">
        <v>3</v>
      </c>
      <c r="BG67" t="s">
        <v>3</v>
      </c>
      <c r="BH67">
        <v>3</v>
      </c>
      <c r="BI67">
        <v>1</v>
      </c>
      <c r="BJ67" t="s">
        <v>3</v>
      </c>
      <c r="BM67">
        <v>57001</v>
      </c>
      <c r="BN67">
        <v>0</v>
      </c>
      <c r="BO67" t="s">
        <v>3</v>
      </c>
      <c r="BP67">
        <v>0</v>
      </c>
      <c r="BQ67">
        <v>6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3</v>
      </c>
      <c r="BZ67">
        <v>80</v>
      </c>
      <c r="CA67">
        <v>68</v>
      </c>
      <c r="CE67">
        <v>0</v>
      </c>
      <c r="CF67">
        <v>0</v>
      </c>
      <c r="CG67">
        <v>0</v>
      </c>
      <c r="CM67">
        <v>0</v>
      </c>
      <c r="CN67" t="s">
        <v>3</v>
      </c>
      <c r="CO67">
        <v>0</v>
      </c>
      <c r="CP67">
        <f t="shared" si="73"/>
        <v>0</v>
      </c>
      <c r="CQ67">
        <f t="shared" si="74"/>
        <v>0</v>
      </c>
      <c r="CR67">
        <f t="shared" si="75"/>
        <v>0</v>
      </c>
      <c r="CS67">
        <f t="shared" si="76"/>
        <v>0</v>
      </c>
      <c r="CT67">
        <f t="shared" si="77"/>
        <v>0</v>
      </c>
      <c r="CU67">
        <f t="shared" si="78"/>
        <v>0</v>
      </c>
      <c r="CV67">
        <f t="shared" si="79"/>
        <v>0</v>
      </c>
      <c r="CW67">
        <f t="shared" si="80"/>
        <v>0</v>
      </c>
      <c r="CX67">
        <f t="shared" si="81"/>
        <v>0</v>
      </c>
      <c r="CY67">
        <f t="shared" si="82"/>
        <v>0</v>
      </c>
      <c r="CZ67">
        <f t="shared" si="83"/>
        <v>0</v>
      </c>
      <c r="DC67" t="s">
        <v>3</v>
      </c>
      <c r="DD67" t="s">
        <v>3</v>
      </c>
      <c r="DE67" t="s">
        <v>3</v>
      </c>
      <c r="DF67" t="s">
        <v>3</v>
      </c>
      <c r="DG67" t="s">
        <v>3</v>
      </c>
      <c r="DH67" t="s">
        <v>3</v>
      </c>
      <c r="DI67" t="s">
        <v>3</v>
      </c>
      <c r="DJ67" t="s">
        <v>3</v>
      </c>
      <c r="DK67" t="s">
        <v>3</v>
      </c>
      <c r="DL67" t="s">
        <v>3</v>
      </c>
      <c r="DM67" t="s">
        <v>3</v>
      </c>
      <c r="DN67">
        <v>0</v>
      </c>
      <c r="DO67">
        <v>0</v>
      </c>
      <c r="DP67">
        <v>1</v>
      </c>
      <c r="DQ67">
        <v>1</v>
      </c>
      <c r="DU67">
        <v>1009</v>
      </c>
      <c r="DV67" t="s">
        <v>71</v>
      </c>
      <c r="DW67" t="s">
        <v>71</v>
      </c>
      <c r="DX67">
        <v>1000</v>
      </c>
      <c r="DZ67" t="s">
        <v>3</v>
      </c>
      <c r="EA67" t="s">
        <v>3</v>
      </c>
      <c r="EB67" t="s">
        <v>3</v>
      </c>
      <c r="EC67" t="s">
        <v>3</v>
      </c>
      <c r="EE67">
        <v>64095105</v>
      </c>
      <c r="EF67">
        <v>6</v>
      </c>
      <c r="EG67" t="s">
        <v>39</v>
      </c>
      <c r="EH67">
        <v>0</v>
      </c>
      <c r="EI67" t="s">
        <v>3</v>
      </c>
      <c r="EJ67">
        <v>1</v>
      </c>
      <c r="EK67">
        <v>57001</v>
      </c>
      <c r="EL67" t="s">
        <v>92</v>
      </c>
      <c r="EM67" t="s">
        <v>93</v>
      </c>
      <c r="EO67" t="s">
        <v>3</v>
      </c>
      <c r="EQ67">
        <v>0</v>
      </c>
      <c r="ER67">
        <v>0</v>
      </c>
      <c r="ES67">
        <v>0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84"/>
        <v>0</v>
      </c>
      <c r="FS67">
        <v>0</v>
      </c>
      <c r="FX67">
        <v>80</v>
      </c>
      <c r="FY67">
        <v>68</v>
      </c>
      <c r="GA67" t="s">
        <v>3</v>
      </c>
      <c r="GD67">
        <v>1</v>
      </c>
      <c r="GF67">
        <v>2102561428</v>
      </c>
      <c r="GG67">
        <v>2</v>
      </c>
      <c r="GH67">
        <v>1</v>
      </c>
      <c r="GI67">
        <v>-2</v>
      </c>
      <c r="GJ67">
        <v>0</v>
      </c>
      <c r="GK67">
        <v>0</v>
      </c>
      <c r="GL67">
        <f t="shared" si="85"/>
        <v>0</v>
      </c>
      <c r="GM67">
        <f t="shared" si="86"/>
        <v>0</v>
      </c>
      <c r="GN67">
        <f t="shared" si="87"/>
        <v>0</v>
      </c>
      <c r="GO67">
        <f t="shared" si="88"/>
        <v>0</v>
      </c>
      <c r="GP67">
        <f t="shared" si="89"/>
        <v>0</v>
      </c>
      <c r="GR67">
        <v>0</v>
      </c>
      <c r="GS67">
        <v>3</v>
      </c>
      <c r="GT67">
        <v>0</v>
      </c>
      <c r="GU67" t="s">
        <v>3</v>
      </c>
      <c r="GV67">
        <f t="shared" si="90"/>
        <v>0</v>
      </c>
      <c r="GW67">
        <v>1</v>
      </c>
      <c r="GX67">
        <f t="shared" si="91"/>
        <v>0</v>
      </c>
      <c r="HA67">
        <v>0</v>
      </c>
      <c r="HB67">
        <v>0</v>
      </c>
      <c r="HC67">
        <f t="shared" si="92"/>
        <v>0</v>
      </c>
      <c r="HE67" t="s">
        <v>3</v>
      </c>
      <c r="HF67" t="s">
        <v>3</v>
      </c>
      <c r="IK67">
        <v>0</v>
      </c>
    </row>
    <row r="68" spans="1:245" x14ac:dyDescent="0.2">
      <c r="A68">
        <v>17</v>
      </c>
      <c r="B68">
        <v>1</v>
      </c>
      <c r="C68">
        <f>ROW(SmtRes!A170)</f>
        <v>170</v>
      </c>
      <c r="D68">
        <f>ROW(EtalonRes!A179)</f>
        <v>179</v>
      </c>
      <c r="E68" t="s">
        <v>210</v>
      </c>
      <c r="F68" t="s">
        <v>211</v>
      </c>
      <c r="G68" t="s">
        <v>212</v>
      </c>
      <c r="H68" t="s">
        <v>36</v>
      </c>
      <c r="I68">
        <f>ROUND(1.08/100,5)</f>
        <v>1.0800000000000001E-2</v>
      </c>
      <c r="J68">
        <v>0</v>
      </c>
      <c r="O68">
        <f t="shared" si="58"/>
        <v>151.91999999999999</v>
      </c>
      <c r="P68">
        <f t="shared" si="59"/>
        <v>0</v>
      </c>
      <c r="Q68">
        <f t="shared" si="60"/>
        <v>51.74</v>
      </c>
      <c r="R68">
        <f t="shared" si="61"/>
        <v>24.03</v>
      </c>
      <c r="S68">
        <f t="shared" si="62"/>
        <v>100.18</v>
      </c>
      <c r="T68">
        <f t="shared" si="63"/>
        <v>0</v>
      </c>
      <c r="U68">
        <f t="shared" si="64"/>
        <v>0.39067110000000005</v>
      </c>
      <c r="V68">
        <f t="shared" si="65"/>
        <v>5.7773250000000005E-2</v>
      </c>
      <c r="W68">
        <f t="shared" si="66"/>
        <v>0</v>
      </c>
      <c r="X68">
        <f t="shared" si="67"/>
        <v>131.66</v>
      </c>
      <c r="Y68">
        <f t="shared" si="68"/>
        <v>67.069999999999993</v>
      </c>
      <c r="AA68">
        <v>68990560</v>
      </c>
      <c r="AB68">
        <f t="shared" si="69"/>
        <v>733.65</v>
      </c>
      <c r="AC68">
        <f t="shared" si="70"/>
        <v>0</v>
      </c>
      <c r="AD68">
        <f>ROUND((((((ET68*1.25)*1.35))-(((EU68*1.25)*1.35)))+AE68),2)</f>
        <v>458</v>
      </c>
      <c r="AE68">
        <f>ROUND((((EU68*1.25)*1.35)),2)</f>
        <v>66.13</v>
      </c>
      <c r="AF68">
        <f>ROUND((((EV68*1.15)*1.35)),2)</f>
        <v>275.64999999999998</v>
      </c>
      <c r="AG68">
        <f t="shared" si="71"/>
        <v>0</v>
      </c>
      <c r="AH68">
        <f>(((EW68*1.15)*1.35))</f>
        <v>36.173250000000003</v>
      </c>
      <c r="AI68">
        <f>(((EX68*1.25)*1.35))</f>
        <v>5.3493750000000002</v>
      </c>
      <c r="AJ68">
        <f t="shared" si="72"/>
        <v>0</v>
      </c>
      <c r="AK68">
        <v>448.96</v>
      </c>
      <c r="AL68">
        <v>0</v>
      </c>
      <c r="AM68">
        <v>271.41000000000003</v>
      </c>
      <c r="AN68">
        <v>39.19</v>
      </c>
      <c r="AO68">
        <v>177.55</v>
      </c>
      <c r="AP68">
        <v>0</v>
      </c>
      <c r="AQ68">
        <v>23.3</v>
      </c>
      <c r="AR68">
        <v>3.17</v>
      </c>
      <c r="AS68">
        <v>0</v>
      </c>
      <c r="AT68">
        <v>106</v>
      </c>
      <c r="AU68">
        <v>54</v>
      </c>
      <c r="AV68">
        <v>1</v>
      </c>
      <c r="AW68">
        <v>1</v>
      </c>
      <c r="AZ68">
        <v>1</v>
      </c>
      <c r="BA68">
        <v>33.65</v>
      </c>
      <c r="BB68">
        <v>10.46</v>
      </c>
      <c r="BC68">
        <v>1</v>
      </c>
      <c r="BD68" t="s">
        <v>3</v>
      </c>
      <c r="BE68" t="s">
        <v>3</v>
      </c>
      <c r="BF68" t="s">
        <v>3</v>
      </c>
      <c r="BG68" t="s">
        <v>3</v>
      </c>
      <c r="BH68">
        <v>0</v>
      </c>
      <c r="BI68">
        <v>1</v>
      </c>
      <c r="BJ68" t="s">
        <v>213</v>
      </c>
      <c r="BM68">
        <v>10001</v>
      </c>
      <c r="BN68">
        <v>0</v>
      </c>
      <c r="BO68" t="s">
        <v>211</v>
      </c>
      <c r="BP68">
        <v>1</v>
      </c>
      <c r="BQ68">
        <v>2</v>
      </c>
      <c r="BR68">
        <v>0</v>
      </c>
      <c r="BS68">
        <v>33.65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3</v>
      </c>
      <c r="BZ68">
        <v>118</v>
      </c>
      <c r="CA68">
        <v>63</v>
      </c>
      <c r="CE68">
        <v>0</v>
      </c>
      <c r="CF68">
        <v>0</v>
      </c>
      <c r="CG68">
        <v>0</v>
      </c>
      <c r="CM68">
        <v>0</v>
      </c>
      <c r="CN68" t="s">
        <v>1332</v>
      </c>
      <c r="CO68">
        <v>0</v>
      </c>
      <c r="CP68">
        <f t="shared" si="73"/>
        <v>151.92000000000002</v>
      </c>
      <c r="CQ68">
        <f t="shared" si="74"/>
        <v>0</v>
      </c>
      <c r="CR68">
        <f t="shared" si="75"/>
        <v>4790.68</v>
      </c>
      <c r="CS68">
        <f t="shared" si="76"/>
        <v>2225.2744999999995</v>
      </c>
      <c r="CT68">
        <f t="shared" si="77"/>
        <v>9275.6224999999995</v>
      </c>
      <c r="CU68">
        <f t="shared" si="78"/>
        <v>0</v>
      </c>
      <c r="CV68">
        <f t="shared" si="79"/>
        <v>36.173250000000003</v>
      </c>
      <c r="CW68">
        <f t="shared" si="80"/>
        <v>5.3493750000000002</v>
      </c>
      <c r="CX68">
        <f t="shared" si="81"/>
        <v>0</v>
      </c>
      <c r="CY68">
        <f t="shared" si="82"/>
        <v>131.6626</v>
      </c>
      <c r="CZ68">
        <f t="shared" si="83"/>
        <v>67.073400000000007</v>
      </c>
      <c r="DC68" t="s">
        <v>3</v>
      </c>
      <c r="DD68" t="s">
        <v>3</v>
      </c>
      <c r="DE68" t="s">
        <v>146</v>
      </c>
      <c r="DF68" t="s">
        <v>146</v>
      </c>
      <c r="DG68" t="s">
        <v>147</v>
      </c>
      <c r="DH68" t="s">
        <v>3</v>
      </c>
      <c r="DI68" t="s">
        <v>147</v>
      </c>
      <c r="DJ68" t="s">
        <v>146</v>
      </c>
      <c r="DK68" t="s">
        <v>3</v>
      </c>
      <c r="DL68" t="s">
        <v>3</v>
      </c>
      <c r="DM68" t="s">
        <v>3</v>
      </c>
      <c r="DN68">
        <v>0</v>
      </c>
      <c r="DO68">
        <v>0</v>
      </c>
      <c r="DP68">
        <v>1</v>
      </c>
      <c r="DQ68">
        <v>1</v>
      </c>
      <c r="DU68">
        <v>1005</v>
      </c>
      <c r="DV68" t="s">
        <v>36</v>
      </c>
      <c r="DW68" t="s">
        <v>36</v>
      </c>
      <c r="DX68">
        <v>100</v>
      </c>
      <c r="DZ68" t="s">
        <v>3</v>
      </c>
      <c r="EA68" t="s">
        <v>3</v>
      </c>
      <c r="EB68" t="s">
        <v>3</v>
      </c>
      <c r="EC68" t="s">
        <v>3</v>
      </c>
      <c r="EE68">
        <v>64095026</v>
      </c>
      <c r="EF68">
        <v>2</v>
      </c>
      <c r="EG68" t="s">
        <v>13</v>
      </c>
      <c r="EH68">
        <v>0</v>
      </c>
      <c r="EI68" t="s">
        <v>3</v>
      </c>
      <c r="EJ68">
        <v>1</v>
      </c>
      <c r="EK68">
        <v>10001</v>
      </c>
      <c r="EL68" t="s">
        <v>155</v>
      </c>
      <c r="EM68" t="s">
        <v>156</v>
      </c>
      <c r="EO68" t="s">
        <v>150</v>
      </c>
      <c r="EQ68">
        <v>0</v>
      </c>
      <c r="ER68">
        <v>448.96</v>
      </c>
      <c r="ES68">
        <v>0</v>
      </c>
      <c r="ET68">
        <v>271.41000000000003</v>
      </c>
      <c r="EU68">
        <v>39.19</v>
      </c>
      <c r="EV68">
        <v>177.55</v>
      </c>
      <c r="EW68">
        <v>23.3</v>
      </c>
      <c r="EX68">
        <v>3.17</v>
      </c>
      <c r="EY68">
        <v>0</v>
      </c>
      <c r="FQ68">
        <v>0</v>
      </c>
      <c r="FR68">
        <f t="shared" si="84"/>
        <v>0</v>
      </c>
      <c r="FS68">
        <v>0</v>
      </c>
      <c r="FT68" t="s">
        <v>52</v>
      </c>
      <c r="FU68" t="s">
        <v>53</v>
      </c>
      <c r="FX68">
        <v>106.2</v>
      </c>
      <c r="FY68">
        <v>53.55</v>
      </c>
      <c r="GA68" t="s">
        <v>3</v>
      </c>
      <c r="GD68">
        <v>1</v>
      </c>
      <c r="GF68">
        <v>-575124520</v>
      </c>
      <c r="GG68">
        <v>2</v>
      </c>
      <c r="GH68">
        <v>1</v>
      </c>
      <c r="GI68">
        <v>2</v>
      </c>
      <c r="GJ68">
        <v>0</v>
      </c>
      <c r="GK68">
        <v>0</v>
      </c>
      <c r="GL68">
        <f t="shared" si="85"/>
        <v>0</v>
      </c>
      <c r="GM68">
        <f t="shared" si="86"/>
        <v>350.65</v>
      </c>
      <c r="GN68">
        <f t="shared" si="87"/>
        <v>350.65</v>
      </c>
      <c r="GO68">
        <f t="shared" si="88"/>
        <v>0</v>
      </c>
      <c r="GP68">
        <f t="shared" si="89"/>
        <v>0</v>
      </c>
      <c r="GR68">
        <v>0</v>
      </c>
      <c r="GS68">
        <v>3</v>
      </c>
      <c r="GT68">
        <v>0</v>
      </c>
      <c r="GU68" t="s">
        <v>3</v>
      </c>
      <c r="GV68">
        <f t="shared" si="90"/>
        <v>0</v>
      </c>
      <c r="GW68">
        <v>1</v>
      </c>
      <c r="GX68">
        <f t="shared" si="91"/>
        <v>0</v>
      </c>
      <c r="HA68">
        <v>0</v>
      </c>
      <c r="HB68">
        <v>0</v>
      </c>
      <c r="HC68">
        <f t="shared" si="92"/>
        <v>0</v>
      </c>
      <c r="HE68" t="s">
        <v>3</v>
      </c>
      <c r="HF68" t="s">
        <v>3</v>
      </c>
      <c r="IK68">
        <v>0</v>
      </c>
    </row>
    <row r="69" spans="1:245" x14ac:dyDescent="0.2">
      <c r="A69">
        <v>18</v>
      </c>
      <c r="B69">
        <v>1</v>
      </c>
      <c r="C69">
        <v>170</v>
      </c>
      <c r="E69" t="s">
        <v>214</v>
      </c>
      <c r="F69" t="s">
        <v>215</v>
      </c>
      <c r="G69" t="s">
        <v>216</v>
      </c>
      <c r="H69" t="s">
        <v>46</v>
      </c>
      <c r="I69">
        <f>I68*J69</f>
        <v>1.08</v>
      </c>
      <c r="J69">
        <v>100</v>
      </c>
      <c r="O69">
        <f t="shared" si="58"/>
        <v>1192.07</v>
      </c>
      <c r="P69">
        <f t="shared" si="59"/>
        <v>1192.07</v>
      </c>
      <c r="Q69">
        <f t="shared" si="60"/>
        <v>0</v>
      </c>
      <c r="R69">
        <f t="shared" si="61"/>
        <v>0</v>
      </c>
      <c r="S69">
        <f t="shared" si="62"/>
        <v>0</v>
      </c>
      <c r="T69">
        <f t="shared" si="63"/>
        <v>0</v>
      </c>
      <c r="U69">
        <f t="shared" si="64"/>
        <v>0</v>
      </c>
      <c r="V69">
        <f t="shared" si="65"/>
        <v>0</v>
      </c>
      <c r="W69">
        <f t="shared" si="66"/>
        <v>0</v>
      </c>
      <c r="X69">
        <f t="shared" si="67"/>
        <v>0</v>
      </c>
      <c r="Y69">
        <f t="shared" si="68"/>
        <v>0</v>
      </c>
      <c r="AA69">
        <v>68990560</v>
      </c>
      <c r="AB69">
        <f t="shared" si="69"/>
        <v>169.81</v>
      </c>
      <c r="AC69">
        <f t="shared" si="70"/>
        <v>169.81</v>
      </c>
      <c r="AD69">
        <f>ROUND((((ET69)-(EU69))+AE69),2)</f>
        <v>0</v>
      </c>
      <c r="AE69">
        <f>ROUND((EU69),2)</f>
        <v>0</v>
      </c>
      <c r="AF69">
        <f>ROUND((EV69),2)</f>
        <v>0</v>
      </c>
      <c r="AG69">
        <f t="shared" si="71"/>
        <v>0</v>
      </c>
      <c r="AH69">
        <f>(EW69)</f>
        <v>0</v>
      </c>
      <c r="AI69">
        <f>(EX69)</f>
        <v>0</v>
      </c>
      <c r="AJ69">
        <f t="shared" si="72"/>
        <v>0</v>
      </c>
      <c r="AK69">
        <v>169.81</v>
      </c>
      <c r="AL69">
        <v>169.81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106</v>
      </c>
      <c r="AU69">
        <v>54</v>
      </c>
      <c r="AV69">
        <v>1</v>
      </c>
      <c r="AW69">
        <v>1</v>
      </c>
      <c r="AZ69">
        <v>1</v>
      </c>
      <c r="BA69">
        <v>1</v>
      </c>
      <c r="BB69">
        <v>1</v>
      </c>
      <c r="BC69">
        <v>6.5</v>
      </c>
      <c r="BD69" t="s">
        <v>3</v>
      </c>
      <c r="BE69" t="s">
        <v>3</v>
      </c>
      <c r="BF69" t="s">
        <v>3</v>
      </c>
      <c r="BG69" t="s">
        <v>3</v>
      </c>
      <c r="BH69">
        <v>3</v>
      </c>
      <c r="BI69">
        <v>1</v>
      </c>
      <c r="BJ69" t="s">
        <v>217</v>
      </c>
      <c r="BM69">
        <v>10001</v>
      </c>
      <c r="BN69">
        <v>0</v>
      </c>
      <c r="BO69" t="s">
        <v>215</v>
      </c>
      <c r="BP69">
        <v>1</v>
      </c>
      <c r="BQ69">
        <v>2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3</v>
      </c>
      <c r="BZ69">
        <v>118</v>
      </c>
      <c r="CA69">
        <v>63</v>
      </c>
      <c r="CE69">
        <v>0</v>
      </c>
      <c r="CF69">
        <v>0</v>
      </c>
      <c r="CG69">
        <v>0</v>
      </c>
      <c r="CM69">
        <v>0</v>
      </c>
      <c r="CN69" t="s">
        <v>3</v>
      </c>
      <c r="CO69">
        <v>0</v>
      </c>
      <c r="CP69">
        <f t="shared" si="73"/>
        <v>1192.07</v>
      </c>
      <c r="CQ69">
        <f t="shared" si="74"/>
        <v>1103.7650000000001</v>
      </c>
      <c r="CR69">
        <f t="shared" si="75"/>
        <v>0</v>
      </c>
      <c r="CS69">
        <f t="shared" si="76"/>
        <v>0</v>
      </c>
      <c r="CT69">
        <f t="shared" si="77"/>
        <v>0</v>
      </c>
      <c r="CU69">
        <f t="shared" si="78"/>
        <v>0</v>
      </c>
      <c r="CV69">
        <f t="shared" si="79"/>
        <v>0</v>
      </c>
      <c r="CW69">
        <f t="shared" si="80"/>
        <v>0</v>
      </c>
      <c r="CX69">
        <f t="shared" si="81"/>
        <v>0</v>
      </c>
      <c r="CY69">
        <f t="shared" si="82"/>
        <v>0</v>
      </c>
      <c r="CZ69">
        <f t="shared" si="83"/>
        <v>0</v>
      </c>
      <c r="DC69" t="s">
        <v>3</v>
      </c>
      <c r="DD69" t="s">
        <v>3</v>
      </c>
      <c r="DE69" t="s">
        <v>3</v>
      </c>
      <c r="DF69" t="s">
        <v>3</v>
      </c>
      <c r="DG69" t="s">
        <v>3</v>
      </c>
      <c r="DH69" t="s">
        <v>3</v>
      </c>
      <c r="DI69" t="s">
        <v>3</v>
      </c>
      <c r="DJ69" t="s">
        <v>3</v>
      </c>
      <c r="DK69" t="s">
        <v>3</v>
      </c>
      <c r="DL69" t="s">
        <v>3</v>
      </c>
      <c r="DM69" t="s">
        <v>3</v>
      </c>
      <c r="DN69">
        <v>0</v>
      </c>
      <c r="DO69">
        <v>0</v>
      </c>
      <c r="DP69">
        <v>1</v>
      </c>
      <c r="DQ69">
        <v>1</v>
      </c>
      <c r="DU69">
        <v>1005</v>
      </c>
      <c r="DV69" t="s">
        <v>46</v>
      </c>
      <c r="DW69" t="s">
        <v>46</v>
      </c>
      <c r="DX69">
        <v>1</v>
      </c>
      <c r="DZ69" t="s">
        <v>3</v>
      </c>
      <c r="EA69" t="s">
        <v>3</v>
      </c>
      <c r="EB69" t="s">
        <v>3</v>
      </c>
      <c r="EC69" t="s">
        <v>3</v>
      </c>
      <c r="EE69">
        <v>64095026</v>
      </c>
      <c r="EF69">
        <v>2</v>
      </c>
      <c r="EG69" t="s">
        <v>13</v>
      </c>
      <c r="EH69">
        <v>0</v>
      </c>
      <c r="EI69" t="s">
        <v>3</v>
      </c>
      <c r="EJ69">
        <v>1</v>
      </c>
      <c r="EK69">
        <v>10001</v>
      </c>
      <c r="EL69" t="s">
        <v>155</v>
      </c>
      <c r="EM69" t="s">
        <v>156</v>
      </c>
      <c r="EO69" t="s">
        <v>3</v>
      </c>
      <c r="EQ69">
        <v>0</v>
      </c>
      <c r="ER69">
        <v>169.81</v>
      </c>
      <c r="ES69">
        <v>169.81</v>
      </c>
      <c r="ET69">
        <v>0</v>
      </c>
      <c r="EU69">
        <v>0</v>
      </c>
      <c r="EV69">
        <v>0</v>
      </c>
      <c r="EW69">
        <v>0</v>
      </c>
      <c r="EX69">
        <v>0</v>
      </c>
      <c r="FQ69">
        <v>0</v>
      </c>
      <c r="FR69">
        <f t="shared" si="84"/>
        <v>0</v>
      </c>
      <c r="FS69">
        <v>0</v>
      </c>
      <c r="FT69" t="s">
        <v>52</v>
      </c>
      <c r="FU69" t="s">
        <v>53</v>
      </c>
      <c r="FX69">
        <v>106.2</v>
      </c>
      <c r="FY69">
        <v>53.55</v>
      </c>
      <c r="GA69" t="s">
        <v>3</v>
      </c>
      <c r="GD69">
        <v>1</v>
      </c>
      <c r="GF69">
        <v>-795296982</v>
      </c>
      <c r="GG69">
        <v>2</v>
      </c>
      <c r="GH69">
        <v>1</v>
      </c>
      <c r="GI69">
        <v>2</v>
      </c>
      <c r="GJ69">
        <v>0</v>
      </c>
      <c r="GK69">
        <v>0</v>
      </c>
      <c r="GL69">
        <f t="shared" si="85"/>
        <v>0</v>
      </c>
      <c r="GM69">
        <f t="shared" si="86"/>
        <v>1192.07</v>
      </c>
      <c r="GN69">
        <f t="shared" si="87"/>
        <v>1192.07</v>
      </c>
      <c r="GO69">
        <f t="shared" si="88"/>
        <v>0</v>
      </c>
      <c r="GP69">
        <f t="shared" si="89"/>
        <v>0</v>
      </c>
      <c r="GR69">
        <v>0</v>
      </c>
      <c r="GS69">
        <v>3</v>
      </c>
      <c r="GT69">
        <v>0</v>
      </c>
      <c r="GU69" t="s">
        <v>3</v>
      </c>
      <c r="GV69">
        <f t="shared" si="90"/>
        <v>0</v>
      </c>
      <c r="GW69">
        <v>1</v>
      </c>
      <c r="GX69">
        <f t="shared" si="91"/>
        <v>0</v>
      </c>
      <c r="HA69">
        <v>0</v>
      </c>
      <c r="HB69">
        <v>0</v>
      </c>
      <c r="HC69">
        <f t="shared" si="92"/>
        <v>0</v>
      </c>
      <c r="HE69" t="s">
        <v>3</v>
      </c>
      <c r="HF69" t="s">
        <v>3</v>
      </c>
      <c r="IK69">
        <v>0</v>
      </c>
    </row>
    <row r="70" spans="1:245" x14ac:dyDescent="0.2">
      <c r="A70">
        <v>17</v>
      </c>
      <c r="B70">
        <v>1</v>
      </c>
      <c r="C70">
        <f>ROW(SmtRes!A183)</f>
        <v>183</v>
      </c>
      <c r="D70">
        <f>ROW(EtalonRes!A191)</f>
        <v>191</v>
      </c>
      <c r="E70" t="s">
        <v>218</v>
      </c>
      <c r="F70" t="s">
        <v>219</v>
      </c>
      <c r="G70" t="s">
        <v>220</v>
      </c>
      <c r="H70" t="s">
        <v>36</v>
      </c>
      <c r="I70">
        <f>ROUND(5/100,5)</f>
        <v>0.05</v>
      </c>
      <c r="J70">
        <v>0</v>
      </c>
      <c r="O70">
        <f t="shared" si="58"/>
        <v>10073.82</v>
      </c>
      <c r="P70">
        <f t="shared" si="59"/>
        <v>2932.77</v>
      </c>
      <c r="Q70">
        <f t="shared" si="60"/>
        <v>54.29</v>
      </c>
      <c r="R70">
        <f t="shared" si="61"/>
        <v>49.77</v>
      </c>
      <c r="S70">
        <f t="shared" si="62"/>
        <v>7086.76</v>
      </c>
      <c r="T70">
        <f t="shared" si="63"/>
        <v>0</v>
      </c>
      <c r="U70">
        <f t="shared" si="64"/>
        <v>24.096352500000005</v>
      </c>
      <c r="V70">
        <f t="shared" si="65"/>
        <v>0.14596875000000004</v>
      </c>
      <c r="W70">
        <f t="shared" si="66"/>
        <v>0</v>
      </c>
      <c r="X70">
        <f t="shared" si="67"/>
        <v>7921.55</v>
      </c>
      <c r="Y70">
        <f t="shared" si="68"/>
        <v>4567.38</v>
      </c>
      <c r="AA70">
        <v>68990560</v>
      </c>
      <c r="AB70">
        <f t="shared" si="69"/>
        <v>18664.89</v>
      </c>
      <c r="AC70">
        <f t="shared" si="70"/>
        <v>14411.64</v>
      </c>
      <c r="AD70">
        <f>ROUND((((((ET70*1.25)*1.35))-(((EU70*1.25)*1.35)))+AE70),2)</f>
        <v>41.21</v>
      </c>
      <c r="AE70">
        <f>ROUND((((EU70*1.25)*1.35)),2)</f>
        <v>29.58</v>
      </c>
      <c r="AF70">
        <f>ROUND((((EV70*1.15)*1.35)),2)</f>
        <v>4212.04</v>
      </c>
      <c r="AG70">
        <f t="shared" si="71"/>
        <v>0</v>
      </c>
      <c r="AH70">
        <f>(((EW70*1.15)*1.35))</f>
        <v>481.92705000000007</v>
      </c>
      <c r="AI70">
        <f>(((EX70*1.25)*1.35))</f>
        <v>2.9193750000000005</v>
      </c>
      <c r="AJ70">
        <f t="shared" si="72"/>
        <v>0</v>
      </c>
      <c r="AK70">
        <v>17149.13</v>
      </c>
      <c r="AL70">
        <v>14411.64</v>
      </c>
      <c r="AM70">
        <v>24.42</v>
      </c>
      <c r="AN70">
        <v>17.53</v>
      </c>
      <c r="AO70">
        <v>2713.07</v>
      </c>
      <c r="AP70">
        <v>0</v>
      </c>
      <c r="AQ70">
        <v>310.42</v>
      </c>
      <c r="AR70">
        <v>1.73</v>
      </c>
      <c r="AS70">
        <v>0</v>
      </c>
      <c r="AT70">
        <v>111</v>
      </c>
      <c r="AU70">
        <v>64</v>
      </c>
      <c r="AV70">
        <v>1</v>
      </c>
      <c r="AW70">
        <v>1</v>
      </c>
      <c r="AZ70">
        <v>1</v>
      </c>
      <c r="BA70">
        <v>33.65</v>
      </c>
      <c r="BB70">
        <v>26.35</v>
      </c>
      <c r="BC70">
        <v>4.07</v>
      </c>
      <c r="BD70" t="s">
        <v>3</v>
      </c>
      <c r="BE70" t="s">
        <v>3</v>
      </c>
      <c r="BF70" t="s">
        <v>3</v>
      </c>
      <c r="BG70" t="s">
        <v>3</v>
      </c>
      <c r="BH70">
        <v>0</v>
      </c>
      <c r="BI70">
        <v>1</v>
      </c>
      <c r="BJ70" t="s">
        <v>221</v>
      </c>
      <c r="BM70">
        <v>11001</v>
      </c>
      <c r="BN70">
        <v>0</v>
      </c>
      <c r="BO70" t="s">
        <v>219</v>
      </c>
      <c r="BP70">
        <v>1</v>
      </c>
      <c r="BQ70">
        <v>2</v>
      </c>
      <c r="BR70">
        <v>0</v>
      </c>
      <c r="BS70">
        <v>33.65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3</v>
      </c>
      <c r="BZ70">
        <v>123</v>
      </c>
      <c r="CA70">
        <v>75</v>
      </c>
      <c r="CE70">
        <v>0</v>
      </c>
      <c r="CF70">
        <v>0</v>
      </c>
      <c r="CG70">
        <v>0</v>
      </c>
      <c r="CM70">
        <v>0</v>
      </c>
      <c r="CN70" t="s">
        <v>1332</v>
      </c>
      <c r="CO70">
        <v>0</v>
      </c>
      <c r="CP70">
        <f t="shared" si="73"/>
        <v>10073.82</v>
      </c>
      <c r="CQ70">
        <f t="shared" si="74"/>
        <v>58655.374800000005</v>
      </c>
      <c r="CR70">
        <f t="shared" si="75"/>
        <v>1085.8835000000001</v>
      </c>
      <c r="CS70">
        <f t="shared" si="76"/>
        <v>995.36699999999985</v>
      </c>
      <c r="CT70">
        <f t="shared" si="77"/>
        <v>141735.14599999998</v>
      </c>
      <c r="CU70">
        <f t="shared" si="78"/>
        <v>0</v>
      </c>
      <c r="CV70">
        <f t="shared" si="79"/>
        <v>481.92705000000007</v>
      </c>
      <c r="CW70">
        <f t="shared" si="80"/>
        <v>2.9193750000000005</v>
      </c>
      <c r="CX70">
        <f t="shared" si="81"/>
        <v>0</v>
      </c>
      <c r="CY70">
        <f t="shared" si="82"/>
        <v>7921.5483000000004</v>
      </c>
      <c r="CZ70">
        <f t="shared" si="83"/>
        <v>4567.3792000000003</v>
      </c>
      <c r="DC70" t="s">
        <v>3</v>
      </c>
      <c r="DD70" t="s">
        <v>3</v>
      </c>
      <c r="DE70" t="s">
        <v>146</v>
      </c>
      <c r="DF70" t="s">
        <v>146</v>
      </c>
      <c r="DG70" t="s">
        <v>147</v>
      </c>
      <c r="DH70" t="s">
        <v>3</v>
      </c>
      <c r="DI70" t="s">
        <v>147</v>
      </c>
      <c r="DJ70" t="s">
        <v>146</v>
      </c>
      <c r="DK70" t="s">
        <v>3</v>
      </c>
      <c r="DL70" t="s">
        <v>3</v>
      </c>
      <c r="DM70" t="s">
        <v>3</v>
      </c>
      <c r="DN70">
        <v>0</v>
      </c>
      <c r="DO70">
        <v>0</v>
      </c>
      <c r="DP70">
        <v>1</v>
      </c>
      <c r="DQ70">
        <v>1</v>
      </c>
      <c r="DU70">
        <v>1005</v>
      </c>
      <c r="DV70" t="s">
        <v>36</v>
      </c>
      <c r="DW70" t="s">
        <v>36</v>
      </c>
      <c r="DX70">
        <v>100</v>
      </c>
      <c r="DZ70" t="s">
        <v>3</v>
      </c>
      <c r="EA70" t="s">
        <v>3</v>
      </c>
      <c r="EB70" t="s">
        <v>3</v>
      </c>
      <c r="EC70" t="s">
        <v>3</v>
      </c>
      <c r="EE70">
        <v>64095027</v>
      </c>
      <c r="EF70">
        <v>2</v>
      </c>
      <c r="EG70" t="s">
        <v>13</v>
      </c>
      <c r="EH70">
        <v>0</v>
      </c>
      <c r="EI70" t="s">
        <v>3</v>
      </c>
      <c r="EJ70">
        <v>1</v>
      </c>
      <c r="EK70">
        <v>11001</v>
      </c>
      <c r="EL70" t="s">
        <v>92</v>
      </c>
      <c r="EM70" t="s">
        <v>222</v>
      </c>
      <c r="EO70" t="s">
        <v>150</v>
      </c>
      <c r="EQ70">
        <v>0</v>
      </c>
      <c r="ER70">
        <v>17149.13</v>
      </c>
      <c r="ES70">
        <v>14411.64</v>
      </c>
      <c r="ET70">
        <v>24.42</v>
      </c>
      <c r="EU70">
        <v>17.53</v>
      </c>
      <c r="EV70">
        <v>2713.07</v>
      </c>
      <c r="EW70">
        <v>310.42</v>
      </c>
      <c r="EX70">
        <v>1.73</v>
      </c>
      <c r="EY70">
        <v>0</v>
      </c>
      <c r="FQ70">
        <v>0</v>
      </c>
      <c r="FR70">
        <f t="shared" si="84"/>
        <v>0</v>
      </c>
      <c r="FS70">
        <v>0</v>
      </c>
      <c r="FT70" t="s">
        <v>52</v>
      </c>
      <c r="FU70" t="s">
        <v>53</v>
      </c>
      <c r="FX70">
        <v>110.7</v>
      </c>
      <c r="FY70">
        <v>63.75</v>
      </c>
      <c r="GA70" t="s">
        <v>3</v>
      </c>
      <c r="GD70">
        <v>1</v>
      </c>
      <c r="GF70">
        <v>-2061696186</v>
      </c>
      <c r="GG70">
        <v>2</v>
      </c>
      <c r="GH70">
        <v>1</v>
      </c>
      <c r="GI70">
        <v>2</v>
      </c>
      <c r="GJ70">
        <v>0</v>
      </c>
      <c r="GK70">
        <v>0</v>
      </c>
      <c r="GL70">
        <f t="shared" si="85"/>
        <v>0</v>
      </c>
      <c r="GM70">
        <f t="shared" si="86"/>
        <v>22562.75</v>
      </c>
      <c r="GN70">
        <f t="shared" si="87"/>
        <v>22562.75</v>
      </c>
      <c r="GO70">
        <f t="shared" si="88"/>
        <v>0</v>
      </c>
      <c r="GP70">
        <f t="shared" si="89"/>
        <v>0</v>
      </c>
      <c r="GR70">
        <v>0</v>
      </c>
      <c r="GS70">
        <v>3</v>
      </c>
      <c r="GT70">
        <v>0</v>
      </c>
      <c r="GU70" t="s">
        <v>3</v>
      </c>
      <c r="GV70">
        <f t="shared" si="90"/>
        <v>0</v>
      </c>
      <c r="GW70">
        <v>1</v>
      </c>
      <c r="GX70">
        <f t="shared" si="91"/>
        <v>0</v>
      </c>
      <c r="HA70">
        <v>0</v>
      </c>
      <c r="HB70">
        <v>0</v>
      </c>
      <c r="HC70">
        <f t="shared" si="92"/>
        <v>0</v>
      </c>
      <c r="HE70" t="s">
        <v>3</v>
      </c>
      <c r="HF70" t="s">
        <v>3</v>
      </c>
      <c r="IK70">
        <v>0</v>
      </c>
    </row>
    <row r="71" spans="1:245" x14ac:dyDescent="0.2">
      <c r="A71">
        <v>18</v>
      </c>
      <c r="B71">
        <v>1</v>
      </c>
      <c r="C71">
        <v>181</v>
      </c>
      <c r="E71" t="s">
        <v>223</v>
      </c>
      <c r="F71" t="s">
        <v>224</v>
      </c>
      <c r="G71" t="s">
        <v>225</v>
      </c>
      <c r="H71" t="s">
        <v>113</v>
      </c>
      <c r="I71">
        <f>I70*J71</f>
        <v>5.0000000000000001E-4</v>
      </c>
      <c r="J71">
        <v>0.01</v>
      </c>
      <c r="O71">
        <f t="shared" si="58"/>
        <v>7.05</v>
      </c>
      <c r="P71">
        <f t="shared" si="59"/>
        <v>7.05</v>
      </c>
      <c r="Q71">
        <f t="shared" si="60"/>
        <v>0</v>
      </c>
      <c r="R71">
        <f t="shared" si="61"/>
        <v>0</v>
      </c>
      <c r="S71">
        <f t="shared" si="62"/>
        <v>0</v>
      </c>
      <c r="T71">
        <f t="shared" si="63"/>
        <v>0</v>
      </c>
      <c r="U71">
        <f t="shared" si="64"/>
        <v>0</v>
      </c>
      <c r="V71">
        <f t="shared" si="65"/>
        <v>0</v>
      </c>
      <c r="W71">
        <f t="shared" si="66"/>
        <v>0</v>
      </c>
      <c r="X71">
        <f t="shared" si="67"/>
        <v>0</v>
      </c>
      <c r="Y71">
        <f t="shared" si="68"/>
        <v>0</v>
      </c>
      <c r="AA71">
        <v>68990560</v>
      </c>
      <c r="AB71">
        <f t="shared" si="69"/>
        <v>2500</v>
      </c>
      <c r="AC71">
        <f t="shared" si="70"/>
        <v>2500</v>
      </c>
      <c r="AD71">
        <f>ROUND((((ET71)-(EU71))+AE71),2)</f>
        <v>0</v>
      </c>
      <c r="AE71">
        <f t="shared" ref="AE71:AF75" si="93">ROUND((EU71),2)</f>
        <v>0</v>
      </c>
      <c r="AF71">
        <f t="shared" si="93"/>
        <v>0</v>
      </c>
      <c r="AG71">
        <f t="shared" si="71"/>
        <v>0</v>
      </c>
      <c r="AH71">
        <f t="shared" ref="AH71:AI75" si="94">(EW71)</f>
        <v>0</v>
      </c>
      <c r="AI71">
        <f t="shared" si="94"/>
        <v>0</v>
      </c>
      <c r="AJ71">
        <f t="shared" si="72"/>
        <v>0</v>
      </c>
      <c r="AK71">
        <v>2500</v>
      </c>
      <c r="AL71">
        <v>2500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111</v>
      </c>
      <c r="AU71">
        <v>64</v>
      </c>
      <c r="AV71">
        <v>1</v>
      </c>
      <c r="AW71">
        <v>1</v>
      </c>
      <c r="AZ71">
        <v>1</v>
      </c>
      <c r="BA71">
        <v>1</v>
      </c>
      <c r="BB71">
        <v>1</v>
      </c>
      <c r="BC71">
        <v>5.64</v>
      </c>
      <c r="BD71" t="s">
        <v>3</v>
      </c>
      <c r="BE71" t="s">
        <v>3</v>
      </c>
      <c r="BF71" t="s">
        <v>3</v>
      </c>
      <c r="BG71" t="s">
        <v>3</v>
      </c>
      <c r="BH71">
        <v>3</v>
      </c>
      <c r="BI71">
        <v>1</v>
      </c>
      <c r="BJ71" t="s">
        <v>226</v>
      </c>
      <c r="BM71">
        <v>11001</v>
      </c>
      <c r="BN71">
        <v>0</v>
      </c>
      <c r="BO71" t="s">
        <v>224</v>
      </c>
      <c r="BP71">
        <v>1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3</v>
      </c>
      <c r="BZ71">
        <v>123</v>
      </c>
      <c r="CA71">
        <v>75</v>
      </c>
      <c r="CE71">
        <v>0</v>
      </c>
      <c r="CF71">
        <v>0</v>
      </c>
      <c r="CG71">
        <v>0</v>
      </c>
      <c r="CM71">
        <v>0</v>
      </c>
      <c r="CN71" t="s">
        <v>3</v>
      </c>
      <c r="CO71">
        <v>0</v>
      </c>
      <c r="CP71">
        <f t="shared" si="73"/>
        <v>7.05</v>
      </c>
      <c r="CQ71">
        <f t="shared" si="74"/>
        <v>14100</v>
      </c>
      <c r="CR71">
        <f t="shared" si="75"/>
        <v>0</v>
      </c>
      <c r="CS71">
        <f t="shared" si="76"/>
        <v>0</v>
      </c>
      <c r="CT71">
        <f t="shared" si="77"/>
        <v>0</v>
      </c>
      <c r="CU71">
        <f t="shared" si="78"/>
        <v>0</v>
      </c>
      <c r="CV71">
        <f t="shared" si="79"/>
        <v>0</v>
      </c>
      <c r="CW71">
        <f t="shared" si="80"/>
        <v>0</v>
      </c>
      <c r="CX71">
        <f t="shared" si="81"/>
        <v>0</v>
      </c>
      <c r="CY71">
        <f t="shared" si="82"/>
        <v>0</v>
      </c>
      <c r="CZ71">
        <f t="shared" si="83"/>
        <v>0</v>
      </c>
      <c r="DC71" t="s">
        <v>3</v>
      </c>
      <c r="DD71" t="s">
        <v>3</v>
      </c>
      <c r="DE71" t="s">
        <v>3</v>
      </c>
      <c r="DF71" t="s">
        <v>3</v>
      </c>
      <c r="DG71" t="s">
        <v>3</v>
      </c>
      <c r="DH71" t="s">
        <v>3</v>
      </c>
      <c r="DI71" t="s">
        <v>3</v>
      </c>
      <c r="DJ71" t="s">
        <v>3</v>
      </c>
      <c r="DK71" t="s">
        <v>3</v>
      </c>
      <c r="DL71" t="s">
        <v>3</v>
      </c>
      <c r="DM71" t="s">
        <v>3</v>
      </c>
      <c r="DN71">
        <v>0</v>
      </c>
      <c r="DO71">
        <v>0</v>
      </c>
      <c r="DP71">
        <v>1</v>
      </c>
      <c r="DQ71">
        <v>1</v>
      </c>
      <c r="DU71">
        <v>1007</v>
      </c>
      <c r="DV71" t="s">
        <v>113</v>
      </c>
      <c r="DW71" t="s">
        <v>113</v>
      </c>
      <c r="DX71">
        <v>1</v>
      </c>
      <c r="DZ71" t="s">
        <v>3</v>
      </c>
      <c r="EA71" t="s">
        <v>3</v>
      </c>
      <c r="EB71" t="s">
        <v>3</v>
      </c>
      <c r="EC71" t="s">
        <v>3</v>
      </c>
      <c r="EE71">
        <v>64095027</v>
      </c>
      <c r="EF71">
        <v>2</v>
      </c>
      <c r="EG71" t="s">
        <v>13</v>
      </c>
      <c r="EH71">
        <v>0</v>
      </c>
      <c r="EI71" t="s">
        <v>3</v>
      </c>
      <c r="EJ71">
        <v>1</v>
      </c>
      <c r="EK71">
        <v>11001</v>
      </c>
      <c r="EL71" t="s">
        <v>92</v>
      </c>
      <c r="EM71" t="s">
        <v>222</v>
      </c>
      <c r="EO71" t="s">
        <v>3</v>
      </c>
      <c r="EQ71">
        <v>0</v>
      </c>
      <c r="ER71">
        <v>2500</v>
      </c>
      <c r="ES71">
        <v>2500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84"/>
        <v>0</v>
      </c>
      <c r="FS71">
        <v>0</v>
      </c>
      <c r="FT71" t="s">
        <v>52</v>
      </c>
      <c r="FU71" t="s">
        <v>53</v>
      </c>
      <c r="FX71">
        <v>110.7</v>
      </c>
      <c r="FY71">
        <v>63.75</v>
      </c>
      <c r="GA71" t="s">
        <v>3</v>
      </c>
      <c r="GD71">
        <v>1</v>
      </c>
      <c r="GF71">
        <v>-139823753</v>
      </c>
      <c r="GG71">
        <v>2</v>
      </c>
      <c r="GH71">
        <v>1</v>
      </c>
      <c r="GI71">
        <v>2</v>
      </c>
      <c r="GJ71">
        <v>0</v>
      </c>
      <c r="GK71">
        <v>0</v>
      </c>
      <c r="GL71">
        <f t="shared" si="85"/>
        <v>0</v>
      </c>
      <c r="GM71">
        <f t="shared" si="86"/>
        <v>7.05</v>
      </c>
      <c r="GN71">
        <f t="shared" si="87"/>
        <v>7.05</v>
      </c>
      <c r="GO71">
        <f t="shared" si="88"/>
        <v>0</v>
      </c>
      <c r="GP71">
        <f t="shared" si="89"/>
        <v>0</v>
      </c>
      <c r="GR71">
        <v>0</v>
      </c>
      <c r="GS71">
        <v>3</v>
      </c>
      <c r="GT71">
        <v>0</v>
      </c>
      <c r="GU71" t="s">
        <v>3</v>
      </c>
      <c r="GV71">
        <f t="shared" si="90"/>
        <v>0</v>
      </c>
      <c r="GW71">
        <v>1</v>
      </c>
      <c r="GX71">
        <f t="shared" si="91"/>
        <v>0</v>
      </c>
      <c r="HA71">
        <v>0</v>
      </c>
      <c r="HB71">
        <v>0</v>
      </c>
      <c r="HC71">
        <f t="shared" si="92"/>
        <v>0</v>
      </c>
      <c r="HE71" t="s">
        <v>3</v>
      </c>
      <c r="HF71" t="s">
        <v>3</v>
      </c>
      <c r="IK71">
        <v>0</v>
      </c>
    </row>
    <row r="72" spans="1:245" x14ac:dyDescent="0.2">
      <c r="A72">
        <v>18</v>
      </c>
      <c r="B72">
        <v>1</v>
      </c>
      <c r="C72">
        <v>182</v>
      </c>
      <c r="E72" t="s">
        <v>227</v>
      </c>
      <c r="F72" t="s">
        <v>228</v>
      </c>
      <c r="G72" t="s">
        <v>229</v>
      </c>
      <c r="H72" t="s">
        <v>71</v>
      </c>
      <c r="I72">
        <f>I70*J72</f>
        <v>0.06</v>
      </c>
      <c r="J72">
        <v>1.2</v>
      </c>
      <c r="O72">
        <f t="shared" si="58"/>
        <v>836.44</v>
      </c>
      <c r="P72">
        <f t="shared" si="59"/>
        <v>836.44</v>
      </c>
      <c r="Q72">
        <f t="shared" si="60"/>
        <v>0</v>
      </c>
      <c r="R72">
        <f t="shared" si="61"/>
        <v>0</v>
      </c>
      <c r="S72">
        <f t="shared" si="62"/>
        <v>0</v>
      </c>
      <c r="T72">
        <f t="shared" si="63"/>
        <v>0</v>
      </c>
      <c r="U72">
        <f t="shared" si="64"/>
        <v>0</v>
      </c>
      <c r="V72">
        <f t="shared" si="65"/>
        <v>0</v>
      </c>
      <c r="W72">
        <f t="shared" si="66"/>
        <v>0</v>
      </c>
      <c r="X72">
        <f t="shared" si="67"/>
        <v>0</v>
      </c>
      <c r="Y72">
        <f t="shared" si="68"/>
        <v>0</v>
      </c>
      <c r="AA72">
        <v>68990560</v>
      </c>
      <c r="AB72">
        <f t="shared" si="69"/>
        <v>4316</v>
      </c>
      <c r="AC72">
        <f t="shared" si="70"/>
        <v>4316</v>
      </c>
      <c r="AD72">
        <f>ROUND((((ET72)-(EU72))+AE72),2)</f>
        <v>0</v>
      </c>
      <c r="AE72">
        <f t="shared" si="93"/>
        <v>0</v>
      </c>
      <c r="AF72">
        <f t="shared" si="93"/>
        <v>0</v>
      </c>
      <c r="AG72">
        <f t="shared" si="71"/>
        <v>0</v>
      </c>
      <c r="AH72">
        <f t="shared" si="94"/>
        <v>0</v>
      </c>
      <c r="AI72">
        <f t="shared" si="94"/>
        <v>0</v>
      </c>
      <c r="AJ72">
        <f t="shared" si="72"/>
        <v>0</v>
      </c>
      <c r="AK72">
        <v>4316</v>
      </c>
      <c r="AL72">
        <v>4316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111</v>
      </c>
      <c r="AU72">
        <v>64</v>
      </c>
      <c r="AV72">
        <v>1</v>
      </c>
      <c r="AW72">
        <v>1</v>
      </c>
      <c r="AZ72">
        <v>1</v>
      </c>
      <c r="BA72">
        <v>1</v>
      </c>
      <c r="BB72">
        <v>1</v>
      </c>
      <c r="BC72">
        <v>3.23</v>
      </c>
      <c r="BD72" t="s">
        <v>3</v>
      </c>
      <c r="BE72" t="s">
        <v>3</v>
      </c>
      <c r="BF72" t="s">
        <v>3</v>
      </c>
      <c r="BG72" t="s">
        <v>3</v>
      </c>
      <c r="BH72">
        <v>3</v>
      </c>
      <c r="BI72">
        <v>1</v>
      </c>
      <c r="BJ72" t="s">
        <v>230</v>
      </c>
      <c r="BM72">
        <v>11001</v>
      </c>
      <c r="BN72">
        <v>0</v>
      </c>
      <c r="BO72" t="s">
        <v>228</v>
      </c>
      <c r="BP72">
        <v>1</v>
      </c>
      <c r="BQ72">
        <v>2</v>
      </c>
      <c r="BR72">
        <v>0</v>
      </c>
      <c r="BS72">
        <v>1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3</v>
      </c>
      <c r="BZ72">
        <v>123</v>
      </c>
      <c r="CA72">
        <v>75</v>
      </c>
      <c r="CE72">
        <v>0</v>
      </c>
      <c r="CF72">
        <v>0</v>
      </c>
      <c r="CG72">
        <v>0</v>
      </c>
      <c r="CM72">
        <v>0</v>
      </c>
      <c r="CN72" t="s">
        <v>3</v>
      </c>
      <c r="CO72">
        <v>0</v>
      </c>
      <c r="CP72">
        <f t="shared" si="73"/>
        <v>836.44</v>
      </c>
      <c r="CQ72">
        <f t="shared" si="74"/>
        <v>13940.68</v>
      </c>
      <c r="CR72">
        <f t="shared" si="75"/>
        <v>0</v>
      </c>
      <c r="CS72">
        <f t="shared" si="76"/>
        <v>0</v>
      </c>
      <c r="CT72">
        <f t="shared" si="77"/>
        <v>0</v>
      </c>
      <c r="CU72">
        <f t="shared" si="78"/>
        <v>0</v>
      </c>
      <c r="CV72">
        <f t="shared" si="79"/>
        <v>0</v>
      </c>
      <c r="CW72">
        <f t="shared" si="80"/>
        <v>0</v>
      </c>
      <c r="CX72">
        <f t="shared" si="81"/>
        <v>0</v>
      </c>
      <c r="CY72">
        <f t="shared" si="82"/>
        <v>0</v>
      </c>
      <c r="CZ72">
        <f t="shared" si="83"/>
        <v>0</v>
      </c>
      <c r="DC72" t="s">
        <v>3</v>
      </c>
      <c r="DD72" t="s">
        <v>3</v>
      </c>
      <c r="DE72" t="s">
        <v>3</v>
      </c>
      <c r="DF72" t="s">
        <v>3</v>
      </c>
      <c r="DG72" t="s">
        <v>3</v>
      </c>
      <c r="DH72" t="s">
        <v>3</v>
      </c>
      <c r="DI72" t="s">
        <v>3</v>
      </c>
      <c r="DJ72" t="s">
        <v>3</v>
      </c>
      <c r="DK72" t="s">
        <v>3</v>
      </c>
      <c r="DL72" t="s">
        <v>3</v>
      </c>
      <c r="DM72" t="s">
        <v>3</v>
      </c>
      <c r="DN72">
        <v>0</v>
      </c>
      <c r="DO72">
        <v>0</v>
      </c>
      <c r="DP72">
        <v>1</v>
      </c>
      <c r="DQ72">
        <v>1</v>
      </c>
      <c r="DU72">
        <v>1009</v>
      </c>
      <c r="DV72" t="s">
        <v>71</v>
      </c>
      <c r="DW72" t="s">
        <v>71</v>
      </c>
      <c r="DX72">
        <v>1000</v>
      </c>
      <c r="DZ72" t="s">
        <v>3</v>
      </c>
      <c r="EA72" t="s">
        <v>3</v>
      </c>
      <c r="EB72" t="s">
        <v>3</v>
      </c>
      <c r="EC72" t="s">
        <v>3</v>
      </c>
      <c r="EE72">
        <v>64095027</v>
      </c>
      <c r="EF72">
        <v>2</v>
      </c>
      <c r="EG72" t="s">
        <v>13</v>
      </c>
      <c r="EH72">
        <v>0</v>
      </c>
      <c r="EI72" t="s">
        <v>3</v>
      </c>
      <c r="EJ72">
        <v>1</v>
      </c>
      <c r="EK72">
        <v>11001</v>
      </c>
      <c r="EL72" t="s">
        <v>92</v>
      </c>
      <c r="EM72" t="s">
        <v>222</v>
      </c>
      <c r="EO72" t="s">
        <v>3</v>
      </c>
      <c r="EQ72">
        <v>0</v>
      </c>
      <c r="ER72">
        <v>4316</v>
      </c>
      <c r="ES72">
        <v>4316</v>
      </c>
      <c r="ET72">
        <v>0</v>
      </c>
      <c r="EU72">
        <v>0</v>
      </c>
      <c r="EV72">
        <v>0</v>
      </c>
      <c r="EW72">
        <v>0</v>
      </c>
      <c r="EX72">
        <v>0</v>
      </c>
      <c r="FQ72">
        <v>0</v>
      </c>
      <c r="FR72">
        <f t="shared" si="84"/>
        <v>0</v>
      </c>
      <c r="FS72">
        <v>0</v>
      </c>
      <c r="FT72" t="s">
        <v>52</v>
      </c>
      <c r="FU72" t="s">
        <v>53</v>
      </c>
      <c r="FX72">
        <v>110.7</v>
      </c>
      <c r="FY72">
        <v>63.75</v>
      </c>
      <c r="GA72" t="s">
        <v>3</v>
      </c>
      <c r="GD72">
        <v>1</v>
      </c>
      <c r="GF72">
        <v>1171458232</v>
      </c>
      <c r="GG72">
        <v>2</v>
      </c>
      <c r="GH72">
        <v>1</v>
      </c>
      <c r="GI72">
        <v>2</v>
      </c>
      <c r="GJ72">
        <v>0</v>
      </c>
      <c r="GK72">
        <v>0</v>
      </c>
      <c r="GL72">
        <f t="shared" si="85"/>
        <v>0</v>
      </c>
      <c r="GM72">
        <f t="shared" si="86"/>
        <v>836.44</v>
      </c>
      <c r="GN72">
        <f t="shared" si="87"/>
        <v>836.44</v>
      </c>
      <c r="GO72">
        <f t="shared" si="88"/>
        <v>0</v>
      </c>
      <c r="GP72">
        <f t="shared" si="89"/>
        <v>0</v>
      </c>
      <c r="GR72">
        <v>0</v>
      </c>
      <c r="GS72">
        <v>3</v>
      </c>
      <c r="GT72">
        <v>0</v>
      </c>
      <c r="GU72" t="s">
        <v>3</v>
      </c>
      <c r="GV72">
        <f t="shared" si="90"/>
        <v>0</v>
      </c>
      <c r="GW72">
        <v>1</v>
      </c>
      <c r="GX72">
        <f t="shared" si="91"/>
        <v>0</v>
      </c>
      <c r="HA72">
        <v>0</v>
      </c>
      <c r="HB72">
        <v>0</v>
      </c>
      <c r="HC72">
        <f t="shared" si="92"/>
        <v>0</v>
      </c>
      <c r="HE72" t="s">
        <v>3</v>
      </c>
      <c r="HF72" t="s">
        <v>3</v>
      </c>
      <c r="IK72">
        <v>0</v>
      </c>
    </row>
    <row r="73" spans="1:245" x14ac:dyDescent="0.2">
      <c r="A73">
        <v>18</v>
      </c>
      <c r="B73">
        <v>1</v>
      </c>
      <c r="C73">
        <v>183</v>
      </c>
      <c r="E73" t="s">
        <v>231</v>
      </c>
      <c r="F73" t="s">
        <v>232</v>
      </c>
      <c r="G73" t="s">
        <v>233</v>
      </c>
      <c r="H73" t="s">
        <v>170</v>
      </c>
      <c r="I73">
        <f>I70*J73</f>
        <v>0.5</v>
      </c>
      <c r="J73">
        <v>10</v>
      </c>
      <c r="O73">
        <f t="shared" si="58"/>
        <v>32.96</v>
      </c>
      <c r="P73">
        <f t="shared" si="59"/>
        <v>32.96</v>
      </c>
      <c r="Q73">
        <f t="shared" si="60"/>
        <v>0</v>
      </c>
      <c r="R73">
        <f t="shared" si="61"/>
        <v>0</v>
      </c>
      <c r="S73">
        <f t="shared" si="62"/>
        <v>0</v>
      </c>
      <c r="T73">
        <f t="shared" si="63"/>
        <v>0</v>
      </c>
      <c r="U73">
        <f t="shared" si="64"/>
        <v>0</v>
      </c>
      <c r="V73">
        <f t="shared" si="65"/>
        <v>0</v>
      </c>
      <c r="W73">
        <f t="shared" si="66"/>
        <v>0</v>
      </c>
      <c r="X73">
        <f t="shared" si="67"/>
        <v>0</v>
      </c>
      <c r="Y73">
        <f t="shared" si="68"/>
        <v>0</v>
      </c>
      <c r="AA73">
        <v>68990560</v>
      </c>
      <c r="AB73">
        <f t="shared" si="69"/>
        <v>13.08</v>
      </c>
      <c r="AC73">
        <f t="shared" si="70"/>
        <v>13.08</v>
      </c>
      <c r="AD73">
        <f>ROUND((((ET73)-(EU73))+AE73),2)</f>
        <v>0</v>
      </c>
      <c r="AE73">
        <f t="shared" si="93"/>
        <v>0</v>
      </c>
      <c r="AF73">
        <f t="shared" si="93"/>
        <v>0</v>
      </c>
      <c r="AG73">
        <f t="shared" si="71"/>
        <v>0</v>
      </c>
      <c r="AH73">
        <f t="shared" si="94"/>
        <v>0</v>
      </c>
      <c r="AI73">
        <f t="shared" si="94"/>
        <v>0</v>
      </c>
      <c r="AJ73">
        <f t="shared" si="72"/>
        <v>0</v>
      </c>
      <c r="AK73">
        <v>13.08</v>
      </c>
      <c r="AL73">
        <v>13.08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111</v>
      </c>
      <c r="AU73">
        <v>64</v>
      </c>
      <c r="AV73">
        <v>1</v>
      </c>
      <c r="AW73">
        <v>1</v>
      </c>
      <c r="AZ73">
        <v>1</v>
      </c>
      <c r="BA73">
        <v>1</v>
      </c>
      <c r="BB73">
        <v>1</v>
      </c>
      <c r="BC73">
        <v>5.04</v>
      </c>
      <c r="BD73" t="s">
        <v>3</v>
      </c>
      <c r="BE73" t="s">
        <v>3</v>
      </c>
      <c r="BF73" t="s">
        <v>3</v>
      </c>
      <c r="BG73" t="s">
        <v>3</v>
      </c>
      <c r="BH73">
        <v>3</v>
      </c>
      <c r="BI73">
        <v>1</v>
      </c>
      <c r="BJ73" t="s">
        <v>234</v>
      </c>
      <c r="BM73">
        <v>11001</v>
      </c>
      <c r="BN73">
        <v>0</v>
      </c>
      <c r="BO73" t="s">
        <v>232</v>
      </c>
      <c r="BP73">
        <v>1</v>
      </c>
      <c r="BQ73">
        <v>2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123</v>
      </c>
      <c r="CA73">
        <v>75</v>
      </c>
      <c r="CE73">
        <v>0</v>
      </c>
      <c r="CF73">
        <v>0</v>
      </c>
      <c r="CG73">
        <v>0</v>
      </c>
      <c r="CM73">
        <v>0</v>
      </c>
      <c r="CN73" t="s">
        <v>3</v>
      </c>
      <c r="CO73">
        <v>0</v>
      </c>
      <c r="CP73">
        <f t="shared" si="73"/>
        <v>32.96</v>
      </c>
      <c r="CQ73">
        <f t="shared" si="74"/>
        <v>65.923199999999994</v>
      </c>
      <c r="CR73">
        <f t="shared" si="75"/>
        <v>0</v>
      </c>
      <c r="CS73">
        <f t="shared" si="76"/>
        <v>0</v>
      </c>
      <c r="CT73">
        <f t="shared" si="77"/>
        <v>0</v>
      </c>
      <c r="CU73">
        <f t="shared" si="78"/>
        <v>0</v>
      </c>
      <c r="CV73">
        <f t="shared" si="79"/>
        <v>0</v>
      </c>
      <c r="CW73">
        <f t="shared" si="80"/>
        <v>0</v>
      </c>
      <c r="CX73">
        <f t="shared" si="81"/>
        <v>0</v>
      </c>
      <c r="CY73">
        <f t="shared" si="82"/>
        <v>0</v>
      </c>
      <c r="CZ73">
        <f t="shared" si="83"/>
        <v>0</v>
      </c>
      <c r="DC73" t="s">
        <v>3</v>
      </c>
      <c r="DD73" t="s">
        <v>3</v>
      </c>
      <c r="DE73" t="s">
        <v>3</v>
      </c>
      <c r="DF73" t="s">
        <v>3</v>
      </c>
      <c r="DG73" t="s">
        <v>3</v>
      </c>
      <c r="DH73" t="s">
        <v>3</v>
      </c>
      <c r="DI73" t="s">
        <v>3</v>
      </c>
      <c r="DJ73" t="s">
        <v>3</v>
      </c>
      <c r="DK73" t="s">
        <v>3</v>
      </c>
      <c r="DL73" t="s">
        <v>3</v>
      </c>
      <c r="DM73" t="s">
        <v>3</v>
      </c>
      <c r="DN73">
        <v>0</v>
      </c>
      <c r="DO73">
        <v>0</v>
      </c>
      <c r="DP73">
        <v>1</v>
      </c>
      <c r="DQ73">
        <v>1</v>
      </c>
      <c r="DU73">
        <v>1009</v>
      </c>
      <c r="DV73" t="s">
        <v>170</v>
      </c>
      <c r="DW73" t="s">
        <v>170</v>
      </c>
      <c r="DX73">
        <v>1</v>
      </c>
      <c r="DZ73" t="s">
        <v>3</v>
      </c>
      <c r="EA73" t="s">
        <v>3</v>
      </c>
      <c r="EB73" t="s">
        <v>3</v>
      </c>
      <c r="EC73" t="s">
        <v>3</v>
      </c>
      <c r="EE73">
        <v>64095027</v>
      </c>
      <c r="EF73">
        <v>2</v>
      </c>
      <c r="EG73" t="s">
        <v>13</v>
      </c>
      <c r="EH73">
        <v>0</v>
      </c>
      <c r="EI73" t="s">
        <v>3</v>
      </c>
      <c r="EJ73">
        <v>1</v>
      </c>
      <c r="EK73">
        <v>11001</v>
      </c>
      <c r="EL73" t="s">
        <v>92</v>
      </c>
      <c r="EM73" t="s">
        <v>222</v>
      </c>
      <c r="EO73" t="s">
        <v>3</v>
      </c>
      <c r="EQ73">
        <v>0</v>
      </c>
      <c r="ER73">
        <v>13.08</v>
      </c>
      <c r="ES73">
        <v>13.08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84"/>
        <v>0</v>
      </c>
      <c r="FS73">
        <v>0</v>
      </c>
      <c r="FT73" t="s">
        <v>52</v>
      </c>
      <c r="FU73" t="s">
        <v>53</v>
      </c>
      <c r="FX73">
        <v>110.7</v>
      </c>
      <c r="FY73">
        <v>63.75</v>
      </c>
      <c r="GA73" t="s">
        <v>3</v>
      </c>
      <c r="GD73">
        <v>1</v>
      </c>
      <c r="GF73">
        <v>1577909318</v>
      </c>
      <c r="GG73">
        <v>2</v>
      </c>
      <c r="GH73">
        <v>1</v>
      </c>
      <c r="GI73">
        <v>2</v>
      </c>
      <c r="GJ73">
        <v>0</v>
      </c>
      <c r="GK73">
        <v>0</v>
      </c>
      <c r="GL73">
        <f t="shared" si="85"/>
        <v>0</v>
      </c>
      <c r="GM73">
        <f t="shared" si="86"/>
        <v>32.96</v>
      </c>
      <c r="GN73">
        <f t="shared" si="87"/>
        <v>32.96</v>
      </c>
      <c r="GO73">
        <f t="shared" si="88"/>
        <v>0</v>
      </c>
      <c r="GP73">
        <f t="shared" si="89"/>
        <v>0</v>
      </c>
      <c r="GR73">
        <v>0</v>
      </c>
      <c r="GS73">
        <v>3</v>
      </c>
      <c r="GT73">
        <v>0</v>
      </c>
      <c r="GU73" t="s">
        <v>3</v>
      </c>
      <c r="GV73">
        <f t="shared" si="90"/>
        <v>0</v>
      </c>
      <c r="GW73">
        <v>1</v>
      </c>
      <c r="GX73">
        <f t="shared" si="91"/>
        <v>0</v>
      </c>
      <c r="HA73">
        <v>0</v>
      </c>
      <c r="HB73">
        <v>0</v>
      </c>
      <c r="HC73">
        <f t="shared" si="92"/>
        <v>0</v>
      </c>
      <c r="HE73" t="s">
        <v>3</v>
      </c>
      <c r="HF73" t="s">
        <v>3</v>
      </c>
      <c r="IK73">
        <v>0</v>
      </c>
    </row>
    <row r="74" spans="1:245" x14ac:dyDescent="0.2">
      <c r="A74">
        <v>18</v>
      </c>
      <c r="B74">
        <v>1</v>
      </c>
      <c r="C74">
        <v>179</v>
      </c>
      <c r="E74" t="s">
        <v>235</v>
      </c>
      <c r="F74" t="s">
        <v>236</v>
      </c>
      <c r="G74" t="s">
        <v>237</v>
      </c>
      <c r="H74" t="s">
        <v>46</v>
      </c>
      <c r="I74">
        <f>I70*J74</f>
        <v>-5.0999999999999996</v>
      </c>
      <c r="J74">
        <v>-101.99999999999999</v>
      </c>
      <c r="O74">
        <f t="shared" si="58"/>
        <v>-2900.99</v>
      </c>
      <c r="P74">
        <f t="shared" si="59"/>
        <v>-2900.99</v>
      </c>
      <c r="Q74">
        <f t="shared" si="60"/>
        <v>0</v>
      </c>
      <c r="R74">
        <f t="shared" si="61"/>
        <v>0</v>
      </c>
      <c r="S74">
        <f t="shared" si="62"/>
        <v>0</v>
      </c>
      <c r="T74">
        <f t="shared" si="63"/>
        <v>0</v>
      </c>
      <c r="U74">
        <f t="shared" si="64"/>
        <v>0</v>
      </c>
      <c r="V74">
        <f t="shared" si="65"/>
        <v>0</v>
      </c>
      <c r="W74">
        <f t="shared" si="66"/>
        <v>0</v>
      </c>
      <c r="X74">
        <f t="shared" si="67"/>
        <v>0</v>
      </c>
      <c r="Y74">
        <f t="shared" si="68"/>
        <v>0</v>
      </c>
      <c r="AA74">
        <v>68990560</v>
      </c>
      <c r="AB74">
        <f t="shared" si="69"/>
        <v>140.44999999999999</v>
      </c>
      <c r="AC74">
        <f t="shared" si="70"/>
        <v>140.44999999999999</v>
      </c>
      <c r="AD74">
        <f>ROUND((((ET74)-(EU74))+AE74),2)</f>
        <v>0</v>
      </c>
      <c r="AE74">
        <f t="shared" si="93"/>
        <v>0</v>
      </c>
      <c r="AF74">
        <f t="shared" si="93"/>
        <v>0</v>
      </c>
      <c r="AG74">
        <f t="shared" si="71"/>
        <v>0</v>
      </c>
      <c r="AH74">
        <f t="shared" si="94"/>
        <v>0</v>
      </c>
      <c r="AI74">
        <f t="shared" si="94"/>
        <v>0</v>
      </c>
      <c r="AJ74">
        <f t="shared" si="72"/>
        <v>0</v>
      </c>
      <c r="AK74">
        <v>140.44999999999999</v>
      </c>
      <c r="AL74">
        <v>140.44999999999999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111</v>
      </c>
      <c r="AU74">
        <v>64</v>
      </c>
      <c r="AV74">
        <v>1</v>
      </c>
      <c r="AW74">
        <v>1</v>
      </c>
      <c r="AZ74">
        <v>1</v>
      </c>
      <c r="BA74">
        <v>1</v>
      </c>
      <c r="BB74">
        <v>1</v>
      </c>
      <c r="BC74">
        <v>4.05</v>
      </c>
      <c r="BD74" t="s">
        <v>3</v>
      </c>
      <c r="BE74" t="s">
        <v>3</v>
      </c>
      <c r="BF74" t="s">
        <v>3</v>
      </c>
      <c r="BG74" t="s">
        <v>3</v>
      </c>
      <c r="BH74">
        <v>3</v>
      </c>
      <c r="BI74">
        <v>1</v>
      </c>
      <c r="BJ74" t="s">
        <v>238</v>
      </c>
      <c r="BM74">
        <v>11001</v>
      </c>
      <c r="BN74">
        <v>0</v>
      </c>
      <c r="BO74" t="s">
        <v>236</v>
      </c>
      <c r="BP74">
        <v>1</v>
      </c>
      <c r="BQ74">
        <v>2</v>
      </c>
      <c r="BR74">
        <v>1</v>
      </c>
      <c r="BS74">
        <v>1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3</v>
      </c>
      <c r="BZ74">
        <v>123</v>
      </c>
      <c r="CA74">
        <v>75</v>
      </c>
      <c r="CE74">
        <v>0</v>
      </c>
      <c r="CF74">
        <v>0</v>
      </c>
      <c r="CG74">
        <v>0</v>
      </c>
      <c r="CM74">
        <v>0</v>
      </c>
      <c r="CN74" t="s">
        <v>3</v>
      </c>
      <c r="CO74">
        <v>0</v>
      </c>
      <c r="CP74">
        <f t="shared" si="73"/>
        <v>-2900.99</v>
      </c>
      <c r="CQ74">
        <f t="shared" si="74"/>
        <v>568.82249999999988</v>
      </c>
      <c r="CR74">
        <f t="shared" si="75"/>
        <v>0</v>
      </c>
      <c r="CS74">
        <f t="shared" si="76"/>
        <v>0</v>
      </c>
      <c r="CT74">
        <f t="shared" si="77"/>
        <v>0</v>
      </c>
      <c r="CU74">
        <f t="shared" si="78"/>
        <v>0</v>
      </c>
      <c r="CV74">
        <f t="shared" si="79"/>
        <v>0</v>
      </c>
      <c r="CW74">
        <f t="shared" si="80"/>
        <v>0</v>
      </c>
      <c r="CX74">
        <f t="shared" si="81"/>
        <v>0</v>
      </c>
      <c r="CY74">
        <f t="shared" si="82"/>
        <v>0</v>
      </c>
      <c r="CZ74">
        <f t="shared" si="83"/>
        <v>0</v>
      </c>
      <c r="DC74" t="s">
        <v>3</v>
      </c>
      <c r="DD74" t="s">
        <v>3</v>
      </c>
      <c r="DE74" t="s">
        <v>3</v>
      </c>
      <c r="DF74" t="s">
        <v>3</v>
      </c>
      <c r="DG74" t="s">
        <v>3</v>
      </c>
      <c r="DH74" t="s">
        <v>3</v>
      </c>
      <c r="DI74" t="s">
        <v>3</v>
      </c>
      <c r="DJ74" t="s">
        <v>3</v>
      </c>
      <c r="DK74" t="s">
        <v>3</v>
      </c>
      <c r="DL74" t="s">
        <v>3</v>
      </c>
      <c r="DM74" t="s">
        <v>3</v>
      </c>
      <c r="DN74">
        <v>0</v>
      </c>
      <c r="DO74">
        <v>0</v>
      </c>
      <c r="DP74">
        <v>1</v>
      </c>
      <c r="DQ74">
        <v>1</v>
      </c>
      <c r="DU74">
        <v>1005</v>
      </c>
      <c r="DV74" t="s">
        <v>46</v>
      </c>
      <c r="DW74" t="s">
        <v>46</v>
      </c>
      <c r="DX74">
        <v>1</v>
      </c>
      <c r="DZ74" t="s">
        <v>3</v>
      </c>
      <c r="EA74" t="s">
        <v>3</v>
      </c>
      <c r="EB74" t="s">
        <v>3</v>
      </c>
      <c r="EC74" t="s">
        <v>3</v>
      </c>
      <c r="EE74">
        <v>64095027</v>
      </c>
      <c r="EF74">
        <v>2</v>
      </c>
      <c r="EG74" t="s">
        <v>13</v>
      </c>
      <c r="EH74">
        <v>0</v>
      </c>
      <c r="EI74" t="s">
        <v>3</v>
      </c>
      <c r="EJ74">
        <v>1</v>
      </c>
      <c r="EK74">
        <v>11001</v>
      </c>
      <c r="EL74" t="s">
        <v>92</v>
      </c>
      <c r="EM74" t="s">
        <v>222</v>
      </c>
      <c r="EO74" t="s">
        <v>3</v>
      </c>
      <c r="EQ74">
        <v>32768</v>
      </c>
      <c r="ER74">
        <v>140.44999999999999</v>
      </c>
      <c r="ES74">
        <v>140.44999999999999</v>
      </c>
      <c r="ET74">
        <v>0</v>
      </c>
      <c r="EU74">
        <v>0</v>
      </c>
      <c r="EV74">
        <v>0</v>
      </c>
      <c r="EW74">
        <v>0</v>
      </c>
      <c r="EX74">
        <v>0</v>
      </c>
      <c r="FQ74">
        <v>0</v>
      </c>
      <c r="FR74">
        <f t="shared" si="84"/>
        <v>0</v>
      </c>
      <c r="FS74">
        <v>0</v>
      </c>
      <c r="FT74" t="s">
        <v>52</v>
      </c>
      <c r="FU74" t="s">
        <v>53</v>
      </c>
      <c r="FX74">
        <v>110.7</v>
      </c>
      <c r="FY74">
        <v>63.75</v>
      </c>
      <c r="GA74" t="s">
        <v>3</v>
      </c>
      <c r="GD74">
        <v>1</v>
      </c>
      <c r="GF74">
        <v>1681246632</v>
      </c>
      <c r="GG74">
        <v>2</v>
      </c>
      <c r="GH74">
        <v>1</v>
      </c>
      <c r="GI74">
        <v>2</v>
      </c>
      <c r="GJ74">
        <v>0</v>
      </c>
      <c r="GK74">
        <v>0</v>
      </c>
      <c r="GL74">
        <f t="shared" si="85"/>
        <v>0</v>
      </c>
      <c r="GM74">
        <f t="shared" si="86"/>
        <v>-2900.99</v>
      </c>
      <c r="GN74">
        <f t="shared" si="87"/>
        <v>-2900.99</v>
      </c>
      <c r="GO74">
        <f t="shared" si="88"/>
        <v>0</v>
      </c>
      <c r="GP74">
        <f t="shared" si="89"/>
        <v>0</v>
      </c>
      <c r="GR74">
        <v>0</v>
      </c>
      <c r="GS74">
        <v>3</v>
      </c>
      <c r="GT74">
        <v>0</v>
      </c>
      <c r="GU74" t="s">
        <v>3</v>
      </c>
      <c r="GV74">
        <f t="shared" si="90"/>
        <v>0</v>
      </c>
      <c r="GW74">
        <v>1</v>
      </c>
      <c r="GX74">
        <f t="shared" si="91"/>
        <v>0</v>
      </c>
      <c r="HA74">
        <v>0</v>
      </c>
      <c r="HB74">
        <v>0</v>
      </c>
      <c r="HC74">
        <f t="shared" si="92"/>
        <v>0</v>
      </c>
      <c r="HE74" t="s">
        <v>3</v>
      </c>
      <c r="HF74" t="s">
        <v>3</v>
      </c>
      <c r="IK74">
        <v>0</v>
      </c>
    </row>
    <row r="75" spans="1:245" x14ac:dyDescent="0.2">
      <c r="A75">
        <v>18</v>
      </c>
      <c r="B75">
        <v>1</v>
      </c>
      <c r="C75">
        <v>180</v>
      </c>
      <c r="E75" t="s">
        <v>239</v>
      </c>
      <c r="F75" t="s">
        <v>240</v>
      </c>
      <c r="G75" t="s">
        <v>241</v>
      </c>
      <c r="H75" t="s">
        <v>46</v>
      </c>
      <c r="I75">
        <f>I70*J75</f>
        <v>5.0999999999999996</v>
      </c>
      <c r="J75">
        <v>101.99999999999999</v>
      </c>
      <c r="O75">
        <f t="shared" si="58"/>
        <v>1818.23</v>
      </c>
      <c r="P75">
        <f t="shared" si="59"/>
        <v>1818.23</v>
      </c>
      <c r="Q75">
        <f t="shared" si="60"/>
        <v>0</v>
      </c>
      <c r="R75">
        <f t="shared" si="61"/>
        <v>0</v>
      </c>
      <c r="S75">
        <f t="shared" si="62"/>
        <v>0</v>
      </c>
      <c r="T75">
        <f t="shared" si="63"/>
        <v>0</v>
      </c>
      <c r="U75">
        <f t="shared" si="64"/>
        <v>0</v>
      </c>
      <c r="V75">
        <f t="shared" si="65"/>
        <v>0</v>
      </c>
      <c r="W75">
        <f t="shared" si="66"/>
        <v>0</v>
      </c>
      <c r="X75">
        <f t="shared" si="67"/>
        <v>0</v>
      </c>
      <c r="Y75">
        <f t="shared" si="68"/>
        <v>0</v>
      </c>
      <c r="AA75">
        <v>68990560</v>
      </c>
      <c r="AB75">
        <f t="shared" si="69"/>
        <v>56.77</v>
      </c>
      <c r="AC75">
        <f t="shared" si="70"/>
        <v>56.77</v>
      </c>
      <c r="AD75">
        <f>ROUND((((ET75)-(EU75))+AE75),2)</f>
        <v>0</v>
      </c>
      <c r="AE75">
        <f t="shared" si="93"/>
        <v>0</v>
      </c>
      <c r="AF75">
        <f t="shared" si="93"/>
        <v>0</v>
      </c>
      <c r="AG75">
        <f t="shared" si="71"/>
        <v>0</v>
      </c>
      <c r="AH75">
        <f t="shared" si="94"/>
        <v>0</v>
      </c>
      <c r="AI75">
        <f t="shared" si="94"/>
        <v>0</v>
      </c>
      <c r="AJ75">
        <f t="shared" si="72"/>
        <v>0</v>
      </c>
      <c r="AK75">
        <v>56.77</v>
      </c>
      <c r="AL75">
        <v>56.77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111</v>
      </c>
      <c r="AU75">
        <v>64</v>
      </c>
      <c r="AV75">
        <v>1</v>
      </c>
      <c r="AW75">
        <v>1</v>
      </c>
      <c r="AZ75">
        <v>1</v>
      </c>
      <c r="BA75">
        <v>1</v>
      </c>
      <c r="BB75">
        <v>1</v>
      </c>
      <c r="BC75">
        <v>6.28</v>
      </c>
      <c r="BD75" t="s">
        <v>3</v>
      </c>
      <c r="BE75" t="s">
        <v>3</v>
      </c>
      <c r="BF75" t="s">
        <v>3</v>
      </c>
      <c r="BG75" t="s">
        <v>3</v>
      </c>
      <c r="BH75">
        <v>3</v>
      </c>
      <c r="BI75">
        <v>1</v>
      </c>
      <c r="BJ75" t="s">
        <v>242</v>
      </c>
      <c r="BM75">
        <v>11001</v>
      </c>
      <c r="BN75">
        <v>0</v>
      </c>
      <c r="BO75" t="s">
        <v>240</v>
      </c>
      <c r="BP75">
        <v>1</v>
      </c>
      <c r="BQ75">
        <v>2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3</v>
      </c>
      <c r="BZ75">
        <v>123</v>
      </c>
      <c r="CA75">
        <v>75</v>
      </c>
      <c r="CE75">
        <v>0</v>
      </c>
      <c r="CF75">
        <v>0</v>
      </c>
      <c r="CG75">
        <v>0</v>
      </c>
      <c r="CM75">
        <v>0</v>
      </c>
      <c r="CN75" t="s">
        <v>3</v>
      </c>
      <c r="CO75">
        <v>0</v>
      </c>
      <c r="CP75">
        <f t="shared" si="73"/>
        <v>1818.23</v>
      </c>
      <c r="CQ75">
        <f t="shared" si="74"/>
        <v>356.51560000000001</v>
      </c>
      <c r="CR75">
        <f t="shared" si="75"/>
        <v>0</v>
      </c>
      <c r="CS75">
        <f t="shared" si="76"/>
        <v>0</v>
      </c>
      <c r="CT75">
        <f t="shared" si="77"/>
        <v>0</v>
      </c>
      <c r="CU75">
        <f t="shared" si="78"/>
        <v>0</v>
      </c>
      <c r="CV75">
        <f t="shared" si="79"/>
        <v>0</v>
      </c>
      <c r="CW75">
        <f t="shared" si="80"/>
        <v>0</v>
      </c>
      <c r="CX75">
        <f t="shared" si="81"/>
        <v>0</v>
      </c>
      <c r="CY75">
        <f t="shared" si="82"/>
        <v>0</v>
      </c>
      <c r="CZ75">
        <f t="shared" si="83"/>
        <v>0</v>
      </c>
      <c r="DC75" t="s">
        <v>3</v>
      </c>
      <c r="DD75" t="s">
        <v>3</v>
      </c>
      <c r="DE75" t="s">
        <v>3</v>
      </c>
      <c r="DF75" t="s">
        <v>3</v>
      </c>
      <c r="DG75" t="s">
        <v>3</v>
      </c>
      <c r="DH75" t="s">
        <v>3</v>
      </c>
      <c r="DI75" t="s">
        <v>3</v>
      </c>
      <c r="DJ75" t="s">
        <v>3</v>
      </c>
      <c r="DK75" t="s">
        <v>3</v>
      </c>
      <c r="DL75" t="s">
        <v>3</v>
      </c>
      <c r="DM75" t="s">
        <v>3</v>
      </c>
      <c r="DN75">
        <v>0</v>
      </c>
      <c r="DO75">
        <v>0</v>
      </c>
      <c r="DP75">
        <v>1</v>
      </c>
      <c r="DQ75">
        <v>1</v>
      </c>
      <c r="DU75">
        <v>1005</v>
      </c>
      <c r="DV75" t="s">
        <v>46</v>
      </c>
      <c r="DW75" t="s">
        <v>46</v>
      </c>
      <c r="DX75">
        <v>1</v>
      </c>
      <c r="DZ75" t="s">
        <v>3</v>
      </c>
      <c r="EA75" t="s">
        <v>3</v>
      </c>
      <c r="EB75" t="s">
        <v>3</v>
      </c>
      <c r="EC75" t="s">
        <v>3</v>
      </c>
      <c r="EE75">
        <v>64095027</v>
      </c>
      <c r="EF75">
        <v>2</v>
      </c>
      <c r="EG75" t="s">
        <v>13</v>
      </c>
      <c r="EH75">
        <v>0</v>
      </c>
      <c r="EI75" t="s">
        <v>3</v>
      </c>
      <c r="EJ75">
        <v>1</v>
      </c>
      <c r="EK75">
        <v>11001</v>
      </c>
      <c r="EL75" t="s">
        <v>92</v>
      </c>
      <c r="EM75" t="s">
        <v>222</v>
      </c>
      <c r="EO75" t="s">
        <v>3</v>
      </c>
      <c r="EQ75">
        <v>0</v>
      </c>
      <c r="ER75">
        <v>56.77</v>
      </c>
      <c r="ES75">
        <v>56.77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84"/>
        <v>0</v>
      </c>
      <c r="FS75">
        <v>0</v>
      </c>
      <c r="FT75" t="s">
        <v>52</v>
      </c>
      <c r="FU75" t="s">
        <v>53</v>
      </c>
      <c r="FX75">
        <v>110.7</v>
      </c>
      <c r="FY75">
        <v>63.75</v>
      </c>
      <c r="GA75" t="s">
        <v>3</v>
      </c>
      <c r="GD75">
        <v>1</v>
      </c>
      <c r="GF75">
        <v>1353745994</v>
      </c>
      <c r="GG75">
        <v>2</v>
      </c>
      <c r="GH75">
        <v>1</v>
      </c>
      <c r="GI75">
        <v>2</v>
      </c>
      <c r="GJ75">
        <v>0</v>
      </c>
      <c r="GK75">
        <v>0</v>
      </c>
      <c r="GL75">
        <f t="shared" si="85"/>
        <v>0</v>
      </c>
      <c r="GM75">
        <f t="shared" si="86"/>
        <v>1818.23</v>
      </c>
      <c r="GN75">
        <f t="shared" si="87"/>
        <v>1818.23</v>
      </c>
      <c r="GO75">
        <f t="shared" si="88"/>
        <v>0</v>
      </c>
      <c r="GP75">
        <f t="shared" si="89"/>
        <v>0</v>
      </c>
      <c r="GR75">
        <v>0</v>
      </c>
      <c r="GS75">
        <v>3</v>
      </c>
      <c r="GT75">
        <v>0</v>
      </c>
      <c r="GU75" t="s">
        <v>3</v>
      </c>
      <c r="GV75">
        <f t="shared" si="90"/>
        <v>0</v>
      </c>
      <c r="GW75">
        <v>1</v>
      </c>
      <c r="GX75">
        <f t="shared" si="91"/>
        <v>0</v>
      </c>
      <c r="HA75">
        <v>0</v>
      </c>
      <c r="HB75">
        <v>0</v>
      </c>
      <c r="HC75">
        <f t="shared" si="92"/>
        <v>0</v>
      </c>
      <c r="HE75" t="s">
        <v>3</v>
      </c>
      <c r="HF75" t="s">
        <v>3</v>
      </c>
      <c r="IK75">
        <v>0</v>
      </c>
    </row>
    <row r="76" spans="1:245" x14ac:dyDescent="0.2">
      <c r="A76">
        <v>17</v>
      </c>
      <c r="B76">
        <v>1</v>
      </c>
      <c r="C76">
        <f>ROW(SmtRes!A197)</f>
        <v>197</v>
      </c>
      <c r="D76">
        <f>ROW(EtalonRes!A205)</f>
        <v>205</v>
      </c>
      <c r="E76" t="s">
        <v>243</v>
      </c>
      <c r="F76" t="s">
        <v>244</v>
      </c>
      <c r="G76" t="s">
        <v>245</v>
      </c>
      <c r="H76" t="s">
        <v>113</v>
      </c>
      <c r="I76">
        <f>ROUND(1.8,5)</f>
        <v>1.8</v>
      </c>
      <c r="J76">
        <v>0</v>
      </c>
      <c r="O76">
        <f t="shared" si="58"/>
        <v>5804.47</v>
      </c>
      <c r="P76">
        <f t="shared" si="59"/>
        <v>1616.03</v>
      </c>
      <c r="Q76">
        <f t="shared" si="60"/>
        <v>298.02999999999997</v>
      </c>
      <c r="R76">
        <f t="shared" si="61"/>
        <v>145.37</v>
      </c>
      <c r="S76">
        <f t="shared" si="62"/>
        <v>3890.41</v>
      </c>
      <c r="T76">
        <f t="shared" si="63"/>
        <v>0</v>
      </c>
      <c r="U76">
        <f t="shared" si="64"/>
        <v>13.553324999999997</v>
      </c>
      <c r="V76">
        <f t="shared" si="65"/>
        <v>0.36450000000000005</v>
      </c>
      <c r="W76">
        <f t="shared" si="66"/>
        <v>0</v>
      </c>
      <c r="X76">
        <f t="shared" si="67"/>
        <v>3833.99</v>
      </c>
      <c r="Y76">
        <f t="shared" si="68"/>
        <v>2219.6799999999998</v>
      </c>
      <c r="AA76">
        <v>68990560</v>
      </c>
      <c r="AB76">
        <f t="shared" si="69"/>
        <v>258.2</v>
      </c>
      <c r="AC76">
        <f t="shared" si="70"/>
        <v>179.2</v>
      </c>
      <c r="AD76">
        <f>ROUND((((((ET76*1.25)*1.35))-(((EU76*1.25)*1.35)))+AE76),2)</f>
        <v>14.77</v>
      </c>
      <c r="AE76">
        <f>ROUND((((EU76*1.25)*1.35)),2)</f>
        <v>2.4</v>
      </c>
      <c r="AF76">
        <f>ROUND((((EV76*1.15)*1.35)),2)</f>
        <v>64.23</v>
      </c>
      <c r="AG76">
        <f t="shared" si="71"/>
        <v>0</v>
      </c>
      <c r="AH76">
        <f>(((EW76*1.15)*1.35))</f>
        <v>7.5296249999999985</v>
      </c>
      <c r="AI76">
        <f>(((EX76*1.25)*1.35))</f>
        <v>0.20250000000000001</v>
      </c>
      <c r="AJ76">
        <f t="shared" si="72"/>
        <v>0</v>
      </c>
      <c r="AK76">
        <v>229.32</v>
      </c>
      <c r="AL76">
        <v>179.2</v>
      </c>
      <c r="AM76">
        <v>8.75</v>
      </c>
      <c r="AN76">
        <v>1.42</v>
      </c>
      <c r="AO76">
        <v>41.37</v>
      </c>
      <c r="AP76">
        <v>0</v>
      </c>
      <c r="AQ76">
        <v>4.8499999999999996</v>
      </c>
      <c r="AR76">
        <v>0.12</v>
      </c>
      <c r="AS76">
        <v>0</v>
      </c>
      <c r="AT76">
        <v>95</v>
      </c>
      <c r="AU76">
        <v>55</v>
      </c>
      <c r="AV76">
        <v>1</v>
      </c>
      <c r="AW76">
        <v>1</v>
      </c>
      <c r="AZ76">
        <v>1</v>
      </c>
      <c r="BA76">
        <v>33.65</v>
      </c>
      <c r="BB76">
        <v>11.21</v>
      </c>
      <c r="BC76">
        <v>5.01</v>
      </c>
      <c r="BD76" t="s">
        <v>3</v>
      </c>
      <c r="BE76" t="s">
        <v>3</v>
      </c>
      <c r="BF76" t="s">
        <v>3</v>
      </c>
      <c r="BG76" t="s">
        <v>3</v>
      </c>
      <c r="BH76">
        <v>0</v>
      </c>
      <c r="BI76">
        <v>1</v>
      </c>
      <c r="BJ76" t="s">
        <v>246</v>
      </c>
      <c r="BM76">
        <v>6001</v>
      </c>
      <c r="BN76">
        <v>0</v>
      </c>
      <c r="BO76" t="s">
        <v>244</v>
      </c>
      <c r="BP76">
        <v>1</v>
      </c>
      <c r="BQ76">
        <v>2</v>
      </c>
      <c r="BR76">
        <v>0</v>
      </c>
      <c r="BS76">
        <v>33.65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3</v>
      </c>
      <c r="BZ76">
        <v>105</v>
      </c>
      <c r="CA76">
        <v>65</v>
      </c>
      <c r="CE76">
        <v>0</v>
      </c>
      <c r="CF76">
        <v>0</v>
      </c>
      <c r="CG76">
        <v>0</v>
      </c>
      <c r="CM76">
        <v>0</v>
      </c>
      <c r="CN76" t="s">
        <v>1332</v>
      </c>
      <c r="CO76">
        <v>0</v>
      </c>
      <c r="CP76">
        <f t="shared" si="73"/>
        <v>5804.4699999999993</v>
      </c>
      <c r="CQ76">
        <f t="shared" si="74"/>
        <v>897.79199999999992</v>
      </c>
      <c r="CR76">
        <f t="shared" si="75"/>
        <v>165.57170000000002</v>
      </c>
      <c r="CS76">
        <f t="shared" si="76"/>
        <v>80.759999999999991</v>
      </c>
      <c r="CT76">
        <f t="shared" si="77"/>
        <v>2161.3395</v>
      </c>
      <c r="CU76">
        <f t="shared" si="78"/>
        <v>0</v>
      </c>
      <c r="CV76">
        <f t="shared" si="79"/>
        <v>7.5296249999999985</v>
      </c>
      <c r="CW76">
        <f t="shared" si="80"/>
        <v>0.20250000000000001</v>
      </c>
      <c r="CX76">
        <f t="shared" si="81"/>
        <v>0</v>
      </c>
      <c r="CY76">
        <f t="shared" si="82"/>
        <v>3833.991</v>
      </c>
      <c r="CZ76">
        <f t="shared" si="83"/>
        <v>2219.6790000000001</v>
      </c>
      <c r="DC76" t="s">
        <v>3</v>
      </c>
      <c r="DD76" t="s">
        <v>3</v>
      </c>
      <c r="DE76" t="s">
        <v>146</v>
      </c>
      <c r="DF76" t="s">
        <v>146</v>
      </c>
      <c r="DG76" t="s">
        <v>147</v>
      </c>
      <c r="DH76" t="s">
        <v>3</v>
      </c>
      <c r="DI76" t="s">
        <v>147</v>
      </c>
      <c r="DJ76" t="s">
        <v>146</v>
      </c>
      <c r="DK76" t="s">
        <v>3</v>
      </c>
      <c r="DL76" t="s">
        <v>3</v>
      </c>
      <c r="DM76" t="s">
        <v>3</v>
      </c>
      <c r="DN76">
        <v>0</v>
      </c>
      <c r="DO76">
        <v>0</v>
      </c>
      <c r="DP76">
        <v>1</v>
      </c>
      <c r="DQ76">
        <v>1</v>
      </c>
      <c r="DU76">
        <v>1007</v>
      </c>
      <c r="DV76" t="s">
        <v>113</v>
      </c>
      <c r="DW76" t="s">
        <v>113</v>
      </c>
      <c r="DX76">
        <v>1</v>
      </c>
      <c r="DZ76" t="s">
        <v>3</v>
      </c>
      <c r="EA76" t="s">
        <v>3</v>
      </c>
      <c r="EB76" t="s">
        <v>3</v>
      </c>
      <c r="EC76" t="s">
        <v>3</v>
      </c>
      <c r="EE76">
        <v>64095013</v>
      </c>
      <c r="EF76">
        <v>2</v>
      </c>
      <c r="EG76" t="s">
        <v>13</v>
      </c>
      <c r="EH76">
        <v>0</v>
      </c>
      <c r="EI76" t="s">
        <v>3</v>
      </c>
      <c r="EJ76">
        <v>1</v>
      </c>
      <c r="EK76">
        <v>6001</v>
      </c>
      <c r="EL76" t="s">
        <v>247</v>
      </c>
      <c r="EM76" t="s">
        <v>248</v>
      </c>
      <c r="EO76" t="s">
        <v>150</v>
      </c>
      <c r="EQ76">
        <v>0</v>
      </c>
      <c r="ER76">
        <v>229.32</v>
      </c>
      <c r="ES76">
        <v>179.2</v>
      </c>
      <c r="ET76">
        <v>8.75</v>
      </c>
      <c r="EU76">
        <v>1.42</v>
      </c>
      <c r="EV76">
        <v>41.37</v>
      </c>
      <c r="EW76">
        <v>4.8499999999999996</v>
      </c>
      <c r="EX76">
        <v>0.12</v>
      </c>
      <c r="EY76">
        <v>0</v>
      </c>
      <c r="FQ76">
        <v>0</v>
      </c>
      <c r="FR76">
        <f t="shared" si="84"/>
        <v>0</v>
      </c>
      <c r="FS76">
        <v>0</v>
      </c>
      <c r="FT76" t="s">
        <v>52</v>
      </c>
      <c r="FU76" t="s">
        <v>53</v>
      </c>
      <c r="FX76">
        <v>94.5</v>
      </c>
      <c r="FY76">
        <v>55.25</v>
      </c>
      <c r="GA76" t="s">
        <v>3</v>
      </c>
      <c r="GD76">
        <v>1</v>
      </c>
      <c r="GF76">
        <v>-986088801</v>
      </c>
      <c r="GG76">
        <v>2</v>
      </c>
      <c r="GH76">
        <v>1</v>
      </c>
      <c r="GI76">
        <v>2</v>
      </c>
      <c r="GJ76">
        <v>0</v>
      </c>
      <c r="GK76">
        <v>0</v>
      </c>
      <c r="GL76">
        <f t="shared" si="85"/>
        <v>0</v>
      </c>
      <c r="GM76">
        <f t="shared" si="86"/>
        <v>11858.14</v>
      </c>
      <c r="GN76">
        <f t="shared" si="87"/>
        <v>11858.14</v>
      </c>
      <c r="GO76">
        <f t="shared" si="88"/>
        <v>0</v>
      </c>
      <c r="GP76">
        <f t="shared" si="89"/>
        <v>0</v>
      </c>
      <c r="GR76">
        <v>0</v>
      </c>
      <c r="GS76">
        <v>3</v>
      </c>
      <c r="GT76">
        <v>0</v>
      </c>
      <c r="GU76" t="s">
        <v>3</v>
      </c>
      <c r="GV76">
        <f t="shared" si="90"/>
        <v>0</v>
      </c>
      <c r="GW76">
        <v>1</v>
      </c>
      <c r="GX76">
        <f t="shared" si="91"/>
        <v>0</v>
      </c>
      <c r="HA76">
        <v>0</v>
      </c>
      <c r="HB76">
        <v>0</v>
      </c>
      <c r="HC76">
        <f t="shared" si="92"/>
        <v>0</v>
      </c>
      <c r="HE76" t="s">
        <v>3</v>
      </c>
      <c r="HF76" t="s">
        <v>3</v>
      </c>
      <c r="IK76">
        <v>0</v>
      </c>
    </row>
    <row r="77" spans="1:245" x14ac:dyDescent="0.2">
      <c r="A77">
        <v>18</v>
      </c>
      <c r="B77">
        <v>1</v>
      </c>
      <c r="C77">
        <v>193</v>
      </c>
      <c r="E77" t="s">
        <v>249</v>
      </c>
      <c r="F77" t="s">
        <v>250</v>
      </c>
      <c r="G77" t="s">
        <v>251</v>
      </c>
      <c r="H77" t="s">
        <v>113</v>
      </c>
      <c r="I77">
        <f>I76*J77</f>
        <v>1.827</v>
      </c>
      <c r="J77">
        <v>1.0149999999999999</v>
      </c>
      <c r="O77">
        <f t="shared" si="58"/>
        <v>7926.68</v>
      </c>
      <c r="P77">
        <f t="shared" si="59"/>
        <v>7926.68</v>
      </c>
      <c r="Q77">
        <f t="shared" si="60"/>
        <v>0</v>
      </c>
      <c r="R77">
        <f t="shared" si="61"/>
        <v>0</v>
      </c>
      <c r="S77">
        <f t="shared" si="62"/>
        <v>0</v>
      </c>
      <c r="T77">
        <f t="shared" si="63"/>
        <v>0</v>
      </c>
      <c r="U77">
        <f t="shared" si="64"/>
        <v>0</v>
      </c>
      <c r="V77">
        <f t="shared" si="65"/>
        <v>0</v>
      </c>
      <c r="W77">
        <f t="shared" si="66"/>
        <v>0</v>
      </c>
      <c r="X77">
        <f t="shared" si="67"/>
        <v>0</v>
      </c>
      <c r="Y77">
        <f t="shared" si="68"/>
        <v>0</v>
      </c>
      <c r="AA77">
        <v>68990560</v>
      </c>
      <c r="AB77">
        <f t="shared" si="69"/>
        <v>748.04</v>
      </c>
      <c r="AC77">
        <f t="shared" si="70"/>
        <v>748.04</v>
      </c>
      <c r="AD77">
        <f>ROUND((((ET77)-(EU77))+AE77),2)</f>
        <v>0</v>
      </c>
      <c r="AE77">
        <f t="shared" ref="AE77:AF79" si="95">ROUND((EU77),2)</f>
        <v>0</v>
      </c>
      <c r="AF77">
        <f t="shared" si="95"/>
        <v>0</v>
      </c>
      <c r="AG77">
        <f t="shared" si="71"/>
        <v>0</v>
      </c>
      <c r="AH77">
        <f t="shared" ref="AH77:AI79" si="96">(EW77)</f>
        <v>0</v>
      </c>
      <c r="AI77">
        <f t="shared" si="96"/>
        <v>0</v>
      </c>
      <c r="AJ77">
        <f t="shared" si="72"/>
        <v>0</v>
      </c>
      <c r="AK77">
        <v>748.04</v>
      </c>
      <c r="AL77">
        <v>748.04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95</v>
      </c>
      <c r="AU77">
        <v>55</v>
      </c>
      <c r="AV77">
        <v>1</v>
      </c>
      <c r="AW77">
        <v>1</v>
      </c>
      <c r="AZ77">
        <v>1</v>
      </c>
      <c r="BA77">
        <v>1</v>
      </c>
      <c r="BB77">
        <v>1</v>
      </c>
      <c r="BC77">
        <v>5.8</v>
      </c>
      <c r="BD77" t="s">
        <v>3</v>
      </c>
      <c r="BE77" t="s">
        <v>3</v>
      </c>
      <c r="BF77" t="s">
        <v>3</v>
      </c>
      <c r="BG77" t="s">
        <v>3</v>
      </c>
      <c r="BH77">
        <v>3</v>
      </c>
      <c r="BI77">
        <v>1</v>
      </c>
      <c r="BJ77" t="s">
        <v>252</v>
      </c>
      <c r="BM77">
        <v>6001</v>
      </c>
      <c r="BN77">
        <v>0</v>
      </c>
      <c r="BO77" t="s">
        <v>250</v>
      </c>
      <c r="BP77">
        <v>1</v>
      </c>
      <c r="BQ77">
        <v>2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3</v>
      </c>
      <c r="BZ77">
        <v>105</v>
      </c>
      <c r="CA77">
        <v>65</v>
      </c>
      <c r="CE77">
        <v>0</v>
      </c>
      <c r="CF77">
        <v>0</v>
      </c>
      <c r="CG77">
        <v>0</v>
      </c>
      <c r="CM77">
        <v>0</v>
      </c>
      <c r="CN77" t="s">
        <v>3</v>
      </c>
      <c r="CO77">
        <v>0</v>
      </c>
      <c r="CP77">
        <f t="shared" si="73"/>
        <v>7926.68</v>
      </c>
      <c r="CQ77">
        <f t="shared" si="74"/>
        <v>4338.6319999999996</v>
      </c>
      <c r="CR77">
        <f t="shared" si="75"/>
        <v>0</v>
      </c>
      <c r="CS77">
        <f t="shared" si="76"/>
        <v>0</v>
      </c>
      <c r="CT77">
        <f t="shared" si="77"/>
        <v>0</v>
      </c>
      <c r="CU77">
        <f t="shared" si="78"/>
        <v>0</v>
      </c>
      <c r="CV77">
        <f t="shared" si="79"/>
        <v>0</v>
      </c>
      <c r="CW77">
        <f t="shared" si="80"/>
        <v>0</v>
      </c>
      <c r="CX77">
        <f t="shared" si="81"/>
        <v>0</v>
      </c>
      <c r="CY77">
        <f t="shared" si="82"/>
        <v>0</v>
      </c>
      <c r="CZ77">
        <f t="shared" si="83"/>
        <v>0</v>
      </c>
      <c r="DC77" t="s">
        <v>3</v>
      </c>
      <c r="DD77" t="s">
        <v>3</v>
      </c>
      <c r="DE77" t="s">
        <v>3</v>
      </c>
      <c r="DF77" t="s">
        <v>3</v>
      </c>
      <c r="DG77" t="s">
        <v>3</v>
      </c>
      <c r="DH77" t="s">
        <v>3</v>
      </c>
      <c r="DI77" t="s">
        <v>3</v>
      </c>
      <c r="DJ77" t="s">
        <v>3</v>
      </c>
      <c r="DK77" t="s">
        <v>3</v>
      </c>
      <c r="DL77" t="s">
        <v>3</v>
      </c>
      <c r="DM77" t="s">
        <v>3</v>
      </c>
      <c r="DN77">
        <v>0</v>
      </c>
      <c r="DO77">
        <v>0</v>
      </c>
      <c r="DP77">
        <v>1</v>
      </c>
      <c r="DQ77">
        <v>1</v>
      </c>
      <c r="DU77">
        <v>1007</v>
      </c>
      <c r="DV77" t="s">
        <v>113</v>
      </c>
      <c r="DW77" t="s">
        <v>113</v>
      </c>
      <c r="DX77">
        <v>1</v>
      </c>
      <c r="DZ77" t="s">
        <v>3</v>
      </c>
      <c r="EA77" t="s">
        <v>3</v>
      </c>
      <c r="EB77" t="s">
        <v>3</v>
      </c>
      <c r="EC77" t="s">
        <v>3</v>
      </c>
      <c r="EE77">
        <v>64095013</v>
      </c>
      <c r="EF77">
        <v>2</v>
      </c>
      <c r="EG77" t="s">
        <v>13</v>
      </c>
      <c r="EH77">
        <v>0</v>
      </c>
      <c r="EI77" t="s">
        <v>3</v>
      </c>
      <c r="EJ77">
        <v>1</v>
      </c>
      <c r="EK77">
        <v>6001</v>
      </c>
      <c r="EL77" t="s">
        <v>247</v>
      </c>
      <c r="EM77" t="s">
        <v>248</v>
      </c>
      <c r="EO77" t="s">
        <v>3</v>
      </c>
      <c r="EQ77">
        <v>0</v>
      </c>
      <c r="ER77">
        <v>748.04</v>
      </c>
      <c r="ES77">
        <v>748.04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84"/>
        <v>0</v>
      </c>
      <c r="FS77">
        <v>0</v>
      </c>
      <c r="FT77" t="s">
        <v>52</v>
      </c>
      <c r="FU77" t="s">
        <v>53</v>
      </c>
      <c r="FX77">
        <v>94.5</v>
      </c>
      <c r="FY77">
        <v>55.25</v>
      </c>
      <c r="GA77" t="s">
        <v>3</v>
      </c>
      <c r="GD77">
        <v>1</v>
      </c>
      <c r="GF77">
        <v>-2058797209</v>
      </c>
      <c r="GG77">
        <v>2</v>
      </c>
      <c r="GH77">
        <v>1</v>
      </c>
      <c r="GI77">
        <v>2</v>
      </c>
      <c r="GJ77">
        <v>0</v>
      </c>
      <c r="GK77">
        <v>0</v>
      </c>
      <c r="GL77">
        <f t="shared" si="85"/>
        <v>0</v>
      </c>
      <c r="GM77">
        <f t="shared" si="86"/>
        <v>7926.68</v>
      </c>
      <c r="GN77">
        <f t="shared" si="87"/>
        <v>7926.68</v>
      </c>
      <c r="GO77">
        <f t="shared" si="88"/>
        <v>0</v>
      </c>
      <c r="GP77">
        <f t="shared" si="89"/>
        <v>0</v>
      </c>
      <c r="GR77">
        <v>0</v>
      </c>
      <c r="GS77">
        <v>3</v>
      </c>
      <c r="GT77">
        <v>0</v>
      </c>
      <c r="GU77" t="s">
        <v>3</v>
      </c>
      <c r="GV77">
        <f t="shared" si="90"/>
        <v>0</v>
      </c>
      <c r="GW77">
        <v>1</v>
      </c>
      <c r="GX77">
        <f t="shared" si="91"/>
        <v>0</v>
      </c>
      <c r="HA77">
        <v>0</v>
      </c>
      <c r="HB77">
        <v>0</v>
      </c>
      <c r="HC77">
        <f t="shared" si="92"/>
        <v>0</v>
      </c>
      <c r="HE77" t="s">
        <v>3</v>
      </c>
      <c r="HF77" t="s">
        <v>3</v>
      </c>
      <c r="IK77">
        <v>0</v>
      </c>
    </row>
    <row r="78" spans="1:245" x14ac:dyDescent="0.2">
      <c r="A78">
        <v>18</v>
      </c>
      <c r="B78">
        <v>1</v>
      </c>
      <c r="C78">
        <v>192</v>
      </c>
      <c r="E78" t="s">
        <v>253</v>
      </c>
      <c r="F78" t="s">
        <v>254</v>
      </c>
      <c r="G78" t="s">
        <v>255</v>
      </c>
      <c r="H78" t="s">
        <v>46</v>
      </c>
      <c r="I78">
        <f>I76*J78</f>
        <v>5.1428570000000002</v>
      </c>
      <c r="J78">
        <v>2.8571427777777778</v>
      </c>
      <c r="O78">
        <f t="shared" si="58"/>
        <v>3667.71</v>
      </c>
      <c r="P78">
        <f t="shared" si="59"/>
        <v>3667.71</v>
      </c>
      <c r="Q78">
        <f t="shared" si="60"/>
        <v>0</v>
      </c>
      <c r="R78">
        <f t="shared" si="61"/>
        <v>0</v>
      </c>
      <c r="S78">
        <f t="shared" si="62"/>
        <v>0</v>
      </c>
      <c r="T78">
        <f t="shared" si="63"/>
        <v>0</v>
      </c>
      <c r="U78">
        <f t="shared" si="64"/>
        <v>0</v>
      </c>
      <c r="V78">
        <f t="shared" si="65"/>
        <v>0</v>
      </c>
      <c r="W78">
        <f t="shared" si="66"/>
        <v>0</v>
      </c>
      <c r="X78">
        <f t="shared" si="67"/>
        <v>0</v>
      </c>
      <c r="Y78">
        <f t="shared" si="68"/>
        <v>0</v>
      </c>
      <c r="AA78">
        <v>68990560</v>
      </c>
      <c r="AB78">
        <f t="shared" si="69"/>
        <v>181.93</v>
      </c>
      <c r="AC78">
        <f t="shared" si="70"/>
        <v>181.93</v>
      </c>
      <c r="AD78">
        <f>ROUND((((ET78)-(EU78))+AE78),2)</f>
        <v>0</v>
      </c>
      <c r="AE78">
        <f t="shared" si="95"/>
        <v>0</v>
      </c>
      <c r="AF78">
        <f t="shared" si="95"/>
        <v>0</v>
      </c>
      <c r="AG78">
        <f t="shared" si="71"/>
        <v>0</v>
      </c>
      <c r="AH78">
        <f t="shared" si="96"/>
        <v>0</v>
      </c>
      <c r="AI78">
        <f t="shared" si="96"/>
        <v>0</v>
      </c>
      <c r="AJ78">
        <f t="shared" si="72"/>
        <v>0</v>
      </c>
      <c r="AK78">
        <v>181.93</v>
      </c>
      <c r="AL78">
        <v>181.93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95</v>
      </c>
      <c r="AU78">
        <v>55</v>
      </c>
      <c r="AV78">
        <v>1</v>
      </c>
      <c r="AW78">
        <v>1</v>
      </c>
      <c r="AZ78">
        <v>1</v>
      </c>
      <c r="BA78">
        <v>1</v>
      </c>
      <c r="BB78">
        <v>1</v>
      </c>
      <c r="BC78">
        <v>3.92</v>
      </c>
      <c r="BD78" t="s">
        <v>3</v>
      </c>
      <c r="BE78" t="s">
        <v>3</v>
      </c>
      <c r="BF78" t="s">
        <v>3</v>
      </c>
      <c r="BG78" t="s">
        <v>3</v>
      </c>
      <c r="BH78">
        <v>3</v>
      </c>
      <c r="BI78">
        <v>1</v>
      </c>
      <c r="BJ78" t="s">
        <v>256</v>
      </c>
      <c r="BM78">
        <v>6001</v>
      </c>
      <c r="BN78">
        <v>0</v>
      </c>
      <c r="BO78" t="s">
        <v>254</v>
      </c>
      <c r="BP78">
        <v>1</v>
      </c>
      <c r="BQ78">
        <v>2</v>
      </c>
      <c r="BR78">
        <v>0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3</v>
      </c>
      <c r="BZ78">
        <v>105</v>
      </c>
      <c r="CA78">
        <v>65</v>
      </c>
      <c r="CE78">
        <v>0</v>
      </c>
      <c r="CF78">
        <v>0</v>
      </c>
      <c r="CG78">
        <v>0</v>
      </c>
      <c r="CM78">
        <v>0</v>
      </c>
      <c r="CN78" t="s">
        <v>3</v>
      </c>
      <c r="CO78">
        <v>0</v>
      </c>
      <c r="CP78">
        <f t="shared" si="73"/>
        <v>3667.71</v>
      </c>
      <c r="CQ78">
        <f t="shared" si="74"/>
        <v>713.16560000000004</v>
      </c>
      <c r="CR78">
        <f t="shared" si="75"/>
        <v>0</v>
      </c>
      <c r="CS78">
        <f t="shared" si="76"/>
        <v>0</v>
      </c>
      <c r="CT78">
        <f t="shared" si="77"/>
        <v>0</v>
      </c>
      <c r="CU78">
        <f t="shared" si="78"/>
        <v>0</v>
      </c>
      <c r="CV78">
        <f t="shared" si="79"/>
        <v>0</v>
      </c>
      <c r="CW78">
        <f t="shared" si="80"/>
        <v>0</v>
      </c>
      <c r="CX78">
        <f t="shared" si="81"/>
        <v>0</v>
      </c>
      <c r="CY78">
        <f t="shared" si="82"/>
        <v>0</v>
      </c>
      <c r="CZ78">
        <f t="shared" si="83"/>
        <v>0</v>
      </c>
      <c r="DC78" t="s">
        <v>3</v>
      </c>
      <c r="DD78" t="s">
        <v>3</v>
      </c>
      <c r="DE78" t="s">
        <v>3</v>
      </c>
      <c r="DF78" t="s">
        <v>3</v>
      </c>
      <c r="DG78" t="s">
        <v>3</v>
      </c>
      <c r="DH78" t="s">
        <v>3</v>
      </c>
      <c r="DI78" t="s">
        <v>3</v>
      </c>
      <c r="DJ78" t="s">
        <v>3</v>
      </c>
      <c r="DK78" t="s">
        <v>3</v>
      </c>
      <c r="DL78" t="s">
        <v>3</v>
      </c>
      <c r="DM78" t="s">
        <v>3</v>
      </c>
      <c r="DN78">
        <v>0</v>
      </c>
      <c r="DO78">
        <v>0</v>
      </c>
      <c r="DP78">
        <v>1</v>
      </c>
      <c r="DQ78">
        <v>1</v>
      </c>
      <c r="DU78">
        <v>1005</v>
      </c>
      <c r="DV78" t="s">
        <v>46</v>
      </c>
      <c r="DW78" t="s">
        <v>46</v>
      </c>
      <c r="DX78">
        <v>1</v>
      </c>
      <c r="DZ78" t="s">
        <v>3</v>
      </c>
      <c r="EA78" t="s">
        <v>3</v>
      </c>
      <c r="EB78" t="s">
        <v>3</v>
      </c>
      <c r="EC78" t="s">
        <v>3</v>
      </c>
      <c r="EE78">
        <v>64095013</v>
      </c>
      <c r="EF78">
        <v>2</v>
      </c>
      <c r="EG78" t="s">
        <v>13</v>
      </c>
      <c r="EH78">
        <v>0</v>
      </c>
      <c r="EI78" t="s">
        <v>3</v>
      </c>
      <c r="EJ78">
        <v>1</v>
      </c>
      <c r="EK78">
        <v>6001</v>
      </c>
      <c r="EL78" t="s">
        <v>247</v>
      </c>
      <c r="EM78" t="s">
        <v>248</v>
      </c>
      <c r="EO78" t="s">
        <v>3</v>
      </c>
      <c r="EQ78">
        <v>0</v>
      </c>
      <c r="ER78">
        <v>181.93</v>
      </c>
      <c r="ES78">
        <v>181.93</v>
      </c>
      <c r="ET78">
        <v>0</v>
      </c>
      <c r="EU78">
        <v>0</v>
      </c>
      <c r="EV78">
        <v>0</v>
      </c>
      <c r="EW78">
        <v>0</v>
      </c>
      <c r="EX78">
        <v>0</v>
      </c>
      <c r="FQ78">
        <v>0</v>
      </c>
      <c r="FR78">
        <f t="shared" si="84"/>
        <v>0</v>
      </c>
      <c r="FS78">
        <v>0</v>
      </c>
      <c r="FT78" t="s">
        <v>52</v>
      </c>
      <c r="FU78" t="s">
        <v>53</v>
      </c>
      <c r="FX78">
        <v>94.5</v>
      </c>
      <c r="FY78">
        <v>55.25</v>
      </c>
      <c r="GA78" t="s">
        <v>3</v>
      </c>
      <c r="GD78">
        <v>1</v>
      </c>
      <c r="GF78">
        <v>1085254478</v>
      </c>
      <c r="GG78">
        <v>2</v>
      </c>
      <c r="GH78">
        <v>1</v>
      </c>
      <c r="GI78">
        <v>2</v>
      </c>
      <c r="GJ78">
        <v>0</v>
      </c>
      <c r="GK78">
        <v>0</v>
      </c>
      <c r="GL78">
        <f t="shared" si="85"/>
        <v>0</v>
      </c>
      <c r="GM78">
        <f t="shared" si="86"/>
        <v>3667.71</v>
      </c>
      <c r="GN78">
        <f t="shared" si="87"/>
        <v>3667.71</v>
      </c>
      <c r="GO78">
        <f t="shared" si="88"/>
        <v>0</v>
      </c>
      <c r="GP78">
        <f t="shared" si="89"/>
        <v>0</v>
      </c>
      <c r="GR78">
        <v>0</v>
      </c>
      <c r="GS78">
        <v>3</v>
      </c>
      <c r="GT78">
        <v>0</v>
      </c>
      <c r="GU78" t="s">
        <v>3</v>
      </c>
      <c r="GV78">
        <f t="shared" si="90"/>
        <v>0</v>
      </c>
      <c r="GW78">
        <v>1</v>
      </c>
      <c r="GX78">
        <f t="shared" si="91"/>
        <v>0</v>
      </c>
      <c r="HA78">
        <v>0</v>
      </c>
      <c r="HB78">
        <v>0</v>
      </c>
      <c r="HC78">
        <f t="shared" si="92"/>
        <v>0</v>
      </c>
      <c r="HE78" t="s">
        <v>3</v>
      </c>
      <c r="HF78" t="s">
        <v>3</v>
      </c>
      <c r="IK78">
        <v>0</v>
      </c>
    </row>
    <row r="79" spans="1:245" x14ac:dyDescent="0.2">
      <c r="A79">
        <v>18</v>
      </c>
      <c r="B79">
        <v>1</v>
      </c>
      <c r="C79">
        <v>195</v>
      </c>
      <c r="E79" t="s">
        <v>257</v>
      </c>
      <c r="F79" t="s">
        <v>258</v>
      </c>
      <c r="G79" t="s">
        <v>259</v>
      </c>
      <c r="H79" t="s">
        <v>71</v>
      </c>
      <c r="I79">
        <f>I76*J79</f>
        <v>0.22140000000000001</v>
      </c>
      <c r="J79">
        <v>0.123</v>
      </c>
      <c r="O79">
        <f t="shared" si="58"/>
        <v>10078.209999999999</v>
      </c>
      <c r="P79">
        <f t="shared" si="59"/>
        <v>10078.209999999999</v>
      </c>
      <c r="Q79">
        <f t="shared" si="60"/>
        <v>0</v>
      </c>
      <c r="R79">
        <f t="shared" si="61"/>
        <v>0</v>
      </c>
      <c r="S79">
        <f t="shared" si="62"/>
        <v>0</v>
      </c>
      <c r="T79">
        <f t="shared" si="63"/>
        <v>0</v>
      </c>
      <c r="U79">
        <f t="shared" si="64"/>
        <v>0</v>
      </c>
      <c r="V79">
        <f t="shared" si="65"/>
        <v>0</v>
      </c>
      <c r="W79">
        <f t="shared" si="66"/>
        <v>0</v>
      </c>
      <c r="X79">
        <f t="shared" si="67"/>
        <v>0</v>
      </c>
      <c r="Y79">
        <f t="shared" si="68"/>
        <v>0</v>
      </c>
      <c r="AA79">
        <v>68990560</v>
      </c>
      <c r="AB79">
        <f t="shared" si="69"/>
        <v>8014.15</v>
      </c>
      <c r="AC79">
        <f t="shared" si="70"/>
        <v>8014.15</v>
      </c>
      <c r="AD79">
        <f>ROUND((((ET79)-(EU79))+AE79),2)</f>
        <v>0</v>
      </c>
      <c r="AE79">
        <f t="shared" si="95"/>
        <v>0</v>
      </c>
      <c r="AF79">
        <f t="shared" si="95"/>
        <v>0</v>
      </c>
      <c r="AG79">
        <f t="shared" si="71"/>
        <v>0</v>
      </c>
      <c r="AH79">
        <f t="shared" si="96"/>
        <v>0</v>
      </c>
      <c r="AI79">
        <f t="shared" si="96"/>
        <v>0</v>
      </c>
      <c r="AJ79">
        <f t="shared" si="72"/>
        <v>0</v>
      </c>
      <c r="AK79">
        <v>8014.15</v>
      </c>
      <c r="AL79">
        <v>8014.15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95</v>
      </c>
      <c r="AU79">
        <v>55</v>
      </c>
      <c r="AV79">
        <v>1</v>
      </c>
      <c r="AW79">
        <v>1</v>
      </c>
      <c r="AZ79">
        <v>1</v>
      </c>
      <c r="BA79">
        <v>1</v>
      </c>
      <c r="BB79">
        <v>1</v>
      </c>
      <c r="BC79">
        <v>5.68</v>
      </c>
      <c r="BD79" t="s">
        <v>3</v>
      </c>
      <c r="BE79" t="s">
        <v>3</v>
      </c>
      <c r="BF79" t="s">
        <v>3</v>
      </c>
      <c r="BG79" t="s">
        <v>3</v>
      </c>
      <c r="BH79">
        <v>3</v>
      </c>
      <c r="BI79">
        <v>1</v>
      </c>
      <c r="BJ79" t="s">
        <v>260</v>
      </c>
      <c r="BM79">
        <v>6001</v>
      </c>
      <c r="BN79">
        <v>0</v>
      </c>
      <c r="BO79" t="s">
        <v>258</v>
      </c>
      <c r="BP79">
        <v>1</v>
      </c>
      <c r="BQ79">
        <v>2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3</v>
      </c>
      <c r="BZ79">
        <v>105</v>
      </c>
      <c r="CA79">
        <v>65</v>
      </c>
      <c r="CE79">
        <v>0</v>
      </c>
      <c r="CF79">
        <v>0</v>
      </c>
      <c r="CG79">
        <v>0</v>
      </c>
      <c r="CM79">
        <v>0</v>
      </c>
      <c r="CN79" t="s">
        <v>3</v>
      </c>
      <c r="CO79">
        <v>0</v>
      </c>
      <c r="CP79">
        <f t="shared" si="73"/>
        <v>10078.209999999999</v>
      </c>
      <c r="CQ79">
        <f t="shared" si="74"/>
        <v>45520.371999999996</v>
      </c>
      <c r="CR79">
        <f t="shared" si="75"/>
        <v>0</v>
      </c>
      <c r="CS79">
        <f t="shared" si="76"/>
        <v>0</v>
      </c>
      <c r="CT79">
        <f t="shared" si="77"/>
        <v>0</v>
      </c>
      <c r="CU79">
        <f t="shared" si="78"/>
        <v>0</v>
      </c>
      <c r="CV79">
        <f t="shared" si="79"/>
        <v>0</v>
      </c>
      <c r="CW79">
        <f t="shared" si="80"/>
        <v>0</v>
      </c>
      <c r="CX79">
        <f t="shared" si="81"/>
        <v>0</v>
      </c>
      <c r="CY79">
        <f t="shared" si="82"/>
        <v>0</v>
      </c>
      <c r="CZ79">
        <f t="shared" si="83"/>
        <v>0</v>
      </c>
      <c r="DC79" t="s">
        <v>3</v>
      </c>
      <c r="DD79" t="s">
        <v>3</v>
      </c>
      <c r="DE79" t="s">
        <v>3</v>
      </c>
      <c r="DF79" t="s">
        <v>3</v>
      </c>
      <c r="DG79" t="s">
        <v>3</v>
      </c>
      <c r="DH79" t="s">
        <v>3</v>
      </c>
      <c r="DI79" t="s">
        <v>3</v>
      </c>
      <c r="DJ79" t="s">
        <v>3</v>
      </c>
      <c r="DK79" t="s">
        <v>3</v>
      </c>
      <c r="DL79" t="s">
        <v>3</v>
      </c>
      <c r="DM79" t="s">
        <v>3</v>
      </c>
      <c r="DN79">
        <v>0</v>
      </c>
      <c r="DO79">
        <v>0</v>
      </c>
      <c r="DP79">
        <v>1</v>
      </c>
      <c r="DQ79">
        <v>1</v>
      </c>
      <c r="DU79">
        <v>1009</v>
      </c>
      <c r="DV79" t="s">
        <v>71</v>
      </c>
      <c r="DW79" t="s">
        <v>71</v>
      </c>
      <c r="DX79">
        <v>1000</v>
      </c>
      <c r="DZ79" t="s">
        <v>3</v>
      </c>
      <c r="EA79" t="s">
        <v>3</v>
      </c>
      <c r="EB79" t="s">
        <v>3</v>
      </c>
      <c r="EC79" t="s">
        <v>3</v>
      </c>
      <c r="EE79">
        <v>64095013</v>
      </c>
      <c r="EF79">
        <v>2</v>
      </c>
      <c r="EG79" t="s">
        <v>13</v>
      </c>
      <c r="EH79">
        <v>0</v>
      </c>
      <c r="EI79" t="s">
        <v>3</v>
      </c>
      <c r="EJ79">
        <v>1</v>
      </c>
      <c r="EK79">
        <v>6001</v>
      </c>
      <c r="EL79" t="s">
        <v>247</v>
      </c>
      <c r="EM79" t="s">
        <v>248</v>
      </c>
      <c r="EO79" t="s">
        <v>3</v>
      </c>
      <c r="EQ79">
        <v>0</v>
      </c>
      <c r="ER79">
        <v>8014.15</v>
      </c>
      <c r="ES79">
        <v>8014.15</v>
      </c>
      <c r="ET79">
        <v>0</v>
      </c>
      <c r="EU79">
        <v>0</v>
      </c>
      <c r="EV79">
        <v>0</v>
      </c>
      <c r="EW79">
        <v>0</v>
      </c>
      <c r="EX79">
        <v>0</v>
      </c>
      <c r="FQ79">
        <v>0</v>
      </c>
      <c r="FR79">
        <f t="shared" si="84"/>
        <v>0</v>
      </c>
      <c r="FS79">
        <v>0</v>
      </c>
      <c r="FT79" t="s">
        <v>52</v>
      </c>
      <c r="FU79" t="s">
        <v>53</v>
      </c>
      <c r="FX79">
        <v>94.5</v>
      </c>
      <c r="FY79">
        <v>55.25</v>
      </c>
      <c r="GA79" t="s">
        <v>3</v>
      </c>
      <c r="GD79">
        <v>1</v>
      </c>
      <c r="GF79">
        <v>-425551073</v>
      </c>
      <c r="GG79">
        <v>2</v>
      </c>
      <c r="GH79">
        <v>1</v>
      </c>
      <c r="GI79">
        <v>2</v>
      </c>
      <c r="GJ79">
        <v>0</v>
      </c>
      <c r="GK79">
        <v>0</v>
      </c>
      <c r="GL79">
        <f t="shared" si="85"/>
        <v>0</v>
      </c>
      <c r="GM79">
        <f t="shared" si="86"/>
        <v>10078.209999999999</v>
      </c>
      <c r="GN79">
        <f t="shared" si="87"/>
        <v>10078.209999999999</v>
      </c>
      <c r="GO79">
        <f t="shared" si="88"/>
        <v>0</v>
      </c>
      <c r="GP79">
        <f t="shared" si="89"/>
        <v>0</v>
      </c>
      <c r="GR79">
        <v>0</v>
      </c>
      <c r="GS79">
        <v>3</v>
      </c>
      <c r="GT79">
        <v>0</v>
      </c>
      <c r="GU79" t="s">
        <v>3</v>
      </c>
      <c r="GV79">
        <f t="shared" si="90"/>
        <v>0</v>
      </c>
      <c r="GW79">
        <v>1</v>
      </c>
      <c r="GX79">
        <f t="shared" si="91"/>
        <v>0</v>
      </c>
      <c r="HA79">
        <v>0</v>
      </c>
      <c r="HB79">
        <v>0</v>
      </c>
      <c r="HC79">
        <f t="shared" si="92"/>
        <v>0</v>
      </c>
      <c r="HE79" t="s">
        <v>3</v>
      </c>
      <c r="HF79" t="s">
        <v>3</v>
      </c>
      <c r="IK79">
        <v>0</v>
      </c>
    </row>
    <row r="80" spans="1:245" x14ac:dyDescent="0.2">
      <c r="A80">
        <v>17</v>
      </c>
      <c r="B80">
        <v>1</v>
      </c>
      <c r="C80">
        <f>ROW(SmtRes!A205)</f>
        <v>205</v>
      </c>
      <c r="D80">
        <f>ROW(EtalonRes!A213)</f>
        <v>213</v>
      </c>
      <c r="E80" t="s">
        <v>261</v>
      </c>
      <c r="F80" t="s">
        <v>262</v>
      </c>
      <c r="G80" t="s">
        <v>263</v>
      </c>
      <c r="H80" t="s">
        <v>138</v>
      </c>
      <c r="I80">
        <f>ROUND(0.338/100,5)</f>
        <v>3.3800000000000002E-3</v>
      </c>
      <c r="J80">
        <v>0</v>
      </c>
      <c r="O80">
        <f t="shared" si="58"/>
        <v>276.27999999999997</v>
      </c>
      <c r="P80">
        <f t="shared" si="59"/>
        <v>10.85</v>
      </c>
      <c r="Q80">
        <f t="shared" si="60"/>
        <v>79.5</v>
      </c>
      <c r="R80">
        <f t="shared" si="61"/>
        <v>46.91</v>
      </c>
      <c r="S80">
        <f t="shared" si="62"/>
        <v>185.93</v>
      </c>
      <c r="T80">
        <f t="shared" si="63"/>
        <v>0</v>
      </c>
      <c r="U80">
        <f t="shared" si="64"/>
        <v>0.70840575000000006</v>
      </c>
      <c r="V80">
        <f t="shared" si="65"/>
        <v>0.10335195000000003</v>
      </c>
      <c r="W80">
        <f t="shared" si="66"/>
        <v>0</v>
      </c>
      <c r="X80">
        <f t="shared" si="67"/>
        <v>221.2</v>
      </c>
      <c r="Y80">
        <f t="shared" si="68"/>
        <v>128.06</v>
      </c>
      <c r="AA80">
        <v>68990560</v>
      </c>
      <c r="AB80">
        <f t="shared" si="69"/>
        <v>5186.78</v>
      </c>
      <c r="AC80">
        <f t="shared" si="70"/>
        <v>909.27</v>
      </c>
      <c r="AD80">
        <f>ROUND((((((ET80*1.25)*1.35))-(((EU80*1.25)*1.35)))+AE80),2)</f>
        <v>2642.73</v>
      </c>
      <c r="AE80">
        <f>ROUND((((EU80*1.25)*1.35)),2)</f>
        <v>412.41</v>
      </c>
      <c r="AF80">
        <f>ROUND((((EV80*1.15)*1.35)),2)</f>
        <v>1634.78</v>
      </c>
      <c r="AG80">
        <f t="shared" si="71"/>
        <v>0</v>
      </c>
      <c r="AH80">
        <f>(((EW80*1.15)*1.35))</f>
        <v>209.58750000000001</v>
      </c>
      <c r="AI80">
        <f>(((EX80*1.25)*1.35))</f>
        <v>30.577500000000004</v>
      </c>
      <c r="AJ80">
        <f t="shared" si="72"/>
        <v>0</v>
      </c>
      <c r="AK80">
        <v>3528.33</v>
      </c>
      <c r="AL80">
        <v>909.27</v>
      </c>
      <c r="AM80">
        <v>1566.06</v>
      </c>
      <c r="AN80">
        <v>244.39</v>
      </c>
      <c r="AO80">
        <v>1053</v>
      </c>
      <c r="AP80">
        <v>0</v>
      </c>
      <c r="AQ80">
        <v>135</v>
      </c>
      <c r="AR80">
        <v>18.12</v>
      </c>
      <c r="AS80">
        <v>0</v>
      </c>
      <c r="AT80">
        <v>95</v>
      </c>
      <c r="AU80">
        <v>55</v>
      </c>
      <c r="AV80">
        <v>1</v>
      </c>
      <c r="AW80">
        <v>1</v>
      </c>
      <c r="AZ80">
        <v>1</v>
      </c>
      <c r="BA80">
        <v>33.65</v>
      </c>
      <c r="BB80">
        <v>8.9</v>
      </c>
      <c r="BC80">
        <v>3.53</v>
      </c>
      <c r="BD80" t="s">
        <v>3</v>
      </c>
      <c r="BE80" t="s">
        <v>3</v>
      </c>
      <c r="BF80" t="s">
        <v>3</v>
      </c>
      <c r="BG80" t="s">
        <v>3</v>
      </c>
      <c r="BH80">
        <v>0</v>
      </c>
      <c r="BI80">
        <v>1</v>
      </c>
      <c r="BJ80" t="s">
        <v>264</v>
      </c>
      <c r="BM80">
        <v>6001</v>
      </c>
      <c r="BN80">
        <v>0</v>
      </c>
      <c r="BO80" t="s">
        <v>262</v>
      </c>
      <c r="BP80">
        <v>1</v>
      </c>
      <c r="BQ80">
        <v>2</v>
      </c>
      <c r="BR80">
        <v>0</v>
      </c>
      <c r="BS80">
        <v>33.65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3</v>
      </c>
      <c r="BZ80">
        <v>105</v>
      </c>
      <c r="CA80">
        <v>65</v>
      </c>
      <c r="CE80">
        <v>0</v>
      </c>
      <c r="CF80">
        <v>0</v>
      </c>
      <c r="CG80">
        <v>0</v>
      </c>
      <c r="CM80">
        <v>0</v>
      </c>
      <c r="CN80" t="s">
        <v>1332</v>
      </c>
      <c r="CO80">
        <v>0</v>
      </c>
      <c r="CP80">
        <f t="shared" si="73"/>
        <v>276.27999999999997</v>
      </c>
      <c r="CQ80">
        <f t="shared" si="74"/>
        <v>3209.7230999999997</v>
      </c>
      <c r="CR80">
        <f t="shared" si="75"/>
        <v>23520.297000000002</v>
      </c>
      <c r="CS80">
        <f t="shared" si="76"/>
        <v>13877.5965</v>
      </c>
      <c r="CT80">
        <f t="shared" si="77"/>
        <v>55010.346999999994</v>
      </c>
      <c r="CU80">
        <f t="shared" si="78"/>
        <v>0</v>
      </c>
      <c r="CV80">
        <f t="shared" si="79"/>
        <v>209.58750000000001</v>
      </c>
      <c r="CW80">
        <f t="shared" si="80"/>
        <v>30.577500000000004</v>
      </c>
      <c r="CX80">
        <f t="shared" si="81"/>
        <v>0</v>
      </c>
      <c r="CY80">
        <f t="shared" si="82"/>
        <v>221.19799999999998</v>
      </c>
      <c r="CZ80">
        <f t="shared" si="83"/>
        <v>128.06200000000001</v>
      </c>
      <c r="DC80" t="s">
        <v>3</v>
      </c>
      <c r="DD80" t="s">
        <v>3</v>
      </c>
      <c r="DE80" t="s">
        <v>146</v>
      </c>
      <c r="DF80" t="s">
        <v>146</v>
      </c>
      <c r="DG80" t="s">
        <v>147</v>
      </c>
      <c r="DH80" t="s">
        <v>3</v>
      </c>
      <c r="DI80" t="s">
        <v>147</v>
      </c>
      <c r="DJ80" t="s">
        <v>146</v>
      </c>
      <c r="DK80" t="s">
        <v>3</v>
      </c>
      <c r="DL80" t="s">
        <v>3</v>
      </c>
      <c r="DM80" t="s">
        <v>3</v>
      </c>
      <c r="DN80">
        <v>0</v>
      </c>
      <c r="DO80">
        <v>0</v>
      </c>
      <c r="DP80">
        <v>1</v>
      </c>
      <c r="DQ80">
        <v>1</v>
      </c>
      <c r="DU80">
        <v>1007</v>
      </c>
      <c r="DV80" t="s">
        <v>138</v>
      </c>
      <c r="DW80" t="s">
        <v>138</v>
      </c>
      <c r="DX80">
        <v>100</v>
      </c>
      <c r="DZ80" t="s">
        <v>3</v>
      </c>
      <c r="EA80" t="s">
        <v>3</v>
      </c>
      <c r="EB80" t="s">
        <v>3</v>
      </c>
      <c r="EC80" t="s">
        <v>3</v>
      </c>
      <c r="EE80">
        <v>64095013</v>
      </c>
      <c r="EF80">
        <v>2</v>
      </c>
      <c r="EG80" t="s">
        <v>13</v>
      </c>
      <c r="EH80">
        <v>0</v>
      </c>
      <c r="EI80" t="s">
        <v>3</v>
      </c>
      <c r="EJ80">
        <v>1</v>
      </c>
      <c r="EK80">
        <v>6001</v>
      </c>
      <c r="EL80" t="s">
        <v>247</v>
      </c>
      <c r="EM80" t="s">
        <v>248</v>
      </c>
      <c r="EO80" t="s">
        <v>150</v>
      </c>
      <c r="EQ80">
        <v>0</v>
      </c>
      <c r="ER80">
        <v>3528.33</v>
      </c>
      <c r="ES80">
        <v>909.27</v>
      </c>
      <c r="ET80">
        <v>1566.06</v>
      </c>
      <c r="EU80">
        <v>244.39</v>
      </c>
      <c r="EV80">
        <v>1053</v>
      </c>
      <c r="EW80">
        <v>135</v>
      </c>
      <c r="EX80">
        <v>18.12</v>
      </c>
      <c r="EY80">
        <v>0</v>
      </c>
      <c r="FQ80">
        <v>0</v>
      </c>
      <c r="FR80">
        <f t="shared" si="84"/>
        <v>0</v>
      </c>
      <c r="FS80">
        <v>0</v>
      </c>
      <c r="FT80" t="s">
        <v>52</v>
      </c>
      <c r="FU80" t="s">
        <v>53</v>
      </c>
      <c r="FX80">
        <v>94.5</v>
      </c>
      <c r="FY80">
        <v>55.25</v>
      </c>
      <c r="GA80" t="s">
        <v>3</v>
      </c>
      <c r="GD80">
        <v>1</v>
      </c>
      <c r="GF80">
        <v>1301801988</v>
      </c>
      <c r="GG80">
        <v>2</v>
      </c>
      <c r="GH80">
        <v>1</v>
      </c>
      <c r="GI80">
        <v>2</v>
      </c>
      <c r="GJ80">
        <v>0</v>
      </c>
      <c r="GK80">
        <v>0</v>
      </c>
      <c r="GL80">
        <f t="shared" si="85"/>
        <v>0</v>
      </c>
      <c r="GM80">
        <f t="shared" si="86"/>
        <v>625.54</v>
      </c>
      <c r="GN80">
        <f t="shared" si="87"/>
        <v>625.54</v>
      </c>
      <c r="GO80">
        <f t="shared" si="88"/>
        <v>0</v>
      </c>
      <c r="GP80">
        <f t="shared" si="89"/>
        <v>0</v>
      </c>
      <c r="GR80">
        <v>0</v>
      </c>
      <c r="GS80">
        <v>3</v>
      </c>
      <c r="GT80">
        <v>0</v>
      </c>
      <c r="GU80" t="s">
        <v>3</v>
      </c>
      <c r="GV80">
        <f t="shared" si="90"/>
        <v>0</v>
      </c>
      <c r="GW80">
        <v>1</v>
      </c>
      <c r="GX80">
        <f t="shared" si="91"/>
        <v>0</v>
      </c>
      <c r="HA80">
        <v>0</v>
      </c>
      <c r="HB80">
        <v>0</v>
      </c>
      <c r="HC80">
        <f t="shared" si="92"/>
        <v>0</v>
      </c>
      <c r="HE80" t="s">
        <v>3</v>
      </c>
      <c r="HF80" t="s">
        <v>3</v>
      </c>
      <c r="IK80">
        <v>0</v>
      </c>
    </row>
    <row r="81" spans="1:245" x14ac:dyDescent="0.2">
      <c r="A81">
        <v>18</v>
      </c>
      <c r="B81">
        <v>1</v>
      </c>
      <c r="C81">
        <v>205</v>
      </c>
      <c r="E81" t="s">
        <v>265</v>
      </c>
      <c r="F81" t="s">
        <v>250</v>
      </c>
      <c r="G81" t="s">
        <v>251</v>
      </c>
      <c r="H81" t="s">
        <v>113</v>
      </c>
      <c r="I81">
        <f>I80*J81</f>
        <v>0.33800000000000002</v>
      </c>
      <c r="J81">
        <v>100</v>
      </c>
      <c r="O81">
        <f t="shared" si="58"/>
        <v>1466.46</v>
      </c>
      <c r="P81">
        <f t="shared" si="59"/>
        <v>1466.46</v>
      </c>
      <c r="Q81">
        <f t="shared" si="60"/>
        <v>0</v>
      </c>
      <c r="R81">
        <f t="shared" si="61"/>
        <v>0</v>
      </c>
      <c r="S81">
        <f t="shared" si="62"/>
        <v>0</v>
      </c>
      <c r="T81">
        <f t="shared" si="63"/>
        <v>0</v>
      </c>
      <c r="U81">
        <f t="shared" si="64"/>
        <v>0</v>
      </c>
      <c r="V81">
        <f t="shared" si="65"/>
        <v>0</v>
      </c>
      <c r="W81">
        <f t="shared" si="66"/>
        <v>0</v>
      </c>
      <c r="X81">
        <f t="shared" si="67"/>
        <v>0</v>
      </c>
      <c r="Y81">
        <f t="shared" si="68"/>
        <v>0</v>
      </c>
      <c r="AA81">
        <v>68990560</v>
      </c>
      <c r="AB81">
        <f t="shared" si="69"/>
        <v>748.04</v>
      </c>
      <c r="AC81">
        <f t="shared" si="70"/>
        <v>748.04</v>
      </c>
      <c r="AD81">
        <f>ROUND((((ET81)-(EU81))+AE81),2)</f>
        <v>0</v>
      </c>
      <c r="AE81">
        <f>ROUND((EU81),2)</f>
        <v>0</v>
      </c>
      <c r="AF81">
        <f>ROUND((EV81),2)</f>
        <v>0</v>
      </c>
      <c r="AG81">
        <f t="shared" si="71"/>
        <v>0</v>
      </c>
      <c r="AH81">
        <f>(EW81)</f>
        <v>0</v>
      </c>
      <c r="AI81">
        <f>(EX81)</f>
        <v>0</v>
      </c>
      <c r="AJ81">
        <f t="shared" si="72"/>
        <v>0</v>
      </c>
      <c r="AK81">
        <v>748.04</v>
      </c>
      <c r="AL81">
        <v>748.04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95</v>
      </c>
      <c r="AU81">
        <v>55</v>
      </c>
      <c r="AV81">
        <v>1</v>
      </c>
      <c r="AW81">
        <v>1</v>
      </c>
      <c r="AZ81">
        <v>1</v>
      </c>
      <c r="BA81">
        <v>1</v>
      </c>
      <c r="BB81">
        <v>1</v>
      </c>
      <c r="BC81">
        <v>5.8</v>
      </c>
      <c r="BD81" t="s">
        <v>3</v>
      </c>
      <c r="BE81" t="s">
        <v>3</v>
      </c>
      <c r="BF81" t="s">
        <v>3</v>
      </c>
      <c r="BG81" t="s">
        <v>3</v>
      </c>
      <c r="BH81">
        <v>3</v>
      </c>
      <c r="BI81">
        <v>1</v>
      </c>
      <c r="BJ81" t="s">
        <v>252</v>
      </c>
      <c r="BM81">
        <v>6001</v>
      </c>
      <c r="BN81">
        <v>0</v>
      </c>
      <c r="BO81" t="s">
        <v>250</v>
      </c>
      <c r="BP81">
        <v>1</v>
      </c>
      <c r="BQ81">
        <v>2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3</v>
      </c>
      <c r="BZ81">
        <v>105</v>
      </c>
      <c r="CA81">
        <v>65</v>
      </c>
      <c r="CE81">
        <v>0</v>
      </c>
      <c r="CF81">
        <v>0</v>
      </c>
      <c r="CG81">
        <v>0</v>
      </c>
      <c r="CM81">
        <v>0</v>
      </c>
      <c r="CN81" t="s">
        <v>3</v>
      </c>
      <c r="CO81">
        <v>0</v>
      </c>
      <c r="CP81">
        <f t="shared" si="73"/>
        <v>1466.46</v>
      </c>
      <c r="CQ81">
        <f t="shared" si="74"/>
        <v>4338.6319999999996</v>
      </c>
      <c r="CR81">
        <f t="shared" si="75"/>
        <v>0</v>
      </c>
      <c r="CS81">
        <f t="shared" si="76"/>
        <v>0</v>
      </c>
      <c r="CT81">
        <f t="shared" si="77"/>
        <v>0</v>
      </c>
      <c r="CU81">
        <f t="shared" si="78"/>
        <v>0</v>
      </c>
      <c r="CV81">
        <f t="shared" si="79"/>
        <v>0</v>
      </c>
      <c r="CW81">
        <f t="shared" si="80"/>
        <v>0</v>
      </c>
      <c r="CX81">
        <f t="shared" si="81"/>
        <v>0</v>
      </c>
      <c r="CY81">
        <f t="shared" si="82"/>
        <v>0</v>
      </c>
      <c r="CZ81">
        <f t="shared" si="83"/>
        <v>0</v>
      </c>
      <c r="DC81" t="s">
        <v>3</v>
      </c>
      <c r="DD81" t="s">
        <v>3</v>
      </c>
      <c r="DE81" t="s">
        <v>3</v>
      </c>
      <c r="DF81" t="s">
        <v>3</v>
      </c>
      <c r="DG81" t="s">
        <v>3</v>
      </c>
      <c r="DH81" t="s">
        <v>3</v>
      </c>
      <c r="DI81" t="s">
        <v>3</v>
      </c>
      <c r="DJ81" t="s">
        <v>3</v>
      </c>
      <c r="DK81" t="s">
        <v>3</v>
      </c>
      <c r="DL81" t="s">
        <v>3</v>
      </c>
      <c r="DM81" t="s">
        <v>3</v>
      </c>
      <c r="DN81">
        <v>0</v>
      </c>
      <c r="DO81">
        <v>0</v>
      </c>
      <c r="DP81">
        <v>1</v>
      </c>
      <c r="DQ81">
        <v>1</v>
      </c>
      <c r="DU81">
        <v>1007</v>
      </c>
      <c r="DV81" t="s">
        <v>113</v>
      </c>
      <c r="DW81" t="s">
        <v>113</v>
      </c>
      <c r="DX81">
        <v>1</v>
      </c>
      <c r="DZ81" t="s">
        <v>3</v>
      </c>
      <c r="EA81" t="s">
        <v>3</v>
      </c>
      <c r="EB81" t="s">
        <v>3</v>
      </c>
      <c r="EC81" t="s">
        <v>3</v>
      </c>
      <c r="EE81">
        <v>64095013</v>
      </c>
      <c r="EF81">
        <v>2</v>
      </c>
      <c r="EG81" t="s">
        <v>13</v>
      </c>
      <c r="EH81">
        <v>0</v>
      </c>
      <c r="EI81" t="s">
        <v>3</v>
      </c>
      <c r="EJ81">
        <v>1</v>
      </c>
      <c r="EK81">
        <v>6001</v>
      </c>
      <c r="EL81" t="s">
        <v>247</v>
      </c>
      <c r="EM81" t="s">
        <v>248</v>
      </c>
      <c r="EO81" t="s">
        <v>3</v>
      </c>
      <c r="EQ81">
        <v>0</v>
      </c>
      <c r="ER81">
        <v>748.04</v>
      </c>
      <c r="ES81">
        <v>748.04</v>
      </c>
      <c r="ET81">
        <v>0</v>
      </c>
      <c r="EU81">
        <v>0</v>
      </c>
      <c r="EV81">
        <v>0</v>
      </c>
      <c r="EW81">
        <v>0</v>
      </c>
      <c r="EX81">
        <v>0</v>
      </c>
      <c r="FQ81">
        <v>0</v>
      </c>
      <c r="FR81">
        <f t="shared" si="84"/>
        <v>0</v>
      </c>
      <c r="FS81">
        <v>0</v>
      </c>
      <c r="FT81" t="s">
        <v>52</v>
      </c>
      <c r="FU81" t="s">
        <v>53</v>
      </c>
      <c r="FX81">
        <v>94.5</v>
      </c>
      <c r="FY81">
        <v>55.25</v>
      </c>
      <c r="GA81" t="s">
        <v>3</v>
      </c>
      <c r="GD81">
        <v>1</v>
      </c>
      <c r="GF81">
        <v>-2058797209</v>
      </c>
      <c r="GG81">
        <v>2</v>
      </c>
      <c r="GH81">
        <v>1</v>
      </c>
      <c r="GI81">
        <v>2</v>
      </c>
      <c r="GJ81">
        <v>0</v>
      </c>
      <c r="GK81">
        <v>0</v>
      </c>
      <c r="GL81">
        <f t="shared" si="85"/>
        <v>0</v>
      </c>
      <c r="GM81">
        <f t="shared" si="86"/>
        <v>1466.46</v>
      </c>
      <c r="GN81">
        <f t="shared" si="87"/>
        <v>1466.46</v>
      </c>
      <c r="GO81">
        <f t="shared" si="88"/>
        <v>0</v>
      </c>
      <c r="GP81">
        <f t="shared" si="89"/>
        <v>0</v>
      </c>
      <c r="GR81">
        <v>0</v>
      </c>
      <c r="GS81">
        <v>3</v>
      </c>
      <c r="GT81">
        <v>0</v>
      </c>
      <c r="GU81" t="s">
        <v>3</v>
      </c>
      <c r="GV81">
        <f t="shared" si="90"/>
        <v>0</v>
      </c>
      <c r="GW81">
        <v>1</v>
      </c>
      <c r="GX81">
        <f t="shared" si="91"/>
        <v>0</v>
      </c>
      <c r="HA81">
        <v>0</v>
      </c>
      <c r="HB81">
        <v>0</v>
      </c>
      <c r="HC81">
        <f t="shared" si="92"/>
        <v>0</v>
      </c>
      <c r="HE81" t="s">
        <v>3</v>
      </c>
      <c r="HF81" t="s">
        <v>3</v>
      </c>
      <c r="IK81">
        <v>0</v>
      </c>
    </row>
    <row r="82" spans="1:245" x14ac:dyDescent="0.2">
      <c r="A82">
        <v>17</v>
      </c>
      <c r="B82">
        <v>1</v>
      </c>
      <c r="C82">
        <f>ROW(SmtRes!A214)</f>
        <v>214</v>
      </c>
      <c r="D82">
        <f>ROW(EtalonRes!A222)</f>
        <v>222</v>
      </c>
      <c r="E82" t="s">
        <v>266</v>
      </c>
      <c r="F82" t="s">
        <v>267</v>
      </c>
      <c r="G82" t="s">
        <v>268</v>
      </c>
      <c r="H82" t="s">
        <v>36</v>
      </c>
      <c r="I82">
        <f>ROUND(6.75/100,5)</f>
        <v>6.7500000000000004E-2</v>
      </c>
      <c r="J82">
        <v>0</v>
      </c>
      <c r="O82">
        <f t="shared" si="58"/>
        <v>600.02</v>
      </c>
      <c r="P82">
        <f t="shared" si="59"/>
        <v>91</v>
      </c>
      <c r="Q82">
        <f t="shared" si="60"/>
        <v>37.28</v>
      </c>
      <c r="R82">
        <f t="shared" si="61"/>
        <v>3.07</v>
      </c>
      <c r="S82">
        <f t="shared" si="62"/>
        <v>471.74</v>
      </c>
      <c r="T82">
        <f t="shared" si="63"/>
        <v>0</v>
      </c>
      <c r="U82">
        <f t="shared" si="64"/>
        <v>1.5090299999999999</v>
      </c>
      <c r="V82">
        <f t="shared" si="65"/>
        <v>7.9734375000000014E-3</v>
      </c>
      <c r="W82">
        <f t="shared" si="66"/>
        <v>0</v>
      </c>
      <c r="X82">
        <f t="shared" si="67"/>
        <v>607.76</v>
      </c>
      <c r="Y82">
        <f t="shared" si="68"/>
        <v>384.6</v>
      </c>
      <c r="AA82">
        <v>68990560</v>
      </c>
      <c r="AB82">
        <f t="shared" si="69"/>
        <v>435.82</v>
      </c>
      <c r="AC82">
        <f t="shared" si="70"/>
        <v>131.4</v>
      </c>
      <c r="AD82">
        <f>ROUND((((((ET82*1.25)*1.35))-(((EU82*1.25)*1.35)))+AE82),2)</f>
        <v>96.73</v>
      </c>
      <c r="AE82">
        <f>ROUND((((EU82*1.25)*1.35)),2)</f>
        <v>1.35</v>
      </c>
      <c r="AF82">
        <f>ROUND((((EV82*1.15)*1.35)),2)</f>
        <v>207.69</v>
      </c>
      <c r="AG82">
        <f t="shared" si="71"/>
        <v>0</v>
      </c>
      <c r="AH82">
        <f>(((EW82*1.15)*1.35))</f>
        <v>22.355999999999998</v>
      </c>
      <c r="AI82">
        <f>(((EX82*1.25)*1.35))</f>
        <v>0.11812500000000002</v>
      </c>
      <c r="AJ82">
        <f t="shared" si="72"/>
        <v>0</v>
      </c>
      <c r="AK82">
        <v>322.5</v>
      </c>
      <c r="AL82">
        <v>131.4</v>
      </c>
      <c r="AM82">
        <v>57.32</v>
      </c>
      <c r="AN82">
        <v>0.8</v>
      </c>
      <c r="AO82">
        <v>133.78</v>
      </c>
      <c r="AP82">
        <v>0</v>
      </c>
      <c r="AQ82">
        <v>14.4</v>
      </c>
      <c r="AR82">
        <v>7.0000000000000007E-2</v>
      </c>
      <c r="AS82">
        <v>0</v>
      </c>
      <c r="AT82">
        <v>128</v>
      </c>
      <c r="AU82">
        <v>81</v>
      </c>
      <c r="AV82">
        <v>1</v>
      </c>
      <c r="AW82">
        <v>1</v>
      </c>
      <c r="AZ82">
        <v>1</v>
      </c>
      <c r="BA82">
        <v>33.65</v>
      </c>
      <c r="BB82">
        <v>5.71</v>
      </c>
      <c r="BC82">
        <v>10.26</v>
      </c>
      <c r="BD82" t="s">
        <v>3</v>
      </c>
      <c r="BE82" t="s">
        <v>3</v>
      </c>
      <c r="BF82" t="s">
        <v>3</v>
      </c>
      <c r="BG82" t="s">
        <v>3</v>
      </c>
      <c r="BH82">
        <v>0</v>
      </c>
      <c r="BI82">
        <v>1</v>
      </c>
      <c r="BJ82" t="s">
        <v>269</v>
      </c>
      <c r="BM82">
        <v>27001</v>
      </c>
      <c r="BN82">
        <v>0</v>
      </c>
      <c r="BO82" t="s">
        <v>267</v>
      </c>
      <c r="BP82">
        <v>1</v>
      </c>
      <c r="BQ82">
        <v>2</v>
      </c>
      <c r="BR82">
        <v>0</v>
      </c>
      <c r="BS82">
        <v>33.65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3</v>
      </c>
      <c r="BZ82">
        <v>142</v>
      </c>
      <c r="CA82">
        <v>95</v>
      </c>
      <c r="CE82">
        <v>0</v>
      </c>
      <c r="CF82">
        <v>0</v>
      </c>
      <c r="CG82">
        <v>0</v>
      </c>
      <c r="CM82">
        <v>0</v>
      </c>
      <c r="CN82" t="s">
        <v>1332</v>
      </c>
      <c r="CO82">
        <v>0</v>
      </c>
      <c r="CP82">
        <f t="shared" si="73"/>
        <v>600.02</v>
      </c>
      <c r="CQ82">
        <f t="shared" si="74"/>
        <v>1348.164</v>
      </c>
      <c r="CR82">
        <f t="shared" si="75"/>
        <v>552.32830000000001</v>
      </c>
      <c r="CS82">
        <f t="shared" si="76"/>
        <v>45.427500000000002</v>
      </c>
      <c r="CT82">
        <f t="shared" si="77"/>
        <v>6988.7684999999992</v>
      </c>
      <c r="CU82">
        <f t="shared" si="78"/>
        <v>0</v>
      </c>
      <c r="CV82">
        <f t="shared" si="79"/>
        <v>22.355999999999998</v>
      </c>
      <c r="CW82">
        <f t="shared" si="80"/>
        <v>0.11812500000000002</v>
      </c>
      <c r="CX82">
        <f t="shared" si="81"/>
        <v>0</v>
      </c>
      <c r="CY82">
        <f t="shared" si="82"/>
        <v>607.7568</v>
      </c>
      <c r="CZ82">
        <f t="shared" si="83"/>
        <v>384.59609999999998</v>
      </c>
      <c r="DC82" t="s">
        <v>3</v>
      </c>
      <c r="DD82" t="s">
        <v>3</v>
      </c>
      <c r="DE82" t="s">
        <v>146</v>
      </c>
      <c r="DF82" t="s">
        <v>146</v>
      </c>
      <c r="DG82" t="s">
        <v>147</v>
      </c>
      <c r="DH82" t="s">
        <v>3</v>
      </c>
      <c r="DI82" t="s">
        <v>147</v>
      </c>
      <c r="DJ82" t="s">
        <v>146</v>
      </c>
      <c r="DK82" t="s">
        <v>3</v>
      </c>
      <c r="DL82" t="s">
        <v>3</v>
      </c>
      <c r="DM82" t="s">
        <v>3</v>
      </c>
      <c r="DN82">
        <v>0</v>
      </c>
      <c r="DO82">
        <v>0</v>
      </c>
      <c r="DP82">
        <v>1</v>
      </c>
      <c r="DQ82">
        <v>1</v>
      </c>
      <c r="DU82">
        <v>1005</v>
      </c>
      <c r="DV82" t="s">
        <v>36</v>
      </c>
      <c r="DW82" t="s">
        <v>36</v>
      </c>
      <c r="DX82">
        <v>100</v>
      </c>
      <c r="DZ82" t="s">
        <v>3</v>
      </c>
      <c r="EA82" t="s">
        <v>3</v>
      </c>
      <c r="EB82" t="s">
        <v>3</v>
      </c>
      <c r="EC82" t="s">
        <v>3</v>
      </c>
      <c r="EE82">
        <v>64095067</v>
      </c>
      <c r="EF82">
        <v>2</v>
      </c>
      <c r="EG82" t="s">
        <v>13</v>
      </c>
      <c r="EH82">
        <v>0</v>
      </c>
      <c r="EI82" t="s">
        <v>3</v>
      </c>
      <c r="EJ82">
        <v>1</v>
      </c>
      <c r="EK82">
        <v>27001</v>
      </c>
      <c r="EL82" t="s">
        <v>107</v>
      </c>
      <c r="EM82" t="s">
        <v>108</v>
      </c>
      <c r="EO82" t="s">
        <v>150</v>
      </c>
      <c r="EQ82">
        <v>0</v>
      </c>
      <c r="ER82">
        <v>322.5</v>
      </c>
      <c r="ES82">
        <v>131.4</v>
      </c>
      <c r="ET82">
        <v>57.32</v>
      </c>
      <c r="EU82">
        <v>0.8</v>
      </c>
      <c r="EV82">
        <v>133.78</v>
      </c>
      <c r="EW82">
        <v>14.4</v>
      </c>
      <c r="EX82">
        <v>7.0000000000000007E-2</v>
      </c>
      <c r="EY82">
        <v>0</v>
      </c>
      <c r="FQ82">
        <v>0</v>
      </c>
      <c r="FR82">
        <f t="shared" si="84"/>
        <v>0</v>
      </c>
      <c r="FS82">
        <v>0</v>
      </c>
      <c r="FT82" t="s">
        <v>52</v>
      </c>
      <c r="FU82" t="s">
        <v>53</v>
      </c>
      <c r="FX82">
        <v>127.8</v>
      </c>
      <c r="FY82">
        <v>80.75</v>
      </c>
      <c r="GA82" t="s">
        <v>3</v>
      </c>
      <c r="GD82">
        <v>1</v>
      </c>
      <c r="GF82">
        <v>238004861</v>
      </c>
      <c r="GG82">
        <v>2</v>
      </c>
      <c r="GH82">
        <v>1</v>
      </c>
      <c r="GI82">
        <v>2</v>
      </c>
      <c r="GJ82">
        <v>0</v>
      </c>
      <c r="GK82">
        <v>0</v>
      </c>
      <c r="GL82">
        <f t="shared" si="85"/>
        <v>0</v>
      </c>
      <c r="GM82">
        <f t="shared" si="86"/>
        <v>1592.38</v>
      </c>
      <c r="GN82">
        <f t="shared" si="87"/>
        <v>1592.38</v>
      </c>
      <c r="GO82">
        <f t="shared" si="88"/>
        <v>0</v>
      </c>
      <c r="GP82">
        <f t="shared" si="89"/>
        <v>0</v>
      </c>
      <c r="GR82">
        <v>0</v>
      </c>
      <c r="GS82">
        <v>3</v>
      </c>
      <c r="GT82">
        <v>0</v>
      </c>
      <c r="GU82" t="s">
        <v>3</v>
      </c>
      <c r="GV82">
        <f t="shared" si="90"/>
        <v>0</v>
      </c>
      <c r="GW82">
        <v>1</v>
      </c>
      <c r="GX82">
        <f t="shared" si="91"/>
        <v>0</v>
      </c>
      <c r="HA82">
        <v>0</v>
      </c>
      <c r="HB82">
        <v>0</v>
      </c>
      <c r="HC82">
        <f t="shared" si="92"/>
        <v>0</v>
      </c>
      <c r="HE82" t="s">
        <v>3</v>
      </c>
      <c r="HF82" t="s">
        <v>3</v>
      </c>
      <c r="IK82">
        <v>0</v>
      </c>
    </row>
    <row r="83" spans="1:245" x14ac:dyDescent="0.2">
      <c r="A83">
        <v>18</v>
      </c>
      <c r="B83">
        <v>1</v>
      </c>
      <c r="C83">
        <v>214</v>
      </c>
      <c r="E83" t="s">
        <v>270</v>
      </c>
      <c r="F83" t="s">
        <v>271</v>
      </c>
      <c r="G83" t="s">
        <v>272</v>
      </c>
      <c r="H83" t="s">
        <v>71</v>
      </c>
      <c r="I83">
        <f>I82*J83</f>
        <v>0.50624999999999998</v>
      </c>
      <c r="J83">
        <v>7.4999999999999991</v>
      </c>
      <c r="O83">
        <f t="shared" si="58"/>
        <v>1441.26</v>
      </c>
      <c r="P83">
        <f t="shared" si="59"/>
        <v>1441.26</v>
      </c>
      <c r="Q83">
        <f t="shared" si="60"/>
        <v>0</v>
      </c>
      <c r="R83">
        <f t="shared" si="61"/>
        <v>0</v>
      </c>
      <c r="S83">
        <f t="shared" si="62"/>
        <v>0</v>
      </c>
      <c r="T83">
        <f t="shared" si="63"/>
        <v>0</v>
      </c>
      <c r="U83">
        <f t="shared" si="64"/>
        <v>0</v>
      </c>
      <c r="V83">
        <f t="shared" si="65"/>
        <v>0</v>
      </c>
      <c r="W83">
        <f t="shared" si="66"/>
        <v>0</v>
      </c>
      <c r="X83">
        <f t="shared" si="67"/>
        <v>0</v>
      </c>
      <c r="Y83">
        <f t="shared" si="68"/>
        <v>0</v>
      </c>
      <c r="AA83">
        <v>68990560</v>
      </c>
      <c r="AB83">
        <f t="shared" si="69"/>
        <v>480.09</v>
      </c>
      <c r="AC83">
        <f t="shared" si="70"/>
        <v>480.09</v>
      </c>
      <c r="AD83">
        <f>ROUND((((ET83)-(EU83))+AE83),2)</f>
        <v>0</v>
      </c>
      <c r="AE83">
        <f>ROUND((EU83),2)</f>
        <v>0</v>
      </c>
      <c r="AF83">
        <f>ROUND((EV83),2)</f>
        <v>0</v>
      </c>
      <c r="AG83">
        <f t="shared" si="71"/>
        <v>0</v>
      </c>
      <c r="AH83">
        <f>(EW83)</f>
        <v>0</v>
      </c>
      <c r="AI83">
        <f>(EX83)</f>
        <v>0</v>
      </c>
      <c r="AJ83">
        <f t="shared" si="72"/>
        <v>0</v>
      </c>
      <c r="AK83">
        <v>480.09</v>
      </c>
      <c r="AL83">
        <v>480.09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128</v>
      </c>
      <c r="AU83">
        <v>81</v>
      </c>
      <c r="AV83">
        <v>1</v>
      </c>
      <c r="AW83">
        <v>1</v>
      </c>
      <c r="AZ83">
        <v>1</v>
      </c>
      <c r="BA83">
        <v>1</v>
      </c>
      <c r="BB83">
        <v>1</v>
      </c>
      <c r="BC83">
        <v>5.93</v>
      </c>
      <c r="BD83" t="s">
        <v>3</v>
      </c>
      <c r="BE83" t="s">
        <v>3</v>
      </c>
      <c r="BF83" t="s">
        <v>3</v>
      </c>
      <c r="BG83" t="s">
        <v>3</v>
      </c>
      <c r="BH83">
        <v>3</v>
      </c>
      <c r="BI83">
        <v>1</v>
      </c>
      <c r="BJ83" t="s">
        <v>273</v>
      </c>
      <c r="BM83">
        <v>27001</v>
      </c>
      <c r="BN83">
        <v>0</v>
      </c>
      <c r="BO83" t="s">
        <v>271</v>
      </c>
      <c r="BP83">
        <v>1</v>
      </c>
      <c r="BQ83">
        <v>2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3</v>
      </c>
      <c r="BZ83">
        <v>142</v>
      </c>
      <c r="CA83">
        <v>95</v>
      </c>
      <c r="CE83">
        <v>0</v>
      </c>
      <c r="CF83">
        <v>0</v>
      </c>
      <c r="CG83">
        <v>0</v>
      </c>
      <c r="CM83">
        <v>0</v>
      </c>
      <c r="CN83" t="s">
        <v>3</v>
      </c>
      <c r="CO83">
        <v>0</v>
      </c>
      <c r="CP83">
        <f t="shared" si="73"/>
        <v>1441.26</v>
      </c>
      <c r="CQ83">
        <f t="shared" si="74"/>
        <v>2846.9336999999996</v>
      </c>
      <c r="CR83">
        <f t="shared" si="75"/>
        <v>0</v>
      </c>
      <c r="CS83">
        <f t="shared" si="76"/>
        <v>0</v>
      </c>
      <c r="CT83">
        <f t="shared" si="77"/>
        <v>0</v>
      </c>
      <c r="CU83">
        <f t="shared" si="78"/>
        <v>0</v>
      </c>
      <c r="CV83">
        <f t="shared" si="79"/>
        <v>0</v>
      </c>
      <c r="CW83">
        <f t="shared" si="80"/>
        <v>0</v>
      </c>
      <c r="CX83">
        <f t="shared" si="81"/>
        <v>0</v>
      </c>
      <c r="CY83">
        <f t="shared" si="82"/>
        <v>0</v>
      </c>
      <c r="CZ83">
        <f t="shared" si="83"/>
        <v>0</v>
      </c>
      <c r="DC83" t="s">
        <v>3</v>
      </c>
      <c r="DD83" t="s">
        <v>3</v>
      </c>
      <c r="DE83" t="s">
        <v>3</v>
      </c>
      <c r="DF83" t="s">
        <v>3</v>
      </c>
      <c r="DG83" t="s">
        <v>3</v>
      </c>
      <c r="DH83" t="s">
        <v>3</v>
      </c>
      <c r="DI83" t="s">
        <v>3</v>
      </c>
      <c r="DJ83" t="s">
        <v>3</v>
      </c>
      <c r="DK83" t="s">
        <v>3</v>
      </c>
      <c r="DL83" t="s">
        <v>3</v>
      </c>
      <c r="DM83" t="s">
        <v>3</v>
      </c>
      <c r="DN83">
        <v>0</v>
      </c>
      <c r="DO83">
        <v>0</v>
      </c>
      <c r="DP83">
        <v>1</v>
      </c>
      <c r="DQ83">
        <v>1</v>
      </c>
      <c r="DU83">
        <v>1009</v>
      </c>
      <c r="DV83" t="s">
        <v>71</v>
      </c>
      <c r="DW83" t="s">
        <v>71</v>
      </c>
      <c r="DX83">
        <v>1000</v>
      </c>
      <c r="DZ83" t="s">
        <v>3</v>
      </c>
      <c r="EA83" t="s">
        <v>3</v>
      </c>
      <c r="EB83" t="s">
        <v>3</v>
      </c>
      <c r="EC83" t="s">
        <v>3</v>
      </c>
      <c r="EE83">
        <v>64095067</v>
      </c>
      <c r="EF83">
        <v>2</v>
      </c>
      <c r="EG83" t="s">
        <v>13</v>
      </c>
      <c r="EH83">
        <v>0</v>
      </c>
      <c r="EI83" t="s">
        <v>3</v>
      </c>
      <c r="EJ83">
        <v>1</v>
      </c>
      <c r="EK83">
        <v>27001</v>
      </c>
      <c r="EL83" t="s">
        <v>107</v>
      </c>
      <c r="EM83" t="s">
        <v>108</v>
      </c>
      <c r="EO83" t="s">
        <v>3</v>
      </c>
      <c r="EQ83">
        <v>0</v>
      </c>
      <c r="ER83">
        <v>480.09</v>
      </c>
      <c r="ES83">
        <v>480.09</v>
      </c>
      <c r="ET83">
        <v>0</v>
      </c>
      <c r="EU83">
        <v>0</v>
      </c>
      <c r="EV83">
        <v>0</v>
      </c>
      <c r="EW83">
        <v>0</v>
      </c>
      <c r="EX83">
        <v>0</v>
      </c>
      <c r="FQ83">
        <v>0</v>
      </c>
      <c r="FR83">
        <f t="shared" si="84"/>
        <v>0</v>
      </c>
      <c r="FS83">
        <v>0</v>
      </c>
      <c r="FT83" t="s">
        <v>52</v>
      </c>
      <c r="FU83" t="s">
        <v>53</v>
      </c>
      <c r="FX83">
        <v>127.8</v>
      </c>
      <c r="FY83">
        <v>80.75</v>
      </c>
      <c r="GA83" t="s">
        <v>3</v>
      </c>
      <c r="GD83">
        <v>1</v>
      </c>
      <c r="GF83">
        <v>1555233590</v>
      </c>
      <c r="GG83">
        <v>2</v>
      </c>
      <c r="GH83">
        <v>1</v>
      </c>
      <c r="GI83">
        <v>2</v>
      </c>
      <c r="GJ83">
        <v>0</v>
      </c>
      <c r="GK83">
        <v>0</v>
      </c>
      <c r="GL83">
        <f t="shared" si="85"/>
        <v>0</v>
      </c>
      <c r="GM83">
        <f t="shared" si="86"/>
        <v>1441.26</v>
      </c>
      <c r="GN83">
        <f t="shared" si="87"/>
        <v>1441.26</v>
      </c>
      <c r="GO83">
        <f t="shared" si="88"/>
        <v>0</v>
      </c>
      <c r="GP83">
        <f t="shared" si="89"/>
        <v>0</v>
      </c>
      <c r="GR83">
        <v>0</v>
      </c>
      <c r="GS83">
        <v>3</v>
      </c>
      <c r="GT83">
        <v>0</v>
      </c>
      <c r="GU83" t="s">
        <v>3</v>
      </c>
      <c r="GV83">
        <f t="shared" si="90"/>
        <v>0</v>
      </c>
      <c r="GW83">
        <v>1</v>
      </c>
      <c r="GX83">
        <f t="shared" si="91"/>
        <v>0</v>
      </c>
      <c r="HA83">
        <v>0</v>
      </c>
      <c r="HB83">
        <v>0</v>
      </c>
      <c r="HC83">
        <f t="shared" si="92"/>
        <v>0</v>
      </c>
      <c r="HE83" t="s">
        <v>3</v>
      </c>
      <c r="HF83" t="s">
        <v>3</v>
      </c>
      <c r="IK83">
        <v>0</v>
      </c>
    </row>
    <row r="84" spans="1:245" x14ac:dyDescent="0.2">
      <c r="A84">
        <v>17</v>
      </c>
      <c r="B84">
        <v>1</v>
      </c>
      <c r="C84">
        <f>ROW(SmtRes!A217)</f>
        <v>217</v>
      </c>
      <c r="D84">
        <f>ROW(EtalonRes!A225)</f>
        <v>225</v>
      </c>
      <c r="E84" t="s">
        <v>274</v>
      </c>
      <c r="F84" t="s">
        <v>275</v>
      </c>
      <c r="G84" t="s">
        <v>276</v>
      </c>
      <c r="H84" t="s">
        <v>36</v>
      </c>
      <c r="I84">
        <f>ROUND(6.75/100,5)</f>
        <v>6.7500000000000004E-2</v>
      </c>
      <c r="J84">
        <v>0</v>
      </c>
      <c r="O84">
        <f t="shared" ref="O84:O115" si="97">ROUND(CP84,2)</f>
        <v>324.23</v>
      </c>
      <c r="P84">
        <f t="shared" ref="P84:P115" si="98">ROUND(CQ84*I84,2)</f>
        <v>0</v>
      </c>
      <c r="Q84">
        <f t="shared" ref="Q84:Q115" si="99">ROUND(CR84*I84,2)</f>
        <v>20.25</v>
      </c>
      <c r="R84">
        <f t="shared" ref="R84:R115" si="100">ROUND(CS84*I84,2)</f>
        <v>0</v>
      </c>
      <c r="S84">
        <f t="shared" ref="S84:S115" si="101">ROUND(CT84*I84,2)</f>
        <v>303.98</v>
      </c>
      <c r="T84">
        <f t="shared" ref="T84:T115" si="102">ROUND(CU84*I84,2)</f>
        <v>0</v>
      </c>
      <c r="U84">
        <f t="shared" ref="U84:U115" si="103">CV84*I84</f>
        <v>0.97248600000000007</v>
      </c>
      <c r="V84">
        <f t="shared" ref="V84:V115" si="104">CW84*I84</f>
        <v>0</v>
      </c>
      <c r="W84">
        <f t="shared" ref="W84:W115" si="105">ROUND(CX84*I84,2)</f>
        <v>0</v>
      </c>
      <c r="X84">
        <f t="shared" ref="X84:X115" si="106">ROUND(CY84,2)</f>
        <v>389.09</v>
      </c>
      <c r="Y84">
        <f t="shared" ref="Y84:Y115" si="107">ROUND(CZ84,2)</f>
        <v>246.22</v>
      </c>
      <c r="AA84">
        <v>68990560</v>
      </c>
      <c r="AB84">
        <f t="shared" ref="AB84:AB115" si="108">ROUND((AC84+AD84+AF84),2)</f>
        <v>190.53</v>
      </c>
      <c r="AC84">
        <f t="shared" si="70"/>
        <v>0</v>
      </c>
      <c r="AD84">
        <f>ROUND((((((ET84*1.25)*1.35*4))-(((EU84*1.25)*1.35*4)))+AE84),2)</f>
        <v>56.7</v>
      </c>
      <c r="AE84">
        <f>ROUND((((EU84*1.25)*1.35*4)),2)</f>
        <v>0</v>
      </c>
      <c r="AF84">
        <f>ROUND((((EV84*1.15)*1.35*4)),2)</f>
        <v>133.83000000000001</v>
      </c>
      <c r="AG84">
        <f t="shared" ref="AG84:AG115" si="109">ROUND((AP84),2)</f>
        <v>0</v>
      </c>
      <c r="AH84">
        <f>(((EW84*1.15)*1.35*4))</f>
        <v>14.4072</v>
      </c>
      <c r="AI84">
        <f>(((EX84*1.25)*1.35*4))</f>
        <v>0</v>
      </c>
      <c r="AJ84">
        <f t="shared" ref="AJ84:AJ115" si="110">(AS84)</f>
        <v>0</v>
      </c>
      <c r="AK84">
        <v>29.95</v>
      </c>
      <c r="AL84">
        <v>0</v>
      </c>
      <c r="AM84">
        <v>8.4</v>
      </c>
      <c r="AN84">
        <v>0</v>
      </c>
      <c r="AO84">
        <v>21.55</v>
      </c>
      <c r="AP84">
        <v>0</v>
      </c>
      <c r="AQ84">
        <v>2.3199999999999998</v>
      </c>
      <c r="AR84">
        <v>0</v>
      </c>
      <c r="AS84">
        <v>0</v>
      </c>
      <c r="AT84">
        <v>128</v>
      </c>
      <c r="AU84">
        <v>81</v>
      </c>
      <c r="AV84">
        <v>1</v>
      </c>
      <c r="AW84">
        <v>1</v>
      </c>
      <c r="AZ84">
        <v>1</v>
      </c>
      <c r="BA84">
        <v>33.65</v>
      </c>
      <c r="BB84">
        <v>5.29</v>
      </c>
      <c r="BC84">
        <v>1</v>
      </c>
      <c r="BD84" t="s">
        <v>3</v>
      </c>
      <c r="BE84" t="s">
        <v>3</v>
      </c>
      <c r="BF84" t="s">
        <v>3</v>
      </c>
      <c r="BG84" t="s">
        <v>3</v>
      </c>
      <c r="BH84">
        <v>0</v>
      </c>
      <c r="BI84">
        <v>1</v>
      </c>
      <c r="BJ84" t="s">
        <v>277</v>
      </c>
      <c r="BM84">
        <v>27001</v>
      </c>
      <c r="BN84">
        <v>0</v>
      </c>
      <c r="BO84" t="s">
        <v>275</v>
      </c>
      <c r="BP84">
        <v>1</v>
      </c>
      <c r="BQ84">
        <v>2</v>
      </c>
      <c r="BR84">
        <v>0</v>
      </c>
      <c r="BS84">
        <v>33.65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3</v>
      </c>
      <c r="BZ84">
        <v>142</v>
      </c>
      <c r="CA84">
        <v>95</v>
      </c>
      <c r="CE84">
        <v>0</v>
      </c>
      <c r="CF84">
        <v>0</v>
      </c>
      <c r="CG84">
        <v>0</v>
      </c>
      <c r="CM84">
        <v>0</v>
      </c>
      <c r="CN84" t="s">
        <v>1332</v>
      </c>
      <c r="CO84">
        <v>0</v>
      </c>
      <c r="CP84">
        <f t="shared" ref="CP84:CP115" si="111">(P84+Q84+S84)</f>
        <v>324.23</v>
      </c>
      <c r="CQ84">
        <f t="shared" ref="CQ84:CQ115" si="112">AC84*BC84</f>
        <v>0</v>
      </c>
      <c r="CR84">
        <f t="shared" ref="CR84:CR115" si="113">AD84*BB84</f>
        <v>299.94300000000004</v>
      </c>
      <c r="CS84">
        <f t="shared" ref="CS84:CS115" si="114">AE84*BS84</f>
        <v>0</v>
      </c>
      <c r="CT84">
        <f t="shared" ref="CT84:CT115" si="115">AF84*BA84</f>
        <v>4503.3795</v>
      </c>
      <c r="CU84">
        <f t="shared" ref="CU84:CU115" si="116">AG84</f>
        <v>0</v>
      </c>
      <c r="CV84">
        <f t="shared" ref="CV84:CV115" si="117">AH84</f>
        <v>14.4072</v>
      </c>
      <c r="CW84">
        <f t="shared" ref="CW84:CW115" si="118">AI84</f>
        <v>0</v>
      </c>
      <c r="CX84">
        <f t="shared" ref="CX84:CX115" si="119">AJ84</f>
        <v>0</v>
      </c>
      <c r="CY84">
        <f t="shared" ref="CY84:CY115" si="120">(((S84+R84)*AT84)/100)</f>
        <v>389.09440000000001</v>
      </c>
      <c r="CZ84">
        <f t="shared" ref="CZ84:CZ115" si="121">(((S84+R84)*AU84)/100)</f>
        <v>246.22380000000001</v>
      </c>
      <c r="DC84" t="s">
        <v>3</v>
      </c>
      <c r="DD84" t="s">
        <v>3</v>
      </c>
      <c r="DE84" t="s">
        <v>278</v>
      </c>
      <c r="DF84" t="s">
        <v>278</v>
      </c>
      <c r="DG84" t="s">
        <v>279</v>
      </c>
      <c r="DH84" t="s">
        <v>3</v>
      </c>
      <c r="DI84" t="s">
        <v>279</v>
      </c>
      <c r="DJ84" t="s">
        <v>278</v>
      </c>
      <c r="DK84" t="s">
        <v>3</v>
      </c>
      <c r="DL84" t="s">
        <v>3</v>
      </c>
      <c r="DM84" t="s">
        <v>3</v>
      </c>
      <c r="DN84">
        <v>0</v>
      </c>
      <c r="DO84">
        <v>0</v>
      </c>
      <c r="DP84">
        <v>1</v>
      </c>
      <c r="DQ84">
        <v>1</v>
      </c>
      <c r="DU84">
        <v>1005</v>
      </c>
      <c r="DV84" t="s">
        <v>36</v>
      </c>
      <c r="DW84" t="s">
        <v>36</v>
      </c>
      <c r="DX84">
        <v>100</v>
      </c>
      <c r="DZ84" t="s">
        <v>3</v>
      </c>
      <c r="EA84" t="s">
        <v>3</v>
      </c>
      <c r="EB84" t="s">
        <v>3</v>
      </c>
      <c r="EC84" t="s">
        <v>3</v>
      </c>
      <c r="EE84">
        <v>64095067</v>
      </c>
      <c r="EF84">
        <v>2</v>
      </c>
      <c r="EG84" t="s">
        <v>13</v>
      </c>
      <c r="EH84">
        <v>0</v>
      </c>
      <c r="EI84" t="s">
        <v>3</v>
      </c>
      <c r="EJ84">
        <v>1</v>
      </c>
      <c r="EK84">
        <v>27001</v>
      </c>
      <c r="EL84" t="s">
        <v>107</v>
      </c>
      <c r="EM84" t="s">
        <v>108</v>
      </c>
      <c r="EO84" t="s">
        <v>150</v>
      </c>
      <c r="EQ84">
        <v>0</v>
      </c>
      <c r="ER84">
        <v>29.95</v>
      </c>
      <c r="ES84">
        <v>0</v>
      </c>
      <c r="ET84">
        <v>8.4</v>
      </c>
      <c r="EU84">
        <v>0</v>
      </c>
      <c r="EV84">
        <v>21.55</v>
      </c>
      <c r="EW84">
        <v>2.3199999999999998</v>
      </c>
      <c r="EX84">
        <v>0</v>
      </c>
      <c r="EY84">
        <v>0</v>
      </c>
      <c r="FQ84">
        <v>0</v>
      </c>
      <c r="FR84">
        <f t="shared" ref="FR84:FR115" si="122">ROUND(IF(AND(BH84=3,BI84=3),P84,0),2)</f>
        <v>0</v>
      </c>
      <c r="FS84">
        <v>0</v>
      </c>
      <c r="FT84" t="s">
        <v>52</v>
      </c>
      <c r="FU84" t="s">
        <v>53</v>
      </c>
      <c r="FX84">
        <v>127.8</v>
      </c>
      <c r="FY84">
        <v>80.75</v>
      </c>
      <c r="GA84" t="s">
        <v>3</v>
      </c>
      <c r="GD84">
        <v>1</v>
      </c>
      <c r="GF84">
        <v>-1053291475</v>
      </c>
      <c r="GG84">
        <v>2</v>
      </c>
      <c r="GH84">
        <v>1</v>
      </c>
      <c r="GI84">
        <v>2</v>
      </c>
      <c r="GJ84">
        <v>0</v>
      </c>
      <c r="GK84">
        <v>0</v>
      </c>
      <c r="GL84">
        <f t="shared" ref="GL84:GL115" si="123">ROUND(IF(AND(BH84=3,BI84=3,FS84&lt;&gt;0),P84,0),2)</f>
        <v>0</v>
      </c>
      <c r="GM84">
        <f t="shared" ref="GM84:GM115" si="124">ROUND(O84+X84+Y84,2)+GX84</f>
        <v>959.54</v>
      </c>
      <c r="GN84">
        <f t="shared" ref="GN84:GN115" si="125">IF(OR(BI84=0,BI84=1),ROUND(O84+X84+Y84,2),0)</f>
        <v>959.54</v>
      </c>
      <c r="GO84">
        <f t="shared" ref="GO84:GO115" si="126">IF(BI84=2,ROUND(O84+X84+Y84,2),0)</f>
        <v>0</v>
      </c>
      <c r="GP84">
        <f t="shared" ref="GP84:GP115" si="127">IF(BI84=4,ROUND(O84+X84+Y84,2)+GX84,0)</f>
        <v>0</v>
      </c>
      <c r="GR84">
        <v>0</v>
      </c>
      <c r="GS84">
        <v>3</v>
      </c>
      <c r="GT84">
        <v>0</v>
      </c>
      <c r="GU84" t="s">
        <v>3</v>
      </c>
      <c r="GV84">
        <f t="shared" ref="GV84:GV115" si="128">ROUND((GT84),2)</f>
        <v>0</v>
      </c>
      <c r="GW84">
        <v>1</v>
      </c>
      <c r="GX84">
        <f t="shared" ref="GX84:GX115" si="129">ROUND(HC84*I84,2)</f>
        <v>0</v>
      </c>
      <c r="HA84">
        <v>0</v>
      </c>
      <c r="HB84">
        <v>0</v>
      </c>
      <c r="HC84">
        <f t="shared" ref="HC84:HC115" si="130">GV84*GW84</f>
        <v>0</v>
      </c>
      <c r="HE84" t="s">
        <v>3</v>
      </c>
      <c r="HF84" t="s">
        <v>3</v>
      </c>
      <c r="IK84">
        <v>0</v>
      </c>
    </row>
    <row r="85" spans="1:245" x14ac:dyDescent="0.2">
      <c r="A85">
        <v>18</v>
      </c>
      <c r="B85">
        <v>1</v>
      </c>
      <c r="C85">
        <v>217</v>
      </c>
      <c r="E85" t="s">
        <v>280</v>
      </c>
      <c r="F85" t="s">
        <v>271</v>
      </c>
      <c r="G85" t="s">
        <v>272</v>
      </c>
      <c r="H85" t="s">
        <v>71</v>
      </c>
      <c r="I85">
        <f>I84*J85</f>
        <v>0.33750000000000002</v>
      </c>
      <c r="J85">
        <v>5</v>
      </c>
      <c r="O85">
        <f t="shared" si="97"/>
        <v>960.84</v>
      </c>
      <c r="P85">
        <f t="shared" si="98"/>
        <v>960.84</v>
      </c>
      <c r="Q85">
        <f t="shared" si="99"/>
        <v>0</v>
      </c>
      <c r="R85">
        <f t="shared" si="100"/>
        <v>0</v>
      </c>
      <c r="S85">
        <f t="shared" si="101"/>
        <v>0</v>
      </c>
      <c r="T85">
        <f t="shared" si="102"/>
        <v>0</v>
      </c>
      <c r="U85">
        <f t="shared" si="103"/>
        <v>0</v>
      </c>
      <c r="V85">
        <f t="shared" si="104"/>
        <v>0</v>
      </c>
      <c r="W85">
        <f t="shared" si="105"/>
        <v>0</v>
      </c>
      <c r="X85">
        <f t="shared" si="106"/>
        <v>0</v>
      </c>
      <c r="Y85">
        <f t="shared" si="107"/>
        <v>0</v>
      </c>
      <c r="AA85">
        <v>68990560</v>
      </c>
      <c r="AB85">
        <f t="shared" si="108"/>
        <v>480.09</v>
      </c>
      <c r="AC85">
        <f t="shared" si="70"/>
        <v>480.09</v>
      </c>
      <c r="AD85">
        <f>ROUND((((ET85)-(EU85))+AE85),2)</f>
        <v>0</v>
      </c>
      <c r="AE85">
        <f>ROUND((EU85),2)</f>
        <v>0</v>
      </c>
      <c r="AF85">
        <f>ROUND((EV85),2)</f>
        <v>0</v>
      </c>
      <c r="AG85">
        <f t="shared" si="109"/>
        <v>0</v>
      </c>
      <c r="AH85">
        <f>(EW85)</f>
        <v>0</v>
      </c>
      <c r="AI85">
        <f>(EX85)</f>
        <v>0</v>
      </c>
      <c r="AJ85">
        <f t="shared" si="110"/>
        <v>0</v>
      </c>
      <c r="AK85">
        <v>480.09</v>
      </c>
      <c r="AL85">
        <v>480.09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128</v>
      </c>
      <c r="AU85">
        <v>81</v>
      </c>
      <c r="AV85">
        <v>1</v>
      </c>
      <c r="AW85">
        <v>1</v>
      </c>
      <c r="AZ85">
        <v>1</v>
      </c>
      <c r="BA85">
        <v>1</v>
      </c>
      <c r="BB85">
        <v>1</v>
      </c>
      <c r="BC85">
        <v>5.93</v>
      </c>
      <c r="BD85" t="s">
        <v>3</v>
      </c>
      <c r="BE85" t="s">
        <v>3</v>
      </c>
      <c r="BF85" t="s">
        <v>3</v>
      </c>
      <c r="BG85" t="s">
        <v>3</v>
      </c>
      <c r="BH85">
        <v>3</v>
      </c>
      <c r="BI85">
        <v>1</v>
      </c>
      <c r="BJ85" t="s">
        <v>273</v>
      </c>
      <c r="BM85">
        <v>27001</v>
      </c>
      <c r="BN85">
        <v>0</v>
      </c>
      <c r="BO85" t="s">
        <v>271</v>
      </c>
      <c r="BP85">
        <v>1</v>
      </c>
      <c r="BQ85">
        <v>2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3</v>
      </c>
      <c r="BZ85">
        <v>142</v>
      </c>
      <c r="CA85">
        <v>95</v>
      </c>
      <c r="CE85">
        <v>0</v>
      </c>
      <c r="CF85">
        <v>0</v>
      </c>
      <c r="CG85">
        <v>0</v>
      </c>
      <c r="CM85">
        <v>0</v>
      </c>
      <c r="CN85" t="s">
        <v>3</v>
      </c>
      <c r="CO85">
        <v>0</v>
      </c>
      <c r="CP85">
        <f t="shared" si="111"/>
        <v>960.84</v>
      </c>
      <c r="CQ85">
        <f t="shared" si="112"/>
        <v>2846.9336999999996</v>
      </c>
      <c r="CR85">
        <f t="shared" si="113"/>
        <v>0</v>
      </c>
      <c r="CS85">
        <f t="shared" si="114"/>
        <v>0</v>
      </c>
      <c r="CT85">
        <f t="shared" si="115"/>
        <v>0</v>
      </c>
      <c r="CU85">
        <f t="shared" si="116"/>
        <v>0</v>
      </c>
      <c r="CV85">
        <f t="shared" si="117"/>
        <v>0</v>
      </c>
      <c r="CW85">
        <f t="shared" si="118"/>
        <v>0</v>
      </c>
      <c r="CX85">
        <f t="shared" si="119"/>
        <v>0</v>
      </c>
      <c r="CY85">
        <f t="shared" si="120"/>
        <v>0</v>
      </c>
      <c r="CZ85">
        <f t="shared" si="121"/>
        <v>0</v>
      </c>
      <c r="DC85" t="s">
        <v>3</v>
      </c>
      <c r="DD85" t="s">
        <v>3</v>
      </c>
      <c r="DE85" t="s">
        <v>3</v>
      </c>
      <c r="DF85" t="s">
        <v>3</v>
      </c>
      <c r="DG85" t="s">
        <v>3</v>
      </c>
      <c r="DH85" t="s">
        <v>3</v>
      </c>
      <c r="DI85" t="s">
        <v>3</v>
      </c>
      <c r="DJ85" t="s">
        <v>3</v>
      </c>
      <c r="DK85" t="s">
        <v>3</v>
      </c>
      <c r="DL85" t="s">
        <v>3</v>
      </c>
      <c r="DM85" t="s">
        <v>3</v>
      </c>
      <c r="DN85">
        <v>0</v>
      </c>
      <c r="DO85">
        <v>0</v>
      </c>
      <c r="DP85">
        <v>1</v>
      </c>
      <c r="DQ85">
        <v>1</v>
      </c>
      <c r="DU85">
        <v>1009</v>
      </c>
      <c r="DV85" t="s">
        <v>71</v>
      </c>
      <c r="DW85" t="s">
        <v>71</v>
      </c>
      <c r="DX85">
        <v>1000</v>
      </c>
      <c r="DZ85" t="s">
        <v>3</v>
      </c>
      <c r="EA85" t="s">
        <v>3</v>
      </c>
      <c r="EB85" t="s">
        <v>3</v>
      </c>
      <c r="EC85" t="s">
        <v>3</v>
      </c>
      <c r="EE85">
        <v>64095067</v>
      </c>
      <c r="EF85">
        <v>2</v>
      </c>
      <c r="EG85" t="s">
        <v>13</v>
      </c>
      <c r="EH85">
        <v>0</v>
      </c>
      <c r="EI85" t="s">
        <v>3</v>
      </c>
      <c r="EJ85">
        <v>1</v>
      </c>
      <c r="EK85">
        <v>27001</v>
      </c>
      <c r="EL85" t="s">
        <v>107</v>
      </c>
      <c r="EM85" t="s">
        <v>108</v>
      </c>
      <c r="EO85" t="s">
        <v>3</v>
      </c>
      <c r="EQ85">
        <v>0</v>
      </c>
      <c r="ER85">
        <v>480.09</v>
      </c>
      <c r="ES85">
        <v>480.09</v>
      </c>
      <c r="ET85">
        <v>0</v>
      </c>
      <c r="EU85">
        <v>0</v>
      </c>
      <c r="EV85">
        <v>0</v>
      </c>
      <c r="EW85">
        <v>0</v>
      </c>
      <c r="EX85">
        <v>0</v>
      </c>
      <c r="FQ85">
        <v>0</v>
      </c>
      <c r="FR85">
        <f t="shared" si="122"/>
        <v>0</v>
      </c>
      <c r="FS85">
        <v>0</v>
      </c>
      <c r="FT85" t="s">
        <v>52</v>
      </c>
      <c r="FU85" t="s">
        <v>53</v>
      </c>
      <c r="FX85">
        <v>127.8</v>
      </c>
      <c r="FY85">
        <v>80.75</v>
      </c>
      <c r="GA85" t="s">
        <v>3</v>
      </c>
      <c r="GD85">
        <v>1</v>
      </c>
      <c r="GF85">
        <v>1555233590</v>
      </c>
      <c r="GG85">
        <v>2</v>
      </c>
      <c r="GH85">
        <v>1</v>
      </c>
      <c r="GI85">
        <v>2</v>
      </c>
      <c r="GJ85">
        <v>0</v>
      </c>
      <c r="GK85">
        <v>0</v>
      </c>
      <c r="GL85">
        <f t="shared" si="123"/>
        <v>0</v>
      </c>
      <c r="GM85">
        <f t="shared" si="124"/>
        <v>960.84</v>
      </c>
      <c r="GN85">
        <f t="shared" si="125"/>
        <v>960.84</v>
      </c>
      <c r="GO85">
        <f t="shared" si="126"/>
        <v>0</v>
      </c>
      <c r="GP85">
        <f t="shared" si="127"/>
        <v>0</v>
      </c>
      <c r="GR85">
        <v>0</v>
      </c>
      <c r="GS85">
        <v>3</v>
      </c>
      <c r="GT85">
        <v>0</v>
      </c>
      <c r="GU85" t="s">
        <v>3</v>
      </c>
      <c r="GV85">
        <f t="shared" si="128"/>
        <v>0</v>
      </c>
      <c r="GW85">
        <v>1</v>
      </c>
      <c r="GX85">
        <f t="shared" si="129"/>
        <v>0</v>
      </c>
      <c r="HA85">
        <v>0</v>
      </c>
      <c r="HB85">
        <v>0</v>
      </c>
      <c r="HC85">
        <f t="shared" si="130"/>
        <v>0</v>
      </c>
      <c r="HE85" t="s">
        <v>3</v>
      </c>
      <c r="HF85" t="s">
        <v>3</v>
      </c>
      <c r="IK85">
        <v>0</v>
      </c>
    </row>
    <row r="86" spans="1:245" x14ac:dyDescent="0.2">
      <c r="A86">
        <v>17</v>
      </c>
      <c r="B86">
        <v>1</v>
      </c>
      <c r="C86">
        <f>ROW(SmtRes!A224)</f>
        <v>224</v>
      </c>
      <c r="D86">
        <f>ROW(EtalonRes!A232)</f>
        <v>232</v>
      </c>
      <c r="E86" t="s">
        <v>281</v>
      </c>
      <c r="F86" t="s">
        <v>103</v>
      </c>
      <c r="G86" t="s">
        <v>282</v>
      </c>
      <c r="H86" t="s">
        <v>36</v>
      </c>
      <c r="I86">
        <f>ROUND(2.1/100,5)</f>
        <v>2.1000000000000001E-2</v>
      </c>
      <c r="J86">
        <v>0</v>
      </c>
      <c r="O86">
        <f t="shared" si="97"/>
        <v>505.16</v>
      </c>
      <c r="P86">
        <f t="shared" si="98"/>
        <v>2.98</v>
      </c>
      <c r="Q86">
        <f t="shared" si="99"/>
        <v>91.67</v>
      </c>
      <c r="R86">
        <f t="shared" si="100"/>
        <v>13.18</v>
      </c>
      <c r="S86">
        <f t="shared" si="101"/>
        <v>410.51</v>
      </c>
      <c r="T86">
        <f t="shared" si="102"/>
        <v>0</v>
      </c>
      <c r="U86">
        <f t="shared" si="103"/>
        <v>1.4931945000000002</v>
      </c>
      <c r="V86">
        <f t="shared" si="104"/>
        <v>3.1539375000000001E-2</v>
      </c>
      <c r="W86">
        <f t="shared" si="105"/>
        <v>0</v>
      </c>
      <c r="X86">
        <f t="shared" si="106"/>
        <v>542.32000000000005</v>
      </c>
      <c r="Y86">
        <f t="shared" si="107"/>
        <v>343.19</v>
      </c>
      <c r="AA86">
        <v>68990560</v>
      </c>
      <c r="AB86">
        <f t="shared" si="108"/>
        <v>1304.8</v>
      </c>
      <c r="AC86">
        <f t="shared" si="70"/>
        <v>24.3</v>
      </c>
      <c r="AD86">
        <f>ROUND((((((ET86*1.25)*1.35))-(((EU86*1.25)*1.35)))+AE86),2)</f>
        <v>699.57</v>
      </c>
      <c r="AE86">
        <f>ROUND((((EU86*1.25)*1.35)),2)</f>
        <v>18.649999999999999</v>
      </c>
      <c r="AF86">
        <f>ROUND((((EV86*1.15)*1.35)),2)</f>
        <v>580.92999999999995</v>
      </c>
      <c r="AG86">
        <f t="shared" si="109"/>
        <v>0</v>
      </c>
      <c r="AH86">
        <f>(((EW86*1.15)*1.35))</f>
        <v>71.104500000000002</v>
      </c>
      <c r="AI86">
        <f>(((EX86*1.25)*1.35))</f>
        <v>1.5018750000000001</v>
      </c>
      <c r="AJ86">
        <f t="shared" si="110"/>
        <v>0</v>
      </c>
      <c r="AK86">
        <v>813.05</v>
      </c>
      <c r="AL86">
        <v>24.3</v>
      </c>
      <c r="AM86">
        <v>414.56</v>
      </c>
      <c r="AN86">
        <v>11.05</v>
      </c>
      <c r="AO86">
        <v>374.19</v>
      </c>
      <c r="AP86">
        <v>0</v>
      </c>
      <c r="AQ86">
        <v>45.8</v>
      </c>
      <c r="AR86">
        <v>0.89</v>
      </c>
      <c r="AS86">
        <v>0</v>
      </c>
      <c r="AT86">
        <v>128</v>
      </c>
      <c r="AU86">
        <v>81</v>
      </c>
      <c r="AV86">
        <v>1</v>
      </c>
      <c r="AW86">
        <v>1</v>
      </c>
      <c r="AZ86">
        <v>1</v>
      </c>
      <c r="BA86">
        <v>33.65</v>
      </c>
      <c r="BB86">
        <v>6.24</v>
      </c>
      <c r="BC86">
        <v>5.83</v>
      </c>
      <c r="BD86" t="s">
        <v>3</v>
      </c>
      <c r="BE86" t="s">
        <v>3</v>
      </c>
      <c r="BF86" t="s">
        <v>3</v>
      </c>
      <c r="BG86" t="s">
        <v>3</v>
      </c>
      <c r="BH86">
        <v>0</v>
      </c>
      <c r="BI86">
        <v>1</v>
      </c>
      <c r="BJ86" t="s">
        <v>105</v>
      </c>
      <c r="BM86">
        <v>27001</v>
      </c>
      <c r="BN86">
        <v>0</v>
      </c>
      <c r="BO86" t="s">
        <v>103</v>
      </c>
      <c r="BP86">
        <v>1</v>
      </c>
      <c r="BQ86">
        <v>2</v>
      </c>
      <c r="BR86">
        <v>0</v>
      </c>
      <c r="BS86">
        <v>33.65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3</v>
      </c>
      <c r="BZ86">
        <v>142</v>
      </c>
      <c r="CA86">
        <v>95</v>
      </c>
      <c r="CE86">
        <v>0</v>
      </c>
      <c r="CF86">
        <v>0</v>
      </c>
      <c r="CG86">
        <v>0</v>
      </c>
      <c r="CM86">
        <v>0</v>
      </c>
      <c r="CN86" t="s">
        <v>1332</v>
      </c>
      <c r="CO86">
        <v>0</v>
      </c>
      <c r="CP86">
        <f t="shared" si="111"/>
        <v>505.15999999999997</v>
      </c>
      <c r="CQ86">
        <f t="shared" si="112"/>
        <v>141.66900000000001</v>
      </c>
      <c r="CR86">
        <f t="shared" si="113"/>
        <v>4365.3168000000005</v>
      </c>
      <c r="CS86">
        <f t="shared" si="114"/>
        <v>627.57249999999988</v>
      </c>
      <c r="CT86">
        <f t="shared" si="115"/>
        <v>19548.294499999996</v>
      </c>
      <c r="CU86">
        <f t="shared" si="116"/>
        <v>0</v>
      </c>
      <c r="CV86">
        <f t="shared" si="117"/>
        <v>71.104500000000002</v>
      </c>
      <c r="CW86">
        <f t="shared" si="118"/>
        <v>1.5018750000000001</v>
      </c>
      <c r="CX86">
        <f t="shared" si="119"/>
        <v>0</v>
      </c>
      <c r="CY86">
        <f t="shared" si="120"/>
        <v>542.32320000000004</v>
      </c>
      <c r="CZ86">
        <f t="shared" si="121"/>
        <v>343.18889999999999</v>
      </c>
      <c r="DC86" t="s">
        <v>3</v>
      </c>
      <c r="DD86" t="s">
        <v>3</v>
      </c>
      <c r="DE86" t="s">
        <v>146</v>
      </c>
      <c r="DF86" t="s">
        <v>146</v>
      </c>
      <c r="DG86" t="s">
        <v>147</v>
      </c>
      <c r="DH86" t="s">
        <v>3</v>
      </c>
      <c r="DI86" t="s">
        <v>147</v>
      </c>
      <c r="DJ86" t="s">
        <v>146</v>
      </c>
      <c r="DK86" t="s">
        <v>3</v>
      </c>
      <c r="DL86" t="s">
        <v>3</v>
      </c>
      <c r="DM86" t="s">
        <v>3</v>
      </c>
      <c r="DN86">
        <v>0</v>
      </c>
      <c r="DO86">
        <v>0</v>
      </c>
      <c r="DP86">
        <v>1</v>
      </c>
      <c r="DQ86">
        <v>1</v>
      </c>
      <c r="DU86">
        <v>1005</v>
      </c>
      <c r="DV86" t="s">
        <v>36</v>
      </c>
      <c r="DW86" t="s">
        <v>36</v>
      </c>
      <c r="DX86">
        <v>100</v>
      </c>
      <c r="DZ86" t="s">
        <v>3</v>
      </c>
      <c r="EA86" t="s">
        <v>3</v>
      </c>
      <c r="EB86" t="s">
        <v>3</v>
      </c>
      <c r="EC86" t="s">
        <v>3</v>
      </c>
      <c r="EE86">
        <v>64095067</v>
      </c>
      <c r="EF86">
        <v>2</v>
      </c>
      <c r="EG86" t="s">
        <v>13</v>
      </c>
      <c r="EH86">
        <v>0</v>
      </c>
      <c r="EI86" t="s">
        <v>3</v>
      </c>
      <c r="EJ86">
        <v>1</v>
      </c>
      <c r="EK86">
        <v>27001</v>
      </c>
      <c r="EL86" t="s">
        <v>107</v>
      </c>
      <c r="EM86" t="s">
        <v>108</v>
      </c>
      <c r="EO86" t="s">
        <v>150</v>
      </c>
      <c r="EQ86">
        <v>0</v>
      </c>
      <c r="ER86">
        <v>813.05</v>
      </c>
      <c r="ES86">
        <v>24.3</v>
      </c>
      <c r="ET86">
        <v>414.56</v>
      </c>
      <c r="EU86">
        <v>11.05</v>
      </c>
      <c r="EV86">
        <v>374.19</v>
      </c>
      <c r="EW86">
        <v>45.8</v>
      </c>
      <c r="EX86">
        <v>0.89</v>
      </c>
      <c r="EY86">
        <v>0</v>
      </c>
      <c r="FQ86">
        <v>0</v>
      </c>
      <c r="FR86">
        <f t="shared" si="122"/>
        <v>0</v>
      </c>
      <c r="FS86">
        <v>0</v>
      </c>
      <c r="FT86" t="s">
        <v>52</v>
      </c>
      <c r="FU86" t="s">
        <v>53</v>
      </c>
      <c r="FX86">
        <v>127.8</v>
      </c>
      <c r="FY86">
        <v>80.75</v>
      </c>
      <c r="GA86" t="s">
        <v>3</v>
      </c>
      <c r="GD86">
        <v>1</v>
      </c>
      <c r="GF86">
        <v>-2066502437</v>
      </c>
      <c r="GG86">
        <v>2</v>
      </c>
      <c r="GH86">
        <v>1</v>
      </c>
      <c r="GI86">
        <v>2</v>
      </c>
      <c r="GJ86">
        <v>0</v>
      </c>
      <c r="GK86">
        <v>0</v>
      </c>
      <c r="GL86">
        <f t="shared" si="123"/>
        <v>0</v>
      </c>
      <c r="GM86">
        <f t="shared" si="124"/>
        <v>1390.67</v>
      </c>
      <c r="GN86">
        <f t="shared" si="125"/>
        <v>1390.67</v>
      </c>
      <c r="GO86">
        <f t="shared" si="126"/>
        <v>0</v>
      </c>
      <c r="GP86">
        <f t="shared" si="127"/>
        <v>0</v>
      </c>
      <c r="GR86">
        <v>0</v>
      </c>
      <c r="GS86">
        <v>3</v>
      </c>
      <c r="GT86">
        <v>0</v>
      </c>
      <c r="GU86" t="s">
        <v>3</v>
      </c>
      <c r="GV86">
        <f t="shared" si="128"/>
        <v>0</v>
      </c>
      <c r="GW86">
        <v>1</v>
      </c>
      <c r="GX86">
        <f t="shared" si="129"/>
        <v>0</v>
      </c>
      <c r="HA86">
        <v>0</v>
      </c>
      <c r="HB86">
        <v>0</v>
      </c>
      <c r="HC86">
        <f t="shared" si="130"/>
        <v>0</v>
      </c>
      <c r="HE86" t="s">
        <v>3</v>
      </c>
      <c r="HF86" t="s">
        <v>3</v>
      </c>
      <c r="IK86">
        <v>0</v>
      </c>
    </row>
    <row r="87" spans="1:245" x14ac:dyDescent="0.2">
      <c r="A87">
        <v>18</v>
      </c>
      <c r="B87">
        <v>1</v>
      </c>
      <c r="C87">
        <v>224</v>
      </c>
      <c r="E87" t="s">
        <v>283</v>
      </c>
      <c r="F87" t="s">
        <v>284</v>
      </c>
      <c r="G87" t="s">
        <v>285</v>
      </c>
      <c r="H87" t="s">
        <v>46</v>
      </c>
      <c r="I87">
        <f>I86*J87</f>
        <v>2.1</v>
      </c>
      <c r="J87">
        <v>100</v>
      </c>
      <c r="O87">
        <f t="shared" si="97"/>
        <v>2308.56</v>
      </c>
      <c r="P87">
        <f t="shared" si="98"/>
        <v>2308.56</v>
      </c>
      <c r="Q87">
        <f t="shared" si="99"/>
        <v>0</v>
      </c>
      <c r="R87">
        <f t="shared" si="100"/>
        <v>0</v>
      </c>
      <c r="S87">
        <f t="shared" si="101"/>
        <v>0</v>
      </c>
      <c r="T87">
        <f t="shared" si="102"/>
        <v>0</v>
      </c>
      <c r="U87">
        <f t="shared" si="103"/>
        <v>0</v>
      </c>
      <c r="V87">
        <f t="shared" si="104"/>
        <v>0</v>
      </c>
      <c r="W87">
        <f t="shared" si="105"/>
        <v>0</v>
      </c>
      <c r="X87">
        <f t="shared" si="106"/>
        <v>0</v>
      </c>
      <c r="Y87">
        <f t="shared" si="107"/>
        <v>0</v>
      </c>
      <c r="AA87">
        <v>68990560</v>
      </c>
      <c r="AB87">
        <f t="shared" si="108"/>
        <v>178.46</v>
      </c>
      <c r="AC87">
        <f t="shared" si="70"/>
        <v>178.46</v>
      </c>
      <c r="AD87">
        <f>ROUND((((ET87)-(EU87))+AE87),2)</f>
        <v>0</v>
      </c>
      <c r="AE87">
        <f>ROUND((EU87),2)</f>
        <v>0</v>
      </c>
      <c r="AF87">
        <f>ROUND((EV87),2)</f>
        <v>0</v>
      </c>
      <c r="AG87">
        <f t="shared" si="109"/>
        <v>0</v>
      </c>
      <c r="AH87">
        <f>(EW87)</f>
        <v>0</v>
      </c>
      <c r="AI87">
        <f>(EX87)</f>
        <v>0</v>
      </c>
      <c r="AJ87">
        <f t="shared" si="110"/>
        <v>0</v>
      </c>
      <c r="AK87">
        <v>178.46</v>
      </c>
      <c r="AL87">
        <v>178.46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128</v>
      </c>
      <c r="AU87">
        <v>81</v>
      </c>
      <c r="AV87">
        <v>1</v>
      </c>
      <c r="AW87">
        <v>1</v>
      </c>
      <c r="AZ87">
        <v>1</v>
      </c>
      <c r="BA87">
        <v>1</v>
      </c>
      <c r="BB87">
        <v>1</v>
      </c>
      <c r="BC87">
        <v>6.16</v>
      </c>
      <c r="BD87" t="s">
        <v>3</v>
      </c>
      <c r="BE87" t="s">
        <v>3</v>
      </c>
      <c r="BF87" t="s">
        <v>3</v>
      </c>
      <c r="BG87" t="s">
        <v>3</v>
      </c>
      <c r="BH87">
        <v>3</v>
      </c>
      <c r="BI87">
        <v>1</v>
      </c>
      <c r="BJ87" t="s">
        <v>286</v>
      </c>
      <c r="BM87">
        <v>27001</v>
      </c>
      <c r="BN87">
        <v>0</v>
      </c>
      <c r="BO87" t="s">
        <v>284</v>
      </c>
      <c r="BP87">
        <v>1</v>
      </c>
      <c r="BQ87">
        <v>2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3</v>
      </c>
      <c r="BZ87">
        <v>142</v>
      </c>
      <c r="CA87">
        <v>95</v>
      </c>
      <c r="CE87">
        <v>0</v>
      </c>
      <c r="CF87">
        <v>0</v>
      </c>
      <c r="CG87">
        <v>0</v>
      </c>
      <c r="CM87">
        <v>0</v>
      </c>
      <c r="CN87" t="s">
        <v>3</v>
      </c>
      <c r="CO87">
        <v>0</v>
      </c>
      <c r="CP87">
        <f t="shared" si="111"/>
        <v>2308.56</v>
      </c>
      <c r="CQ87">
        <f t="shared" si="112"/>
        <v>1099.3136000000002</v>
      </c>
      <c r="CR87">
        <f t="shared" si="113"/>
        <v>0</v>
      </c>
      <c r="CS87">
        <f t="shared" si="114"/>
        <v>0</v>
      </c>
      <c r="CT87">
        <f t="shared" si="115"/>
        <v>0</v>
      </c>
      <c r="CU87">
        <f t="shared" si="116"/>
        <v>0</v>
      </c>
      <c r="CV87">
        <f t="shared" si="117"/>
        <v>0</v>
      </c>
      <c r="CW87">
        <f t="shared" si="118"/>
        <v>0</v>
      </c>
      <c r="CX87">
        <f t="shared" si="119"/>
        <v>0</v>
      </c>
      <c r="CY87">
        <f t="shared" si="120"/>
        <v>0</v>
      </c>
      <c r="CZ87">
        <f t="shared" si="121"/>
        <v>0</v>
      </c>
      <c r="DC87" t="s">
        <v>3</v>
      </c>
      <c r="DD87" t="s">
        <v>3</v>
      </c>
      <c r="DE87" t="s">
        <v>3</v>
      </c>
      <c r="DF87" t="s">
        <v>3</v>
      </c>
      <c r="DG87" t="s">
        <v>3</v>
      </c>
      <c r="DH87" t="s">
        <v>3</v>
      </c>
      <c r="DI87" t="s">
        <v>3</v>
      </c>
      <c r="DJ87" t="s">
        <v>3</v>
      </c>
      <c r="DK87" t="s">
        <v>3</v>
      </c>
      <c r="DL87" t="s">
        <v>3</v>
      </c>
      <c r="DM87" t="s">
        <v>3</v>
      </c>
      <c r="DN87">
        <v>0</v>
      </c>
      <c r="DO87">
        <v>0</v>
      </c>
      <c r="DP87">
        <v>1</v>
      </c>
      <c r="DQ87">
        <v>1</v>
      </c>
      <c r="DU87">
        <v>1005</v>
      </c>
      <c r="DV87" t="s">
        <v>46</v>
      </c>
      <c r="DW87" t="s">
        <v>46</v>
      </c>
      <c r="DX87">
        <v>1</v>
      </c>
      <c r="DZ87" t="s">
        <v>3</v>
      </c>
      <c r="EA87" t="s">
        <v>3</v>
      </c>
      <c r="EB87" t="s">
        <v>3</v>
      </c>
      <c r="EC87" t="s">
        <v>3</v>
      </c>
      <c r="EE87">
        <v>64095067</v>
      </c>
      <c r="EF87">
        <v>2</v>
      </c>
      <c r="EG87" t="s">
        <v>13</v>
      </c>
      <c r="EH87">
        <v>0</v>
      </c>
      <c r="EI87" t="s">
        <v>3</v>
      </c>
      <c r="EJ87">
        <v>1</v>
      </c>
      <c r="EK87">
        <v>27001</v>
      </c>
      <c r="EL87" t="s">
        <v>107</v>
      </c>
      <c r="EM87" t="s">
        <v>108</v>
      </c>
      <c r="EO87" t="s">
        <v>3</v>
      </c>
      <c r="EQ87">
        <v>0</v>
      </c>
      <c r="ER87">
        <v>178.46</v>
      </c>
      <c r="ES87">
        <v>178.46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122"/>
        <v>0</v>
      </c>
      <c r="FS87">
        <v>0</v>
      </c>
      <c r="FT87" t="s">
        <v>52</v>
      </c>
      <c r="FU87" t="s">
        <v>53</v>
      </c>
      <c r="FX87">
        <v>127.8</v>
      </c>
      <c r="FY87">
        <v>80.75</v>
      </c>
      <c r="GA87" t="s">
        <v>3</v>
      </c>
      <c r="GD87">
        <v>1</v>
      </c>
      <c r="GF87">
        <v>-21910343</v>
      </c>
      <c r="GG87">
        <v>2</v>
      </c>
      <c r="GH87">
        <v>1</v>
      </c>
      <c r="GI87">
        <v>2</v>
      </c>
      <c r="GJ87">
        <v>0</v>
      </c>
      <c r="GK87">
        <v>0</v>
      </c>
      <c r="GL87">
        <f t="shared" si="123"/>
        <v>0</v>
      </c>
      <c r="GM87">
        <f t="shared" si="124"/>
        <v>2308.56</v>
      </c>
      <c r="GN87">
        <f t="shared" si="125"/>
        <v>2308.56</v>
      </c>
      <c r="GO87">
        <f t="shared" si="126"/>
        <v>0</v>
      </c>
      <c r="GP87">
        <f t="shared" si="127"/>
        <v>0</v>
      </c>
      <c r="GR87">
        <v>0</v>
      </c>
      <c r="GS87">
        <v>3</v>
      </c>
      <c r="GT87">
        <v>0</v>
      </c>
      <c r="GU87" t="s">
        <v>3</v>
      </c>
      <c r="GV87">
        <f t="shared" si="128"/>
        <v>0</v>
      </c>
      <c r="GW87">
        <v>1</v>
      </c>
      <c r="GX87">
        <f t="shared" si="129"/>
        <v>0</v>
      </c>
      <c r="HA87">
        <v>0</v>
      </c>
      <c r="HB87">
        <v>0</v>
      </c>
      <c r="HC87">
        <f t="shared" si="130"/>
        <v>0</v>
      </c>
      <c r="HE87" t="s">
        <v>3</v>
      </c>
      <c r="HF87" t="s">
        <v>3</v>
      </c>
      <c r="IK87">
        <v>0</v>
      </c>
    </row>
    <row r="88" spans="1:245" x14ac:dyDescent="0.2">
      <c r="A88">
        <v>17</v>
      </c>
      <c r="B88">
        <v>1</v>
      </c>
      <c r="C88">
        <f>ROW(SmtRes!A231)</f>
        <v>231</v>
      </c>
      <c r="D88">
        <f>ROW(EtalonRes!A239)</f>
        <v>239</v>
      </c>
      <c r="E88" t="s">
        <v>287</v>
      </c>
      <c r="F88" t="s">
        <v>103</v>
      </c>
      <c r="G88" t="s">
        <v>288</v>
      </c>
      <c r="H88" t="s">
        <v>36</v>
      </c>
      <c r="I88">
        <f>ROUND(6.8/100,5)</f>
        <v>6.8000000000000005E-2</v>
      </c>
      <c r="J88">
        <v>0</v>
      </c>
      <c r="O88">
        <f t="shared" si="97"/>
        <v>1635.75</v>
      </c>
      <c r="P88">
        <f t="shared" si="98"/>
        <v>9.6300000000000008</v>
      </c>
      <c r="Q88">
        <f t="shared" si="99"/>
        <v>296.83999999999997</v>
      </c>
      <c r="R88">
        <f t="shared" si="100"/>
        <v>42.67</v>
      </c>
      <c r="S88">
        <f t="shared" si="101"/>
        <v>1329.28</v>
      </c>
      <c r="T88">
        <f t="shared" si="102"/>
        <v>0</v>
      </c>
      <c r="U88">
        <f t="shared" si="103"/>
        <v>4.8351060000000006</v>
      </c>
      <c r="V88">
        <f t="shared" si="104"/>
        <v>0.10212750000000001</v>
      </c>
      <c r="W88">
        <f t="shared" si="105"/>
        <v>0</v>
      </c>
      <c r="X88">
        <f t="shared" si="106"/>
        <v>1756.1</v>
      </c>
      <c r="Y88">
        <f t="shared" si="107"/>
        <v>1111.28</v>
      </c>
      <c r="AA88">
        <v>68990560</v>
      </c>
      <c r="AB88">
        <f t="shared" si="108"/>
        <v>1304.8</v>
      </c>
      <c r="AC88">
        <f t="shared" si="70"/>
        <v>24.3</v>
      </c>
      <c r="AD88">
        <f>ROUND((((((ET88*1.25)*1.35))-(((EU88*1.25)*1.35)))+AE88),2)</f>
        <v>699.57</v>
      </c>
      <c r="AE88">
        <f>ROUND((((EU88*1.25)*1.35)),2)</f>
        <v>18.649999999999999</v>
      </c>
      <c r="AF88">
        <f>ROUND((((EV88*1.15)*1.35)),2)</f>
        <v>580.92999999999995</v>
      </c>
      <c r="AG88">
        <f t="shared" si="109"/>
        <v>0</v>
      </c>
      <c r="AH88">
        <f>(((EW88*1.15)*1.35))</f>
        <v>71.104500000000002</v>
      </c>
      <c r="AI88">
        <f>(((EX88*1.25)*1.35))</f>
        <v>1.5018750000000001</v>
      </c>
      <c r="AJ88">
        <f t="shared" si="110"/>
        <v>0</v>
      </c>
      <c r="AK88">
        <v>813.05</v>
      </c>
      <c r="AL88">
        <v>24.3</v>
      </c>
      <c r="AM88">
        <v>414.56</v>
      </c>
      <c r="AN88">
        <v>11.05</v>
      </c>
      <c r="AO88">
        <v>374.19</v>
      </c>
      <c r="AP88">
        <v>0</v>
      </c>
      <c r="AQ88">
        <v>45.8</v>
      </c>
      <c r="AR88">
        <v>0.89</v>
      </c>
      <c r="AS88">
        <v>0</v>
      </c>
      <c r="AT88">
        <v>128</v>
      </c>
      <c r="AU88">
        <v>81</v>
      </c>
      <c r="AV88">
        <v>1</v>
      </c>
      <c r="AW88">
        <v>1</v>
      </c>
      <c r="AZ88">
        <v>1</v>
      </c>
      <c r="BA88">
        <v>33.65</v>
      </c>
      <c r="BB88">
        <v>6.24</v>
      </c>
      <c r="BC88">
        <v>5.83</v>
      </c>
      <c r="BD88" t="s">
        <v>3</v>
      </c>
      <c r="BE88" t="s">
        <v>3</v>
      </c>
      <c r="BF88" t="s">
        <v>3</v>
      </c>
      <c r="BG88" t="s">
        <v>3</v>
      </c>
      <c r="BH88">
        <v>0</v>
      </c>
      <c r="BI88">
        <v>1</v>
      </c>
      <c r="BJ88" t="s">
        <v>105</v>
      </c>
      <c r="BM88">
        <v>27001</v>
      </c>
      <c r="BN88">
        <v>0</v>
      </c>
      <c r="BO88" t="s">
        <v>103</v>
      </c>
      <c r="BP88">
        <v>1</v>
      </c>
      <c r="BQ88">
        <v>2</v>
      </c>
      <c r="BR88">
        <v>0</v>
      </c>
      <c r="BS88">
        <v>33.65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3</v>
      </c>
      <c r="BZ88">
        <v>142</v>
      </c>
      <c r="CA88">
        <v>95</v>
      </c>
      <c r="CE88">
        <v>0</v>
      </c>
      <c r="CF88">
        <v>0</v>
      </c>
      <c r="CG88">
        <v>0</v>
      </c>
      <c r="CM88">
        <v>0</v>
      </c>
      <c r="CN88" t="s">
        <v>1332</v>
      </c>
      <c r="CO88">
        <v>0</v>
      </c>
      <c r="CP88">
        <f t="shared" si="111"/>
        <v>1635.75</v>
      </c>
      <c r="CQ88">
        <f t="shared" si="112"/>
        <v>141.66900000000001</v>
      </c>
      <c r="CR88">
        <f t="shared" si="113"/>
        <v>4365.3168000000005</v>
      </c>
      <c r="CS88">
        <f t="shared" si="114"/>
        <v>627.57249999999988</v>
      </c>
      <c r="CT88">
        <f t="shared" si="115"/>
        <v>19548.294499999996</v>
      </c>
      <c r="CU88">
        <f t="shared" si="116"/>
        <v>0</v>
      </c>
      <c r="CV88">
        <f t="shared" si="117"/>
        <v>71.104500000000002</v>
      </c>
      <c r="CW88">
        <f t="shared" si="118"/>
        <v>1.5018750000000001</v>
      </c>
      <c r="CX88">
        <f t="shared" si="119"/>
        <v>0</v>
      </c>
      <c r="CY88">
        <f t="shared" si="120"/>
        <v>1756.096</v>
      </c>
      <c r="CZ88">
        <f t="shared" si="121"/>
        <v>1111.2794999999999</v>
      </c>
      <c r="DC88" t="s">
        <v>3</v>
      </c>
      <c r="DD88" t="s">
        <v>3</v>
      </c>
      <c r="DE88" t="s">
        <v>146</v>
      </c>
      <c r="DF88" t="s">
        <v>146</v>
      </c>
      <c r="DG88" t="s">
        <v>147</v>
      </c>
      <c r="DH88" t="s">
        <v>3</v>
      </c>
      <c r="DI88" t="s">
        <v>147</v>
      </c>
      <c r="DJ88" t="s">
        <v>146</v>
      </c>
      <c r="DK88" t="s">
        <v>3</v>
      </c>
      <c r="DL88" t="s">
        <v>3</v>
      </c>
      <c r="DM88" t="s">
        <v>3</v>
      </c>
      <c r="DN88">
        <v>0</v>
      </c>
      <c r="DO88">
        <v>0</v>
      </c>
      <c r="DP88">
        <v>1</v>
      </c>
      <c r="DQ88">
        <v>1</v>
      </c>
      <c r="DU88">
        <v>1005</v>
      </c>
      <c r="DV88" t="s">
        <v>36</v>
      </c>
      <c r="DW88" t="s">
        <v>36</v>
      </c>
      <c r="DX88">
        <v>100</v>
      </c>
      <c r="DZ88" t="s">
        <v>3</v>
      </c>
      <c r="EA88" t="s">
        <v>3</v>
      </c>
      <c r="EB88" t="s">
        <v>3</v>
      </c>
      <c r="EC88" t="s">
        <v>3</v>
      </c>
      <c r="EE88">
        <v>64095067</v>
      </c>
      <c r="EF88">
        <v>2</v>
      </c>
      <c r="EG88" t="s">
        <v>13</v>
      </c>
      <c r="EH88">
        <v>0</v>
      </c>
      <c r="EI88" t="s">
        <v>3</v>
      </c>
      <c r="EJ88">
        <v>1</v>
      </c>
      <c r="EK88">
        <v>27001</v>
      </c>
      <c r="EL88" t="s">
        <v>107</v>
      </c>
      <c r="EM88" t="s">
        <v>108</v>
      </c>
      <c r="EO88" t="s">
        <v>150</v>
      </c>
      <c r="EQ88">
        <v>0</v>
      </c>
      <c r="ER88">
        <v>813.05</v>
      </c>
      <c r="ES88">
        <v>24.3</v>
      </c>
      <c r="ET88">
        <v>414.56</v>
      </c>
      <c r="EU88">
        <v>11.05</v>
      </c>
      <c r="EV88">
        <v>374.19</v>
      </c>
      <c r="EW88">
        <v>45.8</v>
      </c>
      <c r="EX88">
        <v>0.89</v>
      </c>
      <c r="EY88">
        <v>0</v>
      </c>
      <c r="FQ88">
        <v>0</v>
      </c>
      <c r="FR88">
        <f t="shared" si="122"/>
        <v>0</v>
      </c>
      <c r="FS88">
        <v>0</v>
      </c>
      <c r="FT88" t="s">
        <v>52</v>
      </c>
      <c r="FU88" t="s">
        <v>53</v>
      </c>
      <c r="FX88">
        <v>127.8</v>
      </c>
      <c r="FY88">
        <v>80.75</v>
      </c>
      <c r="GA88" t="s">
        <v>3</v>
      </c>
      <c r="GD88">
        <v>1</v>
      </c>
      <c r="GF88">
        <v>-240479302</v>
      </c>
      <c r="GG88">
        <v>2</v>
      </c>
      <c r="GH88">
        <v>1</v>
      </c>
      <c r="GI88">
        <v>2</v>
      </c>
      <c r="GJ88">
        <v>0</v>
      </c>
      <c r="GK88">
        <v>0</v>
      </c>
      <c r="GL88">
        <f t="shared" si="123"/>
        <v>0</v>
      </c>
      <c r="GM88">
        <f t="shared" si="124"/>
        <v>4503.13</v>
      </c>
      <c r="GN88">
        <f t="shared" si="125"/>
        <v>4503.13</v>
      </c>
      <c r="GO88">
        <f t="shared" si="126"/>
        <v>0</v>
      </c>
      <c r="GP88">
        <f t="shared" si="127"/>
        <v>0</v>
      </c>
      <c r="GR88">
        <v>0</v>
      </c>
      <c r="GS88">
        <v>3</v>
      </c>
      <c r="GT88">
        <v>0</v>
      </c>
      <c r="GU88" t="s">
        <v>3</v>
      </c>
      <c r="GV88">
        <f t="shared" si="128"/>
        <v>0</v>
      </c>
      <c r="GW88">
        <v>1</v>
      </c>
      <c r="GX88">
        <f t="shared" si="129"/>
        <v>0</v>
      </c>
      <c r="HA88">
        <v>0</v>
      </c>
      <c r="HB88">
        <v>0</v>
      </c>
      <c r="HC88">
        <f t="shared" si="130"/>
        <v>0</v>
      </c>
      <c r="HE88" t="s">
        <v>3</v>
      </c>
      <c r="HF88" t="s">
        <v>3</v>
      </c>
      <c r="IK88">
        <v>0</v>
      </c>
    </row>
    <row r="89" spans="1:245" x14ac:dyDescent="0.2">
      <c r="A89">
        <v>18</v>
      </c>
      <c r="B89">
        <v>1</v>
      </c>
      <c r="C89">
        <v>231</v>
      </c>
      <c r="E89" t="s">
        <v>289</v>
      </c>
      <c r="F89" t="s">
        <v>290</v>
      </c>
      <c r="G89" t="s">
        <v>291</v>
      </c>
      <c r="H89" t="s">
        <v>46</v>
      </c>
      <c r="I89">
        <f>I88*J89</f>
        <v>6.8</v>
      </c>
      <c r="J89">
        <v>99.999999999999986</v>
      </c>
      <c r="O89">
        <f t="shared" si="97"/>
        <v>2202.2600000000002</v>
      </c>
      <c r="P89">
        <f t="shared" si="98"/>
        <v>2202.2600000000002</v>
      </c>
      <c r="Q89">
        <f t="shared" si="99"/>
        <v>0</v>
      </c>
      <c r="R89">
        <f t="shared" si="100"/>
        <v>0</v>
      </c>
      <c r="S89">
        <f t="shared" si="101"/>
        <v>0</v>
      </c>
      <c r="T89">
        <f t="shared" si="102"/>
        <v>0</v>
      </c>
      <c r="U89">
        <f t="shared" si="103"/>
        <v>0</v>
      </c>
      <c r="V89">
        <f t="shared" si="104"/>
        <v>0</v>
      </c>
      <c r="W89">
        <f t="shared" si="105"/>
        <v>0</v>
      </c>
      <c r="X89">
        <f t="shared" si="106"/>
        <v>0</v>
      </c>
      <c r="Y89">
        <f t="shared" si="107"/>
        <v>0</v>
      </c>
      <c r="AA89">
        <v>68990560</v>
      </c>
      <c r="AB89">
        <f t="shared" si="108"/>
        <v>70.099999999999994</v>
      </c>
      <c r="AC89">
        <f t="shared" si="70"/>
        <v>70.099999999999994</v>
      </c>
      <c r="AD89">
        <f>ROUND((((ET89)-(EU89))+AE89),2)</f>
        <v>0</v>
      </c>
      <c r="AE89">
        <f>ROUND((EU89),2)</f>
        <v>0</v>
      </c>
      <c r="AF89">
        <f>ROUND((EV89),2)</f>
        <v>0</v>
      </c>
      <c r="AG89">
        <f t="shared" si="109"/>
        <v>0</v>
      </c>
      <c r="AH89">
        <f>(EW89)</f>
        <v>0</v>
      </c>
      <c r="AI89">
        <f>(EX89)</f>
        <v>0</v>
      </c>
      <c r="AJ89">
        <f t="shared" si="110"/>
        <v>0</v>
      </c>
      <c r="AK89">
        <v>70.099999999999994</v>
      </c>
      <c r="AL89">
        <v>70.099999999999994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128</v>
      </c>
      <c r="AU89">
        <v>81</v>
      </c>
      <c r="AV89">
        <v>1</v>
      </c>
      <c r="AW89">
        <v>1</v>
      </c>
      <c r="AZ89">
        <v>1</v>
      </c>
      <c r="BA89">
        <v>1</v>
      </c>
      <c r="BB89">
        <v>1</v>
      </c>
      <c r="BC89">
        <v>4.62</v>
      </c>
      <c r="BD89" t="s">
        <v>3</v>
      </c>
      <c r="BE89" t="s">
        <v>3</v>
      </c>
      <c r="BF89" t="s">
        <v>3</v>
      </c>
      <c r="BG89" t="s">
        <v>3</v>
      </c>
      <c r="BH89">
        <v>3</v>
      </c>
      <c r="BI89">
        <v>1</v>
      </c>
      <c r="BJ89" t="s">
        <v>292</v>
      </c>
      <c r="BM89">
        <v>27001</v>
      </c>
      <c r="BN89">
        <v>0</v>
      </c>
      <c r="BO89" t="s">
        <v>290</v>
      </c>
      <c r="BP89">
        <v>1</v>
      </c>
      <c r="BQ89">
        <v>2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3</v>
      </c>
      <c r="BZ89">
        <v>142</v>
      </c>
      <c r="CA89">
        <v>95</v>
      </c>
      <c r="CE89">
        <v>0</v>
      </c>
      <c r="CF89">
        <v>0</v>
      </c>
      <c r="CG89">
        <v>0</v>
      </c>
      <c r="CM89">
        <v>0</v>
      </c>
      <c r="CN89" t="s">
        <v>3</v>
      </c>
      <c r="CO89">
        <v>0</v>
      </c>
      <c r="CP89">
        <f t="shared" si="111"/>
        <v>2202.2600000000002</v>
      </c>
      <c r="CQ89">
        <f t="shared" si="112"/>
        <v>323.86199999999997</v>
      </c>
      <c r="CR89">
        <f t="shared" si="113"/>
        <v>0</v>
      </c>
      <c r="CS89">
        <f t="shared" si="114"/>
        <v>0</v>
      </c>
      <c r="CT89">
        <f t="shared" si="115"/>
        <v>0</v>
      </c>
      <c r="CU89">
        <f t="shared" si="116"/>
        <v>0</v>
      </c>
      <c r="CV89">
        <f t="shared" si="117"/>
        <v>0</v>
      </c>
      <c r="CW89">
        <f t="shared" si="118"/>
        <v>0</v>
      </c>
      <c r="CX89">
        <f t="shared" si="119"/>
        <v>0</v>
      </c>
      <c r="CY89">
        <f t="shared" si="120"/>
        <v>0</v>
      </c>
      <c r="CZ89">
        <f t="shared" si="121"/>
        <v>0</v>
      </c>
      <c r="DC89" t="s">
        <v>3</v>
      </c>
      <c r="DD89" t="s">
        <v>3</v>
      </c>
      <c r="DE89" t="s">
        <v>3</v>
      </c>
      <c r="DF89" t="s">
        <v>3</v>
      </c>
      <c r="DG89" t="s">
        <v>3</v>
      </c>
      <c r="DH89" t="s">
        <v>3</v>
      </c>
      <c r="DI89" t="s">
        <v>3</v>
      </c>
      <c r="DJ89" t="s">
        <v>3</v>
      </c>
      <c r="DK89" t="s">
        <v>3</v>
      </c>
      <c r="DL89" t="s">
        <v>3</v>
      </c>
      <c r="DM89" t="s">
        <v>3</v>
      </c>
      <c r="DN89">
        <v>0</v>
      </c>
      <c r="DO89">
        <v>0</v>
      </c>
      <c r="DP89">
        <v>1</v>
      </c>
      <c r="DQ89">
        <v>1</v>
      </c>
      <c r="DU89">
        <v>1005</v>
      </c>
      <c r="DV89" t="s">
        <v>46</v>
      </c>
      <c r="DW89" t="s">
        <v>46</v>
      </c>
      <c r="DX89">
        <v>1</v>
      </c>
      <c r="DZ89" t="s">
        <v>3</v>
      </c>
      <c r="EA89" t="s">
        <v>3</v>
      </c>
      <c r="EB89" t="s">
        <v>3</v>
      </c>
      <c r="EC89" t="s">
        <v>3</v>
      </c>
      <c r="EE89">
        <v>64095067</v>
      </c>
      <c r="EF89">
        <v>2</v>
      </c>
      <c r="EG89" t="s">
        <v>13</v>
      </c>
      <c r="EH89">
        <v>0</v>
      </c>
      <c r="EI89" t="s">
        <v>3</v>
      </c>
      <c r="EJ89">
        <v>1</v>
      </c>
      <c r="EK89">
        <v>27001</v>
      </c>
      <c r="EL89" t="s">
        <v>107</v>
      </c>
      <c r="EM89" t="s">
        <v>108</v>
      </c>
      <c r="EO89" t="s">
        <v>3</v>
      </c>
      <c r="EQ89">
        <v>0</v>
      </c>
      <c r="ER89">
        <v>70.099999999999994</v>
      </c>
      <c r="ES89">
        <v>70.099999999999994</v>
      </c>
      <c r="ET89">
        <v>0</v>
      </c>
      <c r="EU89">
        <v>0</v>
      </c>
      <c r="EV89">
        <v>0</v>
      </c>
      <c r="EW89">
        <v>0</v>
      </c>
      <c r="EX89">
        <v>0</v>
      </c>
      <c r="FQ89">
        <v>0</v>
      </c>
      <c r="FR89">
        <f t="shared" si="122"/>
        <v>0</v>
      </c>
      <c r="FS89">
        <v>0</v>
      </c>
      <c r="FT89" t="s">
        <v>52</v>
      </c>
      <c r="FU89" t="s">
        <v>53</v>
      </c>
      <c r="FX89">
        <v>127.8</v>
      </c>
      <c r="FY89">
        <v>80.75</v>
      </c>
      <c r="GA89" t="s">
        <v>3</v>
      </c>
      <c r="GD89">
        <v>1</v>
      </c>
      <c r="GF89">
        <v>668707339</v>
      </c>
      <c r="GG89">
        <v>2</v>
      </c>
      <c r="GH89">
        <v>1</v>
      </c>
      <c r="GI89">
        <v>2</v>
      </c>
      <c r="GJ89">
        <v>0</v>
      </c>
      <c r="GK89">
        <v>0</v>
      </c>
      <c r="GL89">
        <f t="shared" si="123"/>
        <v>0</v>
      </c>
      <c r="GM89">
        <f t="shared" si="124"/>
        <v>2202.2600000000002</v>
      </c>
      <c r="GN89">
        <f t="shared" si="125"/>
        <v>2202.2600000000002</v>
      </c>
      <c r="GO89">
        <f t="shared" si="126"/>
        <v>0</v>
      </c>
      <c r="GP89">
        <f t="shared" si="127"/>
        <v>0</v>
      </c>
      <c r="GR89">
        <v>0</v>
      </c>
      <c r="GS89">
        <v>3</v>
      </c>
      <c r="GT89">
        <v>0</v>
      </c>
      <c r="GU89" t="s">
        <v>3</v>
      </c>
      <c r="GV89">
        <f t="shared" si="128"/>
        <v>0</v>
      </c>
      <c r="GW89">
        <v>1</v>
      </c>
      <c r="GX89">
        <f t="shared" si="129"/>
        <v>0</v>
      </c>
      <c r="HA89">
        <v>0</v>
      </c>
      <c r="HB89">
        <v>0</v>
      </c>
      <c r="HC89">
        <f t="shared" si="130"/>
        <v>0</v>
      </c>
      <c r="HE89" t="s">
        <v>3</v>
      </c>
      <c r="HF89" t="s">
        <v>3</v>
      </c>
      <c r="IK89">
        <v>0</v>
      </c>
    </row>
    <row r="90" spans="1:245" x14ac:dyDescent="0.2">
      <c r="A90">
        <v>17</v>
      </c>
      <c r="B90">
        <v>1</v>
      </c>
      <c r="C90">
        <f>ROW(SmtRes!A241)</f>
        <v>241</v>
      </c>
      <c r="D90">
        <f>ROW(EtalonRes!A249)</f>
        <v>249</v>
      </c>
      <c r="E90" t="s">
        <v>293</v>
      </c>
      <c r="F90" t="s">
        <v>294</v>
      </c>
      <c r="G90" t="s">
        <v>295</v>
      </c>
      <c r="H90" t="s">
        <v>36</v>
      </c>
      <c r="I90">
        <f>ROUND(0.36/100,5)</f>
        <v>3.5999999999999999E-3</v>
      </c>
      <c r="J90">
        <v>0</v>
      </c>
      <c r="O90">
        <f t="shared" si="97"/>
        <v>99.45</v>
      </c>
      <c r="P90">
        <f t="shared" si="98"/>
        <v>0</v>
      </c>
      <c r="Q90">
        <f t="shared" si="99"/>
        <v>0.98</v>
      </c>
      <c r="R90">
        <f t="shared" si="100"/>
        <v>0.2</v>
      </c>
      <c r="S90">
        <f t="shared" si="101"/>
        <v>98.47</v>
      </c>
      <c r="T90">
        <f t="shared" si="102"/>
        <v>0</v>
      </c>
      <c r="U90">
        <f t="shared" si="103"/>
        <v>0.28660392000000001</v>
      </c>
      <c r="V90">
        <f t="shared" si="104"/>
        <v>4.86E-4</v>
      </c>
      <c r="W90">
        <f t="shared" si="105"/>
        <v>0</v>
      </c>
      <c r="X90">
        <f t="shared" si="106"/>
        <v>109.52</v>
      </c>
      <c r="Y90">
        <f t="shared" si="107"/>
        <v>63.15</v>
      </c>
      <c r="AA90">
        <v>68990560</v>
      </c>
      <c r="AB90">
        <f t="shared" si="108"/>
        <v>842.76</v>
      </c>
      <c r="AC90">
        <f>ROUND(((ES90*0)),2)</f>
        <v>0</v>
      </c>
      <c r="AD90">
        <f>ROUND((((((ET90*1.25)*1.35))-(((EU90*1.25)*1.35)))+AE90),2)</f>
        <v>29.92</v>
      </c>
      <c r="AE90">
        <f>ROUND((((EU90*1.25)*1.35)),2)</f>
        <v>1.67</v>
      </c>
      <c r="AF90">
        <f>ROUND((((EV90*1.15)*1.35)),2)</f>
        <v>812.84</v>
      </c>
      <c r="AG90">
        <f t="shared" si="109"/>
        <v>0</v>
      </c>
      <c r="AH90">
        <f>(((EW90*1.15)*1.35))</f>
        <v>79.612200000000001</v>
      </c>
      <c r="AI90">
        <f>(((EX90*1.25)*1.35))</f>
        <v>0.13500000000000001</v>
      </c>
      <c r="AJ90">
        <f t="shared" si="110"/>
        <v>0</v>
      </c>
      <c r="AK90">
        <v>14447.55</v>
      </c>
      <c r="AL90">
        <v>13906.25</v>
      </c>
      <c r="AM90">
        <v>17.73</v>
      </c>
      <c r="AN90">
        <v>0.99</v>
      </c>
      <c r="AO90">
        <v>523.57000000000005</v>
      </c>
      <c r="AP90">
        <v>0</v>
      </c>
      <c r="AQ90">
        <v>51.28</v>
      </c>
      <c r="AR90">
        <v>0.08</v>
      </c>
      <c r="AS90">
        <v>0</v>
      </c>
      <c r="AT90">
        <v>111</v>
      </c>
      <c r="AU90">
        <v>64</v>
      </c>
      <c r="AV90">
        <v>1</v>
      </c>
      <c r="AW90">
        <v>1</v>
      </c>
      <c r="AZ90">
        <v>1</v>
      </c>
      <c r="BA90">
        <v>33.65</v>
      </c>
      <c r="BB90">
        <v>9.1</v>
      </c>
      <c r="BC90">
        <v>3.26</v>
      </c>
      <c r="BD90" t="s">
        <v>3</v>
      </c>
      <c r="BE90" t="s">
        <v>3</v>
      </c>
      <c r="BF90" t="s">
        <v>3</v>
      </c>
      <c r="BG90" t="s">
        <v>3</v>
      </c>
      <c r="BH90">
        <v>0</v>
      </c>
      <c r="BI90">
        <v>1</v>
      </c>
      <c r="BJ90" t="s">
        <v>296</v>
      </c>
      <c r="BM90">
        <v>11001</v>
      </c>
      <c r="BN90">
        <v>0</v>
      </c>
      <c r="BO90" t="s">
        <v>294</v>
      </c>
      <c r="BP90">
        <v>1</v>
      </c>
      <c r="BQ90">
        <v>2</v>
      </c>
      <c r="BR90">
        <v>0</v>
      </c>
      <c r="BS90">
        <v>33.65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3</v>
      </c>
      <c r="BZ90">
        <v>123</v>
      </c>
      <c r="CA90">
        <v>75</v>
      </c>
      <c r="CE90">
        <v>0</v>
      </c>
      <c r="CF90">
        <v>0</v>
      </c>
      <c r="CG90">
        <v>0</v>
      </c>
      <c r="CM90">
        <v>0</v>
      </c>
      <c r="CN90" t="s">
        <v>1332</v>
      </c>
      <c r="CO90">
        <v>0</v>
      </c>
      <c r="CP90">
        <f t="shared" si="111"/>
        <v>99.45</v>
      </c>
      <c r="CQ90">
        <f t="shared" si="112"/>
        <v>0</v>
      </c>
      <c r="CR90">
        <f t="shared" si="113"/>
        <v>272.27199999999999</v>
      </c>
      <c r="CS90">
        <f t="shared" si="114"/>
        <v>56.195499999999996</v>
      </c>
      <c r="CT90">
        <f t="shared" si="115"/>
        <v>27352.065999999999</v>
      </c>
      <c r="CU90">
        <f t="shared" si="116"/>
        <v>0</v>
      </c>
      <c r="CV90">
        <f t="shared" si="117"/>
        <v>79.612200000000001</v>
      </c>
      <c r="CW90">
        <f t="shared" si="118"/>
        <v>0.13500000000000001</v>
      </c>
      <c r="CX90">
        <f t="shared" si="119"/>
        <v>0</v>
      </c>
      <c r="CY90">
        <f t="shared" si="120"/>
        <v>109.52370000000001</v>
      </c>
      <c r="CZ90">
        <f t="shared" si="121"/>
        <v>63.148800000000001</v>
      </c>
      <c r="DC90" t="s">
        <v>3</v>
      </c>
      <c r="DD90" t="s">
        <v>297</v>
      </c>
      <c r="DE90" t="s">
        <v>146</v>
      </c>
      <c r="DF90" t="s">
        <v>146</v>
      </c>
      <c r="DG90" t="s">
        <v>147</v>
      </c>
      <c r="DH90" t="s">
        <v>3</v>
      </c>
      <c r="DI90" t="s">
        <v>147</v>
      </c>
      <c r="DJ90" t="s">
        <v>146</v>
      </c>
      <c r="DK90" t="s">
        <v>3</v>
      </c>
      <c r="DL90" t="s">
        <v>3</v>
      </c>
      <c r="DM90" t="s">
        <v>3</v>
      </c>
      <c r="DN90">
        <v>0</v>
      </c>
      <c r="DO90">
        <v>0</v>
      </c>
      <c r="DP90">
        <v>1</v>
      </c>
      <c r="DQ90">
        <v>1</v>
      </c>
      <c r="DU90">
        <v>1005</v>
      </c>
      <c r="DV90" t="s">
        <v>36</v>
      </c>
      <c r="DW90" t="s">
        <v>36</v>
      </c>
      <c r="DX90">
        <v>100</v>
      </c>
      <c r="DZ90" t="s">
        <v>3</v>
      </c>
      <c r="EA90" t="s">
        <v>3</v>
      </c>
      <c r="EB90" t="s">
        <v>3</v>
      </c>
      <c r="EC90" t="s">
        <v>3</v>
      </c>
      <c r="EE90">
        <v>64095027</v>
      </c>
      <c r="EF90">
        <v>2</v>
      </c>
      <c r="EG90" t="s">
        <v>13</v>
      </c>
      <c r="EH90">
        <v>0</v>
      </c>
      <c r="EI90" t="s">
        <v>3</v>
      </c>
      <c r="EJ90">
        <v>1</v>
      </c>
      <c r="EK90">
        <v>11001</v>
      </c>
      <c r="EL90" t="s">
        <v>92</v>
      </c>
      <c r="EM90" t="s">
        <v>222</v>
      </c>
      <c r="EO90" t="s">
        <v>150</v>
      </c>
      <c r="EQ90">
        <v>0</v>
      </c>
      <c r="ER90">
        <v>14447.55</v>
      </c>
      <c r="ES90">
        <v>13906.25</v>
      </c>
      <c r="ET90">
        <v>17.73</v>
      </c>
      <c r="EU90">
        <v>0.99</v>
      </c>
      <c r="EV90">
        <v>523.57000000000005</v>
      </c>
      <c r="EW90">
        <v>51.28</v>
      </c>
      <c r="EX90">
        <v>0.08</v>
      </c>
      <c r="EY90">
        <v>0</v>
      </c>
      <c r="FQ90">
        <v>0</v>
      </c>
      <c r="FR90">
        <f t="shared" si="122"/>
        <v>0</v>
      </c>
      <c r="FS90">
        <v>0</v>
      </c>
      <c r="FT90" t="s">
        <v>52</v>
      </c>
      <c r="FU90" t="s">
        <v>53</v>
      </c>
      <c r="FX90">
        <v>110.7</v>
      </c>
      <c r="FY90">
        <v>63.75</v>
      </c>
      <c r="GA90" t="s">
        <v>3</v>
      </c>
      <c r="GD90">
        <v>1</v>
      </c>
      <c r="GF90">
        <v>-1957006563</v>
      </c>
      <c r="GG90">
        <v>2</v>
      </c>
      <c r="GH90">
        <v>1</v>
      </c>
      <c r="GI90">
        <v>2</v>
      </c>
      <c r="GJ90">
        <v>0</v>
      </c>
      <c r="GK90">
        <v>0</v>
      </c>
      <c r="GL90">
        <f t="shared" si="123"/>
        <v>0</v>
      </c>
      <c r="GM90">
        <f t="shared" si="124"/>
        <v>272.12</v>
      </c>
      <c r="GN90">
        <f t="shared" si="125"/>
        <v>272.12</v>
      </c>
      <c r="GO90">
        <f t="shared" si="126"/>
        <v>0</v>
      </c>
      <c r="GP90">
        <f t="shared" si="127"/>
        <v>0</v>
      </c>
      <c r="GR90">
        <v>0</v>
      </c>
      <c r="GS90">
        <v>3</v>
      </c>
      <c r="GT90">
        <v>0</v>
      </c>
      <c r="GU90" t="s">
        <v>3</v>
      </c>
      <c r="GV90">
        <f t="shared" si="128"/>
        <v>0</v>
      </c>
      <c r="GW90">
        <v>1</v>
      </c>
      <c r="GX90">
        <f t="shared" si="129"/>
        <v>0</v>
      </c>
      <c r="HA90">
        <v>0</v>
      </c>
      <c r="HB90">
        <v>0</v>
      </c>
      <c r="HC90">
        <f t="shared" si="130"/>
        <v>0</v>
      </c>
      <c r="HE90" t="s">
        <v>3</v>
      </c>
      <c r="HF90" t="s">
        <v>3</v>
      </c>
      <c r="IK90">
        <v>0</v>
      </c>
    </row>
    <row r="91" spans="1:245" x14ac:dyDescent="0.2">
      <c r="A91">
        <v>18</v>
      </c>
      <c r="B91">
        <v>1</v>
      </c>
      <c r="C91">
        <v>241</v>
      </c>
      <c r="E91" t="s">
        <v>298</v>
      </c>
      <c r="F91" t="s">
        <v>299</v>
      </c>
      <c r="G91" t="s">
        <v>300</v>
      </c>
      <c r="H91" t="s">
        <v>46</v>
      </c>
      <c r="I91">
        <f>I90*J91</f>
        <v>0.36</v>
      </c>
      <c r="J91">
        <v>100</v>
      </c>
      <c r="O91">
        <f t="shared" si="97"/>
        <v>655.9</v>
      </c>
      <c r="P91">
        <f t="shared" si="98"/>
        <v>655.9</v>
      </c>
      <c r="Q91">
        <f t="shared" si="99"/>
        <v>0</v>
      </c>
      <c r="R91">
        <f t="shared" si="100"/>
        <v>0</v>
      </c>
      <c r="S91">
        <f t="shared" si="101"/>
        <v>0</v>
      </c>
      <c r="T91">
        <f t="shared" si="102"/>
        <v>0</v>
      </c>
      <c r="U91">
        <f t="shared" si="103"/>
        <v>0</v>
      </c>
      <c r="V91">
        <f t="shared" si="104"/>
        <v>0</v>
      </c>
      <c r="W91">
        <f t="shared" si="105"/>
        <v>0</v>
      </c>
      <c r="X91">
        <f t="shared" si="106"/>
        <v>0</v>
      </c>
      <c r="Y91">
        <f t="shared" si="107"/>
        <v>0</v>
      </c>
      <c r="AA91">
        <v>68990560</v>
      </c>
      <c r="AB91">
        <f t="shared" si="108"/>
        <v>218.46</v>
      </c>
      <c r="AC91">
        <f t="shared" ref="AC91:AC122" si="131">ROUND((ES91),2)</f>
        <v>218.46</v>
      </c>
      <c r="AD91">
        <f>ROUND((((ET91)-(EU91))+AE91),2)</f>
        <v>0</v>
      </c>
      <c r="AE91">
        <f>ROUND((EU91),2)</f>
        <v>0</v>
      </c>
      <c r="AF91">
        <f>ROUND((EV91),2)</f>
        <v>0</v>
      </c>
      <c r="AG91">
        <f t="shared" si="109"/>
        <v>0</v>
      </c>
      <c r="AH91">
        <f>(EW91)</f>
        <v>0</v>
      </c>
      <c r="AI91">
        <f>(EX91)</f>
        <v>0</v>
      </c>
      <c r="AJ91">
        <f t="shared" si="110"/>
        <v>0</v>
      </c>
      <c r="AK91">
        <v>218.46</v>
      </c>
      <c r="AL91">
        <v>218.46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111</v>
      </c>
      <c r="AU91">
        <v>64</v>
      </c>
      <c r="AV91">
        <v>1</v>
      </c>
      <c r="AW91">
        <v>1</v>
      </c>
      <c r="AZ91">
        <v>1</v>
      </c>
      <c r="BA91">
        <v>1</v>
      </c>
      <c r="BB91">
        <v>1</v>
      </c>
      <c r="BC91">
        <v>8.34</v>
      </c>
      <c r="BD91" t="s">
        <v>3</v>
      </c>
      <c r="BE91" t="s">
        <v>3</v>
      </c>
      <c r="BF91" t="s">
        <v>3</v>
      </c>
      <c r="BG91" t="s">
        <v>3</v>
      </c>
      <c r="BH91">
        <v>3</v>
      </c>
      <c r="BI91">
        <v>1</v>
      </c>
      <c r="BJ91" t="s">
        <v>301</v>
      </c>
      <c r="BM91">
        <v>11001</v>
      </c>
      <c r="BN91">
        <v>0</v>
      </c>
      <c r="BO91" t="s">
        <v>299</v>
      </c>
      <c r="BP91">
        <v>1</v>
      </c>
      <c r="BQ91">
        <v>2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3</v>
      </c>
      <c r="BZ91">
        <v>123</v>
      </c>
      <c r="CA91">
        <v>75</v>
      </c>
      <c r="CE91">
        <v>0</v>
      </c>
      <c r="CF91">
        <v>0</v>
      </c>
      <c r="CG91">
        <v>0</v>
      </c>
      <c r="CM91">
        <v>0</v>
      </c>
      <c r="CN91" t="s">
        <v>1332</v>
      </c>
      <c r="CO91">
        <v>0</v>
      </c>
      <c r="CP91">
        <f t="shared" si="111"/>
        <v>655.9</v>
      </c>
      <c r="CQ91">
        <f t="shared" si="112"/>
        <v>1821.9564</v>
      </c>
      <c r="CR91">
        <f t="shared" si="113"/>
        <v>0</v>
      </c>
      <c r="CS91">
        <f t="shared" si="114"/>
        <v>0</v>
      </c>
      <c r="CT91">
        <f t="shared" si="115"/>
        <v>0</v>
      </c>
      <c r="CU91">
        <f t="shared" si="116"/>
        <v>0</v>
      </c>
      <c r="CV91">
        <f t="shared" si="117"/>
        <v>0</v>
      </c>
      <c r="CW91">
        <f t="shared" si="118"/>
        <v>0</v>
      </c>
      <c r="CX91">
        <f t="shared" si="119"/>
        <v>0</v>
      </c>
      <c r="CY91">
        <f t="shared" si="120"/>
        <v>0</v>
      </c>
      <c r="CZ91">
        <f t="shared" si="121"/>
        <v>0</v>
      </c>
      <c r="DC91" t="s">
        <v>3</v>
      </c>
      <c r="DD91" t="s">
        <v>3</v>
      </c>
      <c r="DE91" t="s">
        <v>3</v>
      </c>
      <c r="DF91" t="s">
        <v>3</v>
      </c>
      <c r="DG91" t="s">
        <v>3</v>
      </c>
      <c r="DH91" t="s">
        <v>3</v>
      </c>
      <c r="DI91" t="s">
        <v>3</v>
      </c>
      <c r="DJ91" t="s">
        <v>3</v>
      </c>
      <c r="DK91" t="s">
        <v>3</v>
      </c>
      <c r="DL91" t="s">
        <v>3</v>
      </c>
      <c r="DM91" t="s">
        <v>3</v>
      </c>
      <c r="DN91">
        <v>0</v>
      </c>
      <c r="DO91">
        <v>0</v>
      </c>
      <c r="DP91">
        <v>1</v>
      </c>
      <c r="DQ91">
        <v>1</v>
      </c>
      <c r="DU91">
        <v>1005</v>
      </c>
      <c r="DV91" t="s">
        <v>46</v>
      </c>
      <c r="DW91" t="s">
        <v>46</v>
      </c>
      <c r="DX91">
        <v>1</v>
      </c>
      <c r="DZ91" t="s">
        <v>3</v>
      </c>
      <c r="EA91" t="s">
        <v>3</v>
      </c>
      <c r="EB91" t="s">
        <v>3</v>
      </c>
      <c r="EC91" t="s">
        <v>3</v>
      </c>
      <c r="EE91">
        <v>64095027</v>
      </c>
      <c r="EF91">
        <v>2</v>
      </c>
      <c r="EG91" t="s">
        <v>13</v>
      </c>
      <c r="EH91">
        <v>0</v>
      </c>
      <c r="EI91" t="s">
        <v>3</v>
      </c>
      <c r="EJ91">
        <v>1</v>
      </c>
      <c r="EK91">
        <v>11001</v>
      </c>
      <c r="EL91" t="s">
        <v>92</v>
      </c>
      <c r="EM91" t="s">
        <v>222</v>
      </c>
      <c r="EO91" t="s">
        <v>150</v>
      </c>
      <c r="EQ91">
        <v>0</v>
      </c>
      <c r="ER91">
        <v>218.46</v>
      </c>
      <c r="ES91">
        <v>218.46</v>
      </c>
      <c r="ET91">
        <v>0</v>
      </c>
      <c r="EU91">
        <v>0</v>
      </c>
      <c r="EV91">
        <v>0</v>
      </c>
      <c r="EW91">
        <v>0</v>
      </c>
      <c r="EX91">
        <v>0</v>
      </c>
      <c r="FQ91">
        <v>0</v>
      </c>
      <c r="FR91">
        <f t="shared" si="122"/>
        <v>0</v>
      </c>
      <c r="FS91">
        <v>0</v>
      </c>
      <c r="FT91" t="s">
        <v>52</v>
      </c>
      <c r="FU91" t="s">
        <v>53</v>
      </c>
      <c r="FX91">
        <v>110.7</v>
      </c>
      <c r="FY91">
        <v>63.75</v>
      </c>
      <c r="GA91" t="s">
        <v>3</v>
      </c>
      <c r="GD91">
        <v>1</v>
      </c>
      <c r="GF91">
        <v>1523228957</v>
      </c>
      <c r="GG91">
        <v>2</v>
      </c>
      <c r="GH91">
        <v>1</v>
      </c>
      <c r="GI91">
        <v>2</v>
      </c>
      <c r="GJ91">
        <v>0</v>
      </c>
      <c r="GK91">
        <v>0</v>
      </c>
      <c r="GL91">
        <f t="shared" si="123"/>
        <v>0</v>
      </c>
      <c r="GM91">
        <f t="shared" si="124"/>
        <v>655.9</v>
      </c>
      <c r="GN91">
        <f t="shared" si="125"/>
        <v>655.9</v>
      </c>
      <c r="GO91">
        <f t="shared" si="126"/>
        <v>0</v>
      </c>
      <c r="GP91">
        <f t="shared" si="127"/>
        <v>0</v>
      </c>
      <c r="GR91">
        <v>0</v>
      </c>
      <c r="GS91">
        <v>3</v>
      </c>
      <c r="GT91">
        <v>0</v>
      </c>
      <c r="GU91" t="s">
        <v>3</v>
      </c>
      <c r="GV91">
        <f t="shared" si="128"/>
        <v>0</v>
      </c>
      <c r="GW91">
        <v>1</v>
      </c>
      <c r="GX91">
        <f t="shared" si="129"/>
        <v>0</v>
      </c>
      <c r="HA91">
        <v>0</v>
      </c>
      <c r="HB91">
        <v>0</v>
      </c>
      <c r="HC91">
        <f t="shared" si="130"/>
        <v>0</v>
      </c>
      <c r="HE91" t="s">
        <v>3</v>
      </c>
      <c r="HF91" t="s">
        <v>3</v>
      </c>
      <c r="IK91">
        <v>0</v>
      </c>
    </row>
    <row r="92" spans="1:245" x14ac:dyDescent="0.2">
      <c r="A92">
        <v>17</v>
      </c>
      <c r="B92">
        <v>1</v>
      </c>
      <c r="C92">
        <f>ROW(SmtRes!A249)</f>
        <v>249</v>
      </c>
      <c r="D92">
        <f>ROW(EtalonRes!A257)</f>
        <v>257</v>
      </c>
      <c r="E92" t="s">
        <v>302</v>
      </c>
      <c r="F92" t="s">
        <v>303</v>
      </c>
      <c r="G92" t="s">
        <v>304</v>
      </c>
      <c r="H92" t="s">
        <v>138</v>
      </c>
      <c r="I92">
        <f>ROUND(0.185/100,5)</f>
        <v>1.8500000000000001E-3</v>
      </c>
      <c r="J92">
        <v>0</v>
      </c>
      <c r="O92">
        <f t="shared" si="97"/>
        <v>62.38</v>
      </c>
      <c r="P92">
        <f t="shared" si="98"/>
        <v>0.28999999999999998</v>
      </c>
      <c r="Q92">
        <f t="shared" si="99"/>
        <v>50.93</v>
      </c>
      <c r="R92">
        <f t="shared" si="100"/>
        <v>17.989999999999998</v>
      </c>
      <c r="S92">
        <f t="shared" si="101"/>
        <v>11.16</v>
      </c>
      <c r="T92">
        <f t="shared" si="102"/>
        <v>0</v>
      </c>
      <c r="U92">
        <f t="shared" si="103"/>
        <v>4.1358599999999995E-2</v>
      </c>
      <c r="V92">
        <f t="shared" si="104"/>
        <v>4.3331625000000006E-2</v>
      </c>
      <c r="W92">
        <f t="shared" si="105"/>
        <v>0</v>
      </c>
      <c r="X92">
        <f t="shared" si="106"/>
        <v>37.31</v>
      </c>
      <c r="Y92">
        <f t="shared" si="107"/>
        <v>23.61</v>
      </c>
      <c r="AA92">
        <v>68990560</v>
      </c>
      <c r="AB92">
        <f t="shared" si="108"/>
        <v>5697.45</v>
      </c>
      <c r="AC92">
        <f t="shared" si="131"/>
        <v>12.2</v>
      </c>
      <c r="AD92">
        <f>ROUND((((((ET92*1.25)*1.35))-(((EU92*1.25)*1.35)))+AE92),2)</f>
        <v>5505.95</v>
      </c>
      <c r="AE92">
        <f>ROUND((((EU92*1.25)*1.35)),2)</f>
        <v>288.93</v>
      </c>
      <c r="AF92">
        <f>ROUND((((EV92*1.15)*1.35)),2)</f>
        <v>179.3</v>
      </c>
      <c r="AG92">
        <f t="shared" si="109"/>
        <v>0</v>
      </c>
      <c r="AH92">
        <f>(((EW92*1.15)*1.35))</f>
        <v>22.355999999999998</v>
      </c>
      <c r="AI92">
        <f>(((EX92*1.25)*1.35))</f>
        <v>23.422500000000003</v>
      </c>
      <c r="AJ92">
        <f t="shared" si="110"/>
        <v>0</v>
      </c>
      <c r="AK92">
        <v>3390.48</v>
      </c>
      <c r="AL92">
        <v>12.2</v>
      </c>
      <c r="AM92">
        <v>3262.79</v>
      </c>
      <c r="AN92">
        <v>171.22</v>
      </c>
      <c r="AO92">
        <v>115.49</v>
      </c>
      <c r="AP92">
        <v>0</v>
      </c>
      <c r="AQ92">
        <v>14.4</v>
      </c>
      <c r="AR92">
        <v>13.88</v>
      </c>
      <c r="AS92">
        <v>0</v>
      </c>
      <c r="AT92">
        <v>128</v>
      </c>
      <c r="AU92">
        <v>81</v>
      </c>
      <c r="AV92">
        <v>1</v>
      </c>
      <c r="AW92">
        <v>1</v>
      </c>
      <c r="AZ92">
        <v>1</v>
      </c>
      <c r="BA92">
        <v>33.65</v>
      </c>
      <c r="BB92">
        <v>5</v>
      </c>
      <c r="BC92">
        <v>12.78</v>
      </c>
      <c r="BD92" t="s">
        <v>3</v>
      </c>
      <c r="BE92" t="s">
        <v>3</v>
      </c>
      <c r="BF92" t="s">
        <v>3</v>
      </c>
      <c r="BG92" t="s">
        <v>3</v>
      </c>
      <c r="BH92">
        <v>0</v>
      </c>
      <c r="BI92">
        <v>1</v>
      </c>
      <c r="BJ92" t="s">
        <v>305</v>
      </c>
      <c r="BM92">
        <v>27001</v>
      </c>
      <c r="BN92">
        <v>0</v>
      </c>
      <c r="BO92" t="s">
        <v>303</v>
      </c>
      <c r="BP92">
        <v>1</v>
      </c>
      <c r="BQ92">
        <v>2</v>
      </c>
      <c r="BR92">
        <v>0</v>
      </c>
      <c r="BS92">
        <v>33.65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3</v>
      </c>
      <c r="BZ92">
        <v>142</v>
      </c>
      <c r="CA92">
        <v>95</v>
      </c>
      <c r="CE92">
        <v>0</v>
      </c>
      <c r="CF92">
        <v>0</v>
      </c>
      <c r="CG92">
        <v>0</v>
      </c>
      <c r="CM92">
        <v>0</v>
      </c>
      <c r="CN92" t="s">
        <v>1332</v>
      </c>
      <c r="CO92">
        <v>0</v>
      </c>
      <c r="CP92">
        <f t="shared" si="111"/>
        <v>62.379999999999995</v>
      </c>
      <c r="CQ92">
        <f t="shared" si="112"/>
        <v>155.916</v>
      </c>
      <c r="CR92">
        <f t="shared" si="113"/>
        <v>27529.75</v>
      </c>
      <c r="CS92">
        <f t="shared" si="114"/>
        <v>9722.4945000000007</v>
      </c>
      <c r="CT92">
        <f t="shared" si="115"/>
        <v>6033.4449999999997</v>
      </c>
      <c r="CU92">
        <f t="shared" si="116"/>
        <v>0</v>
      </c>
      <c r="CV92">
        <f t="shared" si="117"/>
        <v>22.355999999999998</v>
      </c>
      <c r="CW92">
        <f t="shared" si="118"/>
        <v>23.422500000000003</v>
      </c>
      <c r="CX92">
        <f t="shared" si="119"/>
        <v>0</v>
      </c>
      <c r="CY92">
        <f t="shared" si="120"/>
        <v>37.311999999999998</v>
      </c>
      <c r="CZ92">
        <f t="shared" si="121"/>
        <v>23.611499999999999</v>
      </c>
      <c r="DC92" t="s">
        <v>3</v>
      </c>
      <c r="DD92" t="s">
        <v>3</v>
      </c>
      <c r="DE92" t="s">
        <v>146</v>
      </c>
      <c r="DF92" t="s">
        <v>146</v>
      </c>
      <c r="DG92" t="s">
        <v>147</v>
      </c>
      <c r="DH92" t="s">
        <v>3</v>
      </c>
      <c r="DI92" t="s">
        <v>147</v>
      </c>
      <c r="DJ92" t="s">
        <v>146</v>
      </c>
      <c r="DK92" t="s">
        <v>3</v>
      </c>
      <c r="DL92" t="s">
        <v>3</v>
      </c>
      <c r="DM92" t="s">
        <v>3</v>
      </c>
      <c r="DN92">
        <v>0</v>
      </c>
      <c r="DO92">
        <v>0</v>
      </c>
      <c r="DP92">
        <v>1</v>
      </c>
      <c r="DQ92">
        <v>1</v>
      </c>
      <c r="DU92">
        <v>1007</v>
      </c>
      <c r="DV92" t="s">
        <v>138</v>
      </c>
      <c r="DW92" t="s">
        <v>138</v>
      </c>
      <c r="DX92">
        <v>100</v>
      </c>
      <c r="DZ92" t="s">
        <v>3</v>
      </c>
      <c r="EA92" t="s">
        <v>3</v>
      </c>
      <c r="EB92" t="s">
        <v>3</v>
      </c>
      <c r="EC92" t="s">
        <v>3</v>
      </c>
      <c r="EE92">
        <v>64095067</v>
      </c>
      <c r="EF92">
        <v>2</v>
      </c>
      <c r="EG92" t="s">
        <v>13</v>
      </c>
      <c r="EH92">
        <v>0</v>
      </c>
      <c r="EI92" t="s">
        <v>3</v>
      </c>
      <c r="EJ92">
        <v>1</v>
      </c>
      <c r="EK92">
        <v>27001</v>
      </c>
      <c r="EL92" t="s">
        <v>107</v>
      </c>
      <c r="EM92" t="s">
        <v>108</v>
      </c>
      <c r="EO92" t="s">
        <v>150</v>
      </c>
      <c r="EQ92">
        <v>0</v>
      </c>
      <c r="ER92">
        <v>3390.48</v>
      </c>
      <c r="ES92">
        <v>12.2</v>
      </c>
      <c r="ET92">
        <v>3262.79</v>
      </c>
      <c r="EU92">
        <v>171.22</v>
      </c>
      <c r="EV92">
        <v>115.49</v>
      </c>
      <c r="EW92">
        <v>14.4</v>
      </c>
      <c r="EX92">
        <v>13.88</v>
      </c>
      <c r="EY92">
        <v>0</v>
      </c>
      <c r="FQ92">
        <v>0</v>
      </c>
      <c r="FR92">
        <f t="shared" si="122"/>
        <v>0</v>
      </c>
      <c r="FS92">
        <v>0</v>
      </c>
      <c r="FT92" t="s">
        <v>52</v>
      </c>
      <c r="FU92" t="s">
        <v>53</v>
      </c>
      <c r="FX92">
        <v>127.8</v>
      </c>
      <c r="FY92">
        <v>80.75</v>
      </c>
      <c r="GA92" t="s">
        <v>3</v>
      </c>
      <c r="GD92">
        <v>1</v>
      </c>
      <c r="GF92">
        <v>552323727</v>
      </c>
      <c r="GG92">
        <v>2</v>
      </c>
      <c r="GH92">
        <v>1</v>
      </c>
      <c r="GI92">
        <v>2</v>
      </c>
      <c r="GJ92">
        <v>0</v>
      </c>
      <c r="GK92">
        <v>0</v>
      </c>
      <c r="GL92">
        <f t="shared" si="123"/>
        <v>0</v>
      </c>
      <c r="GM92">
        <f t="shared" si="124"/>
        <v>123.3</v>
      </c>
      <c r="GN92">
        <f t="shared" si="125"/>
        <v>123.3</v>
      </c>
      <c r="GO92">
        <f t="shared" si="126"/>
        <v>0</v>
      </c>
      <c r="GP92">
        <f t="shared" si="127"/>
        <v>0</v>
      </c>
      <c r="GR92">
        <v>0</v>
      </c>
      <c r="GS92">
        <v>3</v>
      </c>
      <c r="GT92">
        <v>0</v>
      </c>
      <c r="GU92" t="s">
        <v>3</v>
      </c>
      <c r="GV92">
        <f t="shared" si="128"/>
        <v>0</v>
      </c>
      <c r="GW92">
        <v>1</v>
      </c>
      <c r="GX92">
        <f t="shared" si="129"/>
        <v>0</v>
      </c>
      <c r="HA92">
        <v>0</v>
      </c>
      <c r="HB92">
        <v>0</v>
      </c>
      <c r="HC92">
        <f t="shared" si="130"/>
        <v>0</v>
      </c>
      <c r="HE92" t="s">
        <v>3</v>
      </c>
      <c r="HF92" t="s">
        <v>3</v>
      </c>
      <c r="IK92">
        <v>0</v>
      </c>
    </row>
    <row r="93" spans="1:245" x14ac:dyDescent="0.2">
      <c r="A93">
        <v>18</v>
      </c>
      <c r="B93">
        <v>1</v>
      </c>
      <c r="C93">
        <v>249</v>
      </c>
      <c r="E93" t="s">
        <v>306</v>
      </c>
      <c r="F93" t="s">
        <v>307</v>
      </c>
      <c r="G93" t="s">
        <v>308</v>
      </c>
      <c r="H93" t="s">
        <v>113</v>
      </c>
      <c r="I93">
        <f>I92*J93</f>
        <v>0.20349999999999999</v>
      </c>
      <c r="J93">
        <v>109.99999999999999</v>
      </c>
      <c r="O93">
        <f t="shared" si="97"/>
        <v>185.48</v>
      </c>
      <c r="P93">
        <f t="shared" si="98"/>
        <v>185.48</v>
      </c>
      <c r="Q93">
        <f t="shared" si="99"/>
        <v>0</v>
      </c>
      <c r="R93">
        <f t="shared" si="100"/>
        <v>0</v>
      </c>
      <c r="S93">
        <f t="shared" si="101"/>
        <v>0</v>
      </c>
      <c r="T93">
        <f t="shared" si="102"/>
        <v>0</v>
      </c>
      <c r="U93">
        <f t="shared" si="103"/>
        <v>0</v>
      </c>
      <c r="V93">
        <f t="shared" si="104"/>
        <v>0</v>
      </c>
      <c r="W93">
        <f t="shared" si="105"/>
        <v>0</v>
      </c>
      <c r="X93">
        <f t="shared" si="106"/>
        <v>0</v>
      </c>
      <c r="Y93">
        <f t="shared" si="107"/>
        <v>0</v>
      </c>
      <c r="AA93">
        <v>68990560</v>
      </c>
      <c r="AB93">
        <f t="shared" si="108"/>
        <v>70.599999999999994</v>
      </c>
      <c r="AC93">
        <f t="shared" si="131"/>
        <v>70.599999999999994</v>
      </c>
      <c r="AD93">
        <f>ROUND((((ET93)-(EU93))+AE93),2)</f>
        <v>0</v>
      </c>
      <c r="AE93">
        <f>ROUND((EU93),2)</f>
        <v>0</v>
      </c>
      <c r="AF93">
        <f>ROUND((EV93),2)</f>
        <v>0</v>
      </c>
      <c r="AG93">
        <f t="shared" si="109"/>
        <v>0</v>
      </c>
      <c r="AH93">
        <f>(EW93)</f>
        <v>0</v>
      </c>
      <c r="AI93">
        <f>(EX93)</f>
        <v>0</v>
      </c>
      <c r="AJ93">
        <f t="shared" si="110"/>
        <v>0</v>
      </c>
      <c r="AK93">
        <v>70.599999999999994</v>
      </c>
      <c r="AL93">
        <v>70.599999999999994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128</v>
      </c>
      <c r="AU93">
        <v>81</v>
      </c>
      <c r="AV93">
        <v>1</v>
      </c>
      <c r="AW93">
        <v>1</v>
      </c>
      <c r="AZ93">
        <v>1</v>
      </c>
      <c r="BA93">
        <v>1</v>
      </c>
      <c r="BB93">
        <v>1</v>
      </c>
      <c r="BC93">
        <v>12.91</v>
      </c>
      <c r="BD93" t="s">
        <v>3</v>
      </c>
      <c r="BE93" t="s">
        <v>3</v>
      </c>
      <c r="BF93" t="s">
        <v>3</v>
      </c>
      <c r="BG93" t="s">
        <v>3</v>
      </c>
      <c r="BH93">
        <v>3</v>
      </c>
      <c r="BI93">
        <v>1</v>
      </c>
      <c r="BJ93" t="s">
        <v>309</v>
      </c>
      <c r="BM93">
        <v>27001</v>
      </c>
      <c r="BN93">
        <v>0</v>
      </c>
      <c r="BO93" t="s">
        <v>307</v>
      </c>
      <c r="BP93">
        <v>1</v>
      </c>
      <c r="BQ93">
        <v>2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3</v>
      </c>
      <c r="BZ93">
        <v>142</v>
      </c>
      <c r="CA93">
        <v>95</v>
      </c>
      <c r="CE93">
        <v>0</v>
      </c>
      <c r="CF93">
        <v>0</v>
      </c>
      <c r="CG93">
        <v>0</v>
      </c>
      <c r="CM93">
        <v>0</v>
      </c>
      <c r="CN93" t="s">
        <v>3</v>
      </c>
      <c r="CO93">
        <v>0</v>
      </c>
      <c r="CP93">
        <f t="shared" si="111"/>
        <v>185.48</v>
      </c>
      <c r="CQ93">
        <f t="shared" si="112"/>
        <v>911.44599999999991</v>
      </c>
      <c r="CR93">
        <f t="shared" si="113"/>
        <v>0</v>
      </c>
      <c r="CS93">
        <f t="shared" si="114"/>
        <v>0</v>
      </c>
      <c r="CT93">
        <f t="shared" si="115"/>
        <v>0</v>
      </c>
      <c r="CU93">
        <f t="shared" si="116"/>
        <v>0</v>
      </c>
      <c r="CV93">
        <f t="shared" si="117"/>
        <v>0</v>
      </c>
      <c r="CW93">
        <f t="shared" si="118"/>
        <v>0</v>
      </c>
      <c r="CX93">
        <f t="shared" si="119"/>
        <v>0</v>
      </c>
      <c r="CY93">
        <f t="shared" si="120"/>
        <v>0</v>
      </c>
      <c r="CZ93">
        <f t="shared" si="121"/>
        <v>0</v>
      </c>
      <c r="DC93" t="s">
        <v>3</v>
      </c>
      <c r="DD93" t="s">
        <v>3</v>
      </c>
      <c r="DE93" t="s">
        <v>3</v>
      </c>
      <c r="DF93" t="s">
        <v>3</v>
      </c>
      <c r="DG93" t="s">
        <v>3</v>
      </c>
      <c r="DH93" t="s">
        <v>3</v>
      </c>
      <c r="DI93" t="s">
        <v>3</v>
      </c>
      <c r="DJ93" t="s">
        <v>3</v>
      </c>
      <c r="DK93" t="s">
        <v>3</v>
      </c>
      <c r="DL93" t="s">
        <v>3</v>
      </c>
      <c r="DM93" t="s">
        <v>3</v>
      </c>
      <c r="DN93">
        <v>0</v>
      </c>
      <c r="DO93">
        <v>0</v>
      </c>
      <c r="DP93">
        <v>1</v>
      </c>
      <c r="DQ93">
        <v>1</v>
      </c>
      <c r="DU93">
        <v>1007</v>
      </c>
      <c r="DV93" t="s">
        <v>113</v>
      </c>
      <c r="DW93" t="s">
        <v>113</v>
      </c>
      <c r="DX93">
        <v>1</v>
      </c>
      <c r="DZ93" t="s">
        <v>3</v>
      </c>
      <c r="EA93" t="s">
        <v>3</v>
      </c>
      <c r="EB93" t="s">
        <v>3</v>
      </c>
      <c r="EC93" t="s">
        <v>3</v>
      </c>
      <c r="EE93">
        <v>64095067</v>
      </c>
      <c r="EF93">
        <v>2</v>
      </c>
      <c r="EG93" t="s">
        <v>13</v>
      </c>
      <c r="EH93">
        <v>0</v>
      </c>
      <c r="EI93" t="s">
        <v>3</v>
      </c>
      <c r="EJ93">
        <v>1</v>
      </c>
      <c r="EK93">
        <v>27001</v>
      </c>
      <c r="EL93" t="s">
        <v>107</v>
      </c>
      <c r="EM93" t="s">
        <v>108</v>
      </c>
      <c r="EO93" t="s">
        <v>3</v>
      </c>
      <c r="EQ93">
        <v>0</v>
      </c>
      <c r="ER93">
        <v>70.599999999999994</v>
      </c>
      <c r="ES93">
        <v>70.599999999999994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122"/>
        <v>0</v>
      </c>
      <c r="FS93">
        <v>0</v>
      </c>
      <c r="FT93" t="s">
        <v>52</v>
      </c>
      <c r="FU93" t="s">
        <v>53</v>
      </c>
      <c r="FX93">
        <v>127.8</v>
      </c>
      <c r="FY93">
        <v>80.75</v>
      </c>
      <c r="GA93" t="s">
        <v>3</v>
      </c>
      <c r="GD93">
        <v>1</v>
      </c>
      <c r="GF93">
        <v>-1703056074</v>
      </c>
      <c r="GG93">
        <v>2</v>
      </c>
      <c r="GH93">
        <v>1</v>
      </c>
      <c r="GI93">
        <v>2</v>
      </c>
      <c r="GJ93">
        <v>0</v>
      </c>
      <c r="GK93">
        <v>0</v>
      </c>
      <c r="GL93">
        <f t="shared" si="123"/>
        <v>0</v>
      </c>
      <c r="GM93">
        <f t="shared" si="124"/>
        <v>185.48</v>
      </c>
      <c r="GN93">
        <f t="shared" si="125"/>
        <v>185.48</v>
      </c>
      <c r="GO93">
        <f t="shared" si="126"/>
        <v>0</v>
      </c>
      <c r="GP93">
        <f t="shared" si="127"/>
        <v>0</v>
      </c>
      <c r="GR93">
        <v>0</v>
      </c>
      <c r="GS93">
        <v>3</v>
      </c>
      <c r="GT93">
        <v>0</v>
      </c>
      <c r="GU93" t="s">
        <v>3</v>
      </c>
      <c r="GV93">
        <f t="shared" si="128"/>
        <v>0</v>
      </c>
      <c r="GW93">
        <v>1</v>
      </c>
      <c r="GX93">
        <f t="shared" si="129"/>
        <v>0</v>
      </c>
      <c r="HA93">
        <v>0</v>
      </c>
      <c r="HB93">
        <v>0</v>
      </c>
      <c r="HC93">
        <f t="shared" si="130"/>
        <v>0</v>
      </c>
      <c r="HE93" t="s">
        <v>3</v>
      </c>
      <c r="HF93" t="s">
        <v>3</v>
      </c>
      <c r="IK93">
        <v>0</v>
      </c>
    </row>
    <row r="94" spans="1:245" x14ac:dyDescent="0.2">
      <c r="A94">
        <v>17</v>
      </c>
      <c r="B94">
        <v>1</v>
      </c>
      <c r="C94">
        <f>ROW(SmtRes!A255)</f>
        <v>255</v>
      </c>
      <c r="D94">
        <f>ROW(EtalonRes!A263)</f>
        <v>263</v>
      </c>
      <c r="E94" t="s">
        <v>310</v>
      </c>
      <c r="F94" t="s">
        <v>311</v>
      </c>
      <c r="G94" t="s">
        <v>312</v>
      </c>
      <c r="H94" t="s">
        <v>36</v>
      </c>
      <c r="I94">
        <f>ROUND(6.8/100,5)</f>
        <v>6.8000000000000005E-2</v>
      </c>
      <c r="J94">
        <v>0</v>
      </c>
      <c r="O94">
        <f t="shared" si="97"/>
        <v>1081.71</v>
      </c>
      <c r="P94">
        <f t="shared" si="98"/>
        <v>7.42</v>
      </c>
      <c r="Q94">
        <f t="shared" si="99"/>
        <v>70.16</v>
      </c>
      <c r="R94">
        <f t="shared" si="100"/>
        <v>66.22</v>
      </c>
      <c r="S94">
        <f t="shared" si="101"/>
        <v>1004.13</v>
      </c>
      <c r="T94">
        <f t="shared" si="102"/>
        <v>0</v>
      </c>
      <c r="U94">
        <f t="shared" si="103"/>
        <v>3.758292</v>
      </c>
      <c r="V94">
        <f t="shared" si="104"/>
        <v>0.14573250000000001</v>
      </c>
      <c r="W94">
        <f t="shared" si="105"/>
        <v>0</v>
      </c>
      <c r="X94">
        <f t="shared" si="106"/>
        <v>1188.0899999999999</v>
      </c>
      <c r="Y94">
        <f t="shared" si="107"/>
        <v>685.02</v>
      </c>
      <c r="AA94">
        <v>68990560</v>
      </c>
      <c r="AB94">
        <f t="shared" si="108"/>
        <v>520.96</v>
      </c>
      <c r="AC94">
        <f t="shared" si="131"/>
        <v>8.5399999999999991</v>
      </c>
      <c r="AD94">
        <f>ROUND((((((ET94*1.25)*1.35))-(((EU94*1.25)*1.35)))+AE94),2)</f>
        <v>73.59</v>
      </c>
      <c r="AE94">
        <f>ROUND((((EU94*1.25)*1.35)),2)</f>
        <v>28.94</v>
      </c>
      <c r="AF94">
        <f>ROUND((((EV94*1.15)*1.35)),2)</f>
        <v>438.83</v>
      </c>
      <c r="AG94">
        <f t="shared" si="109"/>
        <v>0</v>
      </c>
      <c r="AH94">
        <f>(((EW94*1.15)*1.35))</f>
        <v>55.268999999999998</v>
      </c>
      <c r="AI94">
        <f>(((EX94*1.25)*1.35))</f>
        <v>2.1431249999999999</v>
      </c>
      <c r="AJ94">
        <f t="shared" si="110"/>
        <v>0</v>
      </c>
      <c r="AK94">
        <v>334.81</v>
      </c>
      <c r="AL94">
        <v>8.5399999999999991</v>
      </c>
      <c r="AM94">
        <v>43.61</v>
      </c>
      <c r="AN94">
        <v>17.149999999999999</v>
      </c>
      <c r="AO94">
        <v>282.66000000000003</v>
      </c>
      <c r="AP94">
        <v>0</v>
      </c>
      <c r="AQ94">
        <v>35.6</v>
      </c>
      <c r="AR94">
        <v>1.27</v>
      </c>
      <c r="AS94">
        <v>0</v>
      </c>
      <c r="AT94">
        <v>111</v>
      </c>
      <c r="AU94">
        <v>64</v>
      </c>
      <c r="AV94">
        <v>1</v>
      </c>
      <c r="AW94">
        <v>1</v>
      </c>
      <c r="AZ94">
        <v>1</v>
      </c>
      <c r="BA94">
        <v>33.65</v>
      </c>
      <c r="BB94">
        <v>14.02</v>
      </c>
      <c r="BC94">
        <v>12.78</v>
      </c>
      <c r="BD94" t="s">
        <v>3</v>
      </c>
      <c r="BE94" t="s">
        <v>3</v>
      </c>
      <c r="BF94" t="s">
        <v>3</v>
      </c>
      <c r="BG94" t="s">
        <v>3</v>
      </c>
      <c r="BH94">
        <v>0</v>
      </c>
      <c r="BI94">
        <v>1</v>
      </c>
      <c r="BJ94" t="s">
        <v>313</v>
      </c>
      <c r="BM94">
        <v>11001</v>
      </c>
      <c r="BN94">
        <v>0</v>
      </c>
      <c r="BO94" t="s">
        <v>311</v>
      </c>
      <c r="BP94">
        <v>1</v>
      </c>
      <c r="BQ94">
        <v>2</v>
      </c>
      <c r="BR94">
        <v>0</v>
      </c>
      <c r="BS94">
        <v>33.65</v>
      </c>
      <c r="BT94">
        <v>1</v>
      </c>
      <c r="BU94">
        <v>1</v>
      </c>
      <c r="BV94">
        <v>1</v>
      </c>
      <c r="BW94">
        <v>1</v>
      </c>
      <c r="BX94">
        <v>1</v>
      </c>
      <c r="BY94" t="s">
        <v>3</v>
      </c>
      <c r="BZ94">
        <v>123</v>
      </c>
      <c r="CA94">
        <v>75</v>
      </c>
      <c r="CE94">
        <v>0</v>
      </c>
      <c r="CF94">
        <v>0</v>
      </c>
      <c r="CG94">
        <v>0</v>
      </c>
      <c r="CM94">
        <v>0</v>
      </c>
      <c r="CN94" t="s">
        <v>1332</v>
      </c>
      <c r="CO94">
        <v>0</v>
      </c>
      <c r="CP94">
        <f t="shared" si="111"/>
        <v>1081.71</v>
      </c>
      <c r="CQ94">
        <f t="shared" si="112"/>
        <v>109.14119999999998</v>
      </c>
      <c r="CR94">
        <f t="shared" si="113"/>
        <v>1031.7318</v>
      </c>
      <c r="CS94">
        <f t="shared" si="114"/>
        <v>973.83100000000002</v>
      </c>
      <c r="CT94">
        <f t="shared" si="115"/>
        <v>14766.629499999999</v>
      </c>
      <c r="CU94">
        <f t="shared" si="116"/>
        <v>0</v>
      </c>
      <c r="CV94">
        <f t="shared" si="117"/>
        <v>55.268999999999998</v>
      </c>
      <c r="CW94">
        <f t="shared" si="118"/>
        <v>2.1431249999999999</v>
      </c>
      <c r="CX94">
        <f t="shared" si="119"/>
        <v>0</v>
      </c>
      <c r="CY94">
        <f t="shared" si="120"/>
        <v>1188.0884999999998</v>
      </c>
      <c r="CZ94">
        <f t="shared" si="121"/>
        <v>685.02399999999989</v>
      </c>
      <c r="DC94" t="s">
        <v>3</v>
      </c>
      <c r="DD94" t="s">
        <v>3</v>
      </c>
      <c r="DE94" t="s">
        <v>146</v>
      </c>
      <c r="DF94" t="s">
        <v>146</v>
      </c>
      <c r="DG94" t="s">
        <v>147</v>
      </c>
      <c r="DH94" t="s">
        <v>3</v>
      </c>
      <c r="DI94" t="s">
        <v>147</v>
      </c>
      <c r="DJ94" t="s">
        <v>146</v>
      </c>
      <c r="DK94" t="s">
        <v>3</v>
      </c>
      <c r="DL94" t="s">
        <v>3</v>
      </c>
      <c r="DM94" t="s">
        <v>3</v>
      </c>
      <c r="DN94">
        <v>0</v>
      </c>
      <c r="DO94">
        <v>0</v>
      </c>
      <c r="DP94">
        <v>1</v>
      </c>
      <c r="DQ94">
        <v>1</v>
      </c>
      <c r="DU94">
        <v>1005</v>
      </c>
      <c r="DV94" t="s">
        <v>36</v>
      </c>
      <c r="DW94" t="s">
        <v>36</v>
      </c>
      <c r="DX94">
        <v>100</v>
      </c>
      <c r="DZ94" t="s">
        <v>3</v>
      </c>
      <c r="EA94" t="s">
        <v>3</v>
      </c>
      <c r="EB94" t="s">
        <v>3</v>
      </c>
      <c r="EC94" t="s">
        <v>3</v>
      </c>
      <c r="EE94">
        <v>64095027</v>
      </c>
      <c r="EF94">
        <v>2</v>
      </c>
      <c r="EG94" t="s">
        <v>13</v>
      </c>
      <c r="EH94">
        <v>0</v>
      </c>
      <c r="EI94" t="s">
        <v>3</v>
      </c>
      <c r="EJ94">
        <v>1</v>
      </c>
      <c r="EK94">
        <v>11001</v>
      </c>
      <c r="EL94" t="s">
        <v>92</v>
      </c>
      <c r="EM94" t="s">
        <v>222</v>
      </c>
      <c r="EO94" t="s">
        <v>150</v>
      </c>
      <c r="EQ94">
        <v>0</v>
      </c>
      <c r="ER94">
        <v>334.81</v>
      </c>
      <c r="ES94">
        <v>8.5399999999999991</v>
      </c>
      <c r="ET94">
        <v>43.61</v>
      </c>
      <c r="EU94">
        <v>17.149999999999999</v>
      </c>
      <c r="EV94">
        <v>282.66000000000003</v>
      </c>
      <c r="EW94">
        <v>35.6</v>
      </c>
      <c r="EX94">
        <v>1.27</v>
      </c>
      <c r="EY94">
        <v>0</v>
      </c>
      <c r="FQ94">
        <v>0</v>
      </c>
      <c r="FR94">
        <f t="shared" si="122"/>
        <v>0</v>
      </c>
      <c r="FS94">
        <v>0</v>
      </c>
      <c r="FT94" t="s">
        <v>52</v>
      </c>
      <c r="FU94" t="s">
        <v>53</v>
      </c>
      <c r="FX94">
        <v>110.7</v>
      </c>
      <c r="FY94">
        <v>63.75</v>
      </c>
      <c r="GA94" t="s">
        <v>3</v>
      </c>
      <c r="GD94">
        <v>1</v>
      </c>
      <c r="GF94">
        <v>-1672564068</v>
      </c>
      <c r="GG94">
        <v>2</v>
      </c>
      <c r="GH94">
        <v>1</v>
      </c>
      <c r="GI94">
        <v>2</v>
      </c>
      <c r="GJ94">
        <v>0</v>
      </c>
      <c r="GK94">
        <v>0</v>
      </c>
      <c r="GL94">
        <f t="shared" si="123"/>
        <v>0</v>
      </c>
      <c r="GM94">
        <f t="shared" si="124"/>
        <v>2954.82</v>
      </c>
      <c r="GN94">
        <f t="shared" si="125"/>
        <v>2954.82</v>
      </c>
      <c r="GO94">
        <f t="shared" si="126"/>
        <v>0</v>
      </c>
      <c r="GP94">
        <f t="shared" si="127"/>
        <v>0</v>
      </c>
      <c r="GR94">
        <v>0</v>
      </c>
      <c r="GS94">
        <v>3</v>
      </c>
      <c r="GT94">
        <v>0</v>
      </c>
      <c r="GU94" t="s">
        <v>3</v>
      </c>
      <c r="GV94">
        <f t="shared" si="128"/>
        <v>0</v>
      </c>
      <c r="GW94">
        <v>1</v>
      </c>
      <c r="GX94">
        <f t="shared" si="129"/>
        <v>0</v>
      </c>
      <c r="HA94">
        <v>0</v>
      </c>
      <c r="HB94">
        <v>0</v>
      </c>
      <c r="HC94">
        <f t="shared" si="130"/>
        <v>0</v>
      </c>
      <c r="HE94" t="s">
        <v>3</v>
      </c>
      <c r="HF94" t="s">
        <v>3</v>
      </c>
      <c r="IK94">
        <v>0</v>
      </c>
    </row>
    <row r="95" spans="1:245" x14ac:dyDescent="0.2">
      <c r="A95">
        <v>18</v>
      </c>
      <c r="B95">
        <v>1</v>
      </c>
      <c r="C95">
        <v>255</v>
      </c>
      <c r="E95" t="s">
        <v>314</v>
      </c>
      <c r="F95" t="s">
        <v>315</v>
      </c>
      <c r="G95" t="s">
        <v>316</v>
      </c>
      <c r="H95" t="s">
        <v>71</v>
      </c>
      <c r="I95">
        <f>I94*J95</f>
        <v>0.25840000000000002</v>
      </c>
      <c r="J95">
        <v>3.8</v>
      </c>
      <c r="O95">
        <f t="shared" si="97"/>
        <v>881.71</v>
      </c>
      <c r="P95">
        <f t="shared" si="98"/>
        <v>881.71</v>
      </c>
      <c r="Q95">
        <f t="shared" si="99"/>
        <v>0</v>
      </c>
      <c r="R95">
        <f t="shared" si="100"/>
        <v>0</v>
      </c>
      <c r="S95">
        <f t="shared" si="101"/>
        <v>0</v>
      </c>
      <c r="T95">
        <f t="shared" si="102"/>
        <v>0</v>
      </c>
      <c r="U95">
        <f t="shared" si="103"/>
        <v>0</v>
      </c>
      <c r="V95">
        <f t="shared" si="104"/>
        <v>0</v>
      </c>
      <c r="W95">
        <f t="shared" si="105"/>
        <v>0</v>
      </c>
      <c r="X95">
        <f t="shared" si="106"/>
        <v>0</v>
      </c>
      <c r="Y95">
        <f t="shared" si="107"/>
        <v>0</v>
      </c>
      <c r="AA95">
        <v>68990560</v>
      </c>
      <c r="AB95">
        <f t="shared" si="108"/>
        <v>712.36</v>
      </c>
      <c r="AC95">
        <f t="shared" si="131"/>
        <v>712.36</v>
      </c>
      <c r="AD95">
        <f>ROUND((((ET95)-(EU95))+AE95),2)</f>
        <v>0</v>
      </c>
      <c r="AE95">
        <f>ROUND((EU95),2)</f>
        <v>0</v>
      </c>
      <c r="AF95">
        <f>ROUND((EV95),2)</f>
        <v>0</v>
      </c>
      <c r="AG95">
        <f t="shared" si="109"/>
        <v>0</v>
      </c>
      <c r="AH95">
        <f>(EW95)</f>
        <v>0</v>
      </c>
      <c r="AI95">
        <f>(EX95)</f>
        <v>0</v>
      </c>
      <c r="AJ95">
        <f t="shared" si="110"/>
        <v>0</v>
      </c>
      <c r="AK95">
        <v>712.36</v>
      </c>
      <c r="AL95">
        <v>712.36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111</v>
      </c>
      <c r="AU95">
        <v>64</v>
      </c>
      <c r="AV95">
        <v>1</v>
      </c>
      <c r="AW95">
        <v>1</v>
      </c>
      <c r="AZ95">
        <v>1</v>
      </c>
      <c r="BA95">
        <v>1</v>
      </c>
      <c r="BB95">
        <v>1</v>
      </c>
      <c r="BC95">
        <v>4.79</v>
      </c>
      <c r="BD95" t="s">
        <v>3</v>
      </c>
      <c r="BE95" t="s">
        <v>3</v>
      </c>
      <c r="BF95" t="s">
        <v>3</v>
      </c>
      <c r="BG95" t="s">
        <v>3</v>
      </c>
      <c r="BH95">
        <v>3</v>
      </c>
      <c r="BI95">
        <v>1</v>
      </c>
      <c r="BJ95" t="s">
        <v>317</v>
      </c>
      <c r="BM95">
        <v>11001</v>
      </c>
      <c r="BN95">
        <v>0</v>
      </c>
      <c r="BO95" t="s">
        <v>315</v>
      </c>
      <c r="BP95">
        <v>1</v>
      </c>
      <c r="BQ95">
        <v>2</v>
      </c>
      <c r="BR95">
        <v>0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3</v>
      </c>
      <c r="BZ95">
        <v>123</v>
      </c>
      <c r="CA95">
        <v>75</v>
      </c>
      <c r="CE95">
        <v>0</v>
      </c>
      <c r="CF95">
        <v>0</v>
      </c>
      <c r="CG95">
        <v>0</v>
      </c>
      <c r="CM95">
        <v>0</v>
      </c>
      <c r="CN95" t="s">
        <v>3</v>
      </c>
      <c r="CO95">
        <v>0</v>
      </c>
      <c r="CP95">
        <f t="shared" si="111"/>
        <v>881.71</v>
      </c>
      <c r="CQ95">
        <f t="shared" si="112"/>
        <v>3412.2044000000001</v>
      </c>
      <c r="CR95">
        <f t="shared" si="113"/>
        <v>0</v>
      </c>
      <c r="CS95">
        <f t="shared" si="114"/>
        <v>0</v>
      </c>
      <c r="CT95">
        <f t="shared" si="115"/>
        <v>0</v>
      </c>
      <c r="CU95">
        <f t="shared" si="116"/>
        <v>0</v>
      </c>
      <c r="CV95">
        <f t="shared" si="117"/>
        <v>0</v>
      </c>
      <c r="CW95">
        <f t="shared" si="118"/>
        <v>0</v>
      </c>
      <c r="CX95">
        <f t="shared" si="119"/>
        <v>0</v>
      </c>
      <c r="CY95">
        <f t="shared" si="120"/>
        <v>0</v>
      </c>
      <c r="CZ95">
        <f t="shared" si="121"/>
        <v>0</v>
      </c>
      <c r="DC95" t="s">
        <v>3</v>
      </c>
      <c r="DD95" t="s">
        <v>3</v>
      </c>
      <c r="DE95" t="s">
        <v>3</v>
      </c>
      <c r="DF95" t="s">
        <v>3</v>
      </c>
      <c r="DG95" t="s">
        <v>3</v>
      </c>
      <c r="DH95" t="s">
        <v>3</v>
      </c>
      <c r="DI95" t="s">
        <v>3</v>
      </c>
      <c r="DJ95" t="s">
        <v>3</v>
      </c>
      <c r="DK95" t="s">
        <v>3</v>
      </c>
      <c r="DL95" t="s">
        <v>3</v>
      </c>
      <c r="DM95" t="s">
        <v>3</v>
      </c>
      <c r="DN95">
        <v>0</v>
      </c>
      <c r="DO95">
        <v>0</v>
      </c>
      <c r="DP95">
        <v>1</v>
      </c>
      <c r="DQ95">
        <v>1</v>
      </c>
      <c r="DU95">
        <v>1009</v>
      </c>
      <c r="DV95" t="s">
        <v>71</v>
      </c>
      <c r="DW95" t="s">
        <v>71</v>
      </c>
      <c r="DX95">
        <v>1000</v>
      </c>
      <c r="DZ95" t="s">
        <v>3</v>
      </c>
      <c r="EA95" t="s">
        <v>3</v>
      </c>
      <c r="EB95" t="s">
        <v>3</v>
      </c>
      <c r="EC95" t="s">
        <v>3</v>
      </c>
      <c r="EE95">
        <v>64095027</v>
      </c>
      <c r="EF95">
        <v>2</v>
      </c>
      <c r="EG95" t="s">
        <v>13</v>
      </c>
      <c r="EH95">
        <v>0</v>
      </c>
      <c r="EI95" t="s">
        <v>3</v>
      </c>
      <c r="EJ95">
        <v>1</v>
      </c>
      <c r="EK95">
        <v>11001</v>
      </c>
      <c r="EL95" t="s">
        <v>92</v>
      </c>
      <c r="EM95" t="s">
        <v>222</v>
      </c>
      <c r="EO95" t="s">
        <v>3</v>
      </c>
      <c r="EQ95">
        <v>0</v>
      </c>
      <c r="ER95">
        <v>712.36</v>
      </c>
      <c r="ES95">
        <v>712.36</v>
      </c>
      <c r="ET95">
        <v>0</v>
      </c>
      <c r="EU95">
        <v>0</v>
      </c>
      <c r="EV95">
        <v>0</v>
      </c>
      <c r="EW95">
        <v>0</v>
      </c>
      <c r="EX95">
        <v>0</v>
      </c>
      <c r="FQ95">
        <v>0</v>
      </c>
      <c r="FR95">
        <f t="shared" si="122"/>
        <v>0</v>
      </c>
      <c r="FS95">
        <v>0</v>
      </c>
      <c r="FT95" t="s">
        <v>52</v>
      </c>
      <c r="FU95" t="s">
        <v>53</v>
      </c>
      <c r="FX95">
        <v>110.7</v>
      </c>
      <c r="FY95">
        <v>63.75</v>
      </c>
      <c r="GA95" t="s">
        <v>3</v>
      </c>
      <c r="GD95">
        <v>1</v>
      </c>
      <c r="GF95">
        <v>1703037467</v>
      </c>
      <c r="GG95">
        <v>2</v>
      </c>
      <c r="GH95">
        <v>1</v>
      </c>
      <c r="GI95">
        <v>2</v>
      </c>
      <c r="GJ95">
        <v>0</v>
      </c>
      <c r="GK95">
        <v>0</v>
      </c>
      <c r="GL95">
        <f t="shared" si="123"/>
        <v>0</v>
      </c>
      <c r="GM95">
        <f t="shared" si="124"/>
        <v>881.71</v>
      </c>
      <c r="GN95">
        <f t="shared" si="125"/>
        <v>881.71</v>
      </c>
      <c r="GO95">
        <f t="shared" si="126"/>
        <v>0</v>
      </c>
      <c r="GP95">
        <f t="shared" si="127"/>
        <v>0</v>
      </c>
      <c r="GR95">
        <v>0</v>
      </c>
      <c r="GS95">
        <v>3</v>
      </c>
      <c r="GT95">
        <v>0</v>
      </c>
      <c r="GU95" t="s">
        <v>3</v>
      </c>
      <c r="GV95">
        <f t="shared" si="128"/>
        <v>0</v>
      </c>
      <c r="GW95">
        <v>1</v>
      </c>
      <c r="GX95">
        <f t="shared" si="129"/>
        <v>0</v>
      </c>
      <c r="HA95">
        <v>0</v>
      </c>
      <c r="HB95">
        <v>0</v>
      </c>
      <c r="HC95">
        <f t="shared" si="130"/>
        <v>0</v>
      </c>
      <c r="HE95" t="s">
        <v>3</v>
      </c>
      <c r="HF95" t="s">
        <v>3</v>
      </c>
      <c r="IK95">
        <v>0</v>
      </c>
    </row>
    <row r="96" spans="1:245" x14ac:dyDescent="0.2">
      <c r="A96">
        <v>17</v>
      </c>
      <c r="B96">
        <v>1</v>
      </c>
      <c r="C96">
        <f>ROW(SmtRes!A261)</f>
        <v>261</v>
      </c>
      <c r="D96">
        <f>ROW(EtalonRes!A269)</f>
        <v>269</v>
      </c>
      <c r="E96" t="s">
        <v>318</v>
      </c>
      <c r="F96" t="s">
        <v>319</v>
      </c>
      <c r="G96" t="s">
        <v>320</v>
      </c>
      <c r="H96" t="s">
        <v>71</v>
      </c>
      <c r="I96">
        <f>ROUND(0.0136,5)</f>
        <v>1.3599999999999999E-2</v>
      </c>
      <c r="J96">
        <v>0</v>
      </c>
      <c r="O96">
        <f t="shared" si="97"/>
        <v>103.25</v>
      </c>
      <c r="P96">
        <f t="shared" si="98"/>
        <v>22.96</v>
      </c>
      <c r="Q96">
        <f t="shared" si="99"/>
        <v>7.26</v>
      </c>
      <c r="R96">
        <f t="shared" si="100"/>
        <v>3.36</v>
      </c>
      <c r="S96">
        <f t="shared" si="101"/>
        <v>73.03</v>
      </c>
      <c r="T96">
        <f t="shared" si="102"/>
        <v>0</v>
      </c>
      <c r="U96">
        <f t="shared" si="103"/>
        <v>0.24492239999999998</v>
      </c>
      <c r="V96">
        <f t="shared" si="104"/>
        <v>8.0324999999999997E-3</v>
      </c>
      <c r="W96">
        <f t="shared" si="105"/>
        <v>0</v>
      </c>
      <c r="X96">
        <f t="shared" si="106"/>
        <v>72.569999999999993</v>
      </c>
      <c r="Y96">
        <f t="shared" si="107"/>
        <v>42.01</v>
      </c>
      <c r="AA96">
        <v>68990560</v>
      </c>
      <c r="AB96">
        <f t="shared" si="108"/>
        <v>496.55</v>
      </c>
      <c r="AC96">
        <f t="shared" si="131"/>
        <v>285.60000000000002</v>
      </c>
      <c r="AD96">
        <f>ROUND((((((ET96*1.25)*1.35))-(((EU96*1.25)*1.35)))+AE96),2)</f>
        <v>51.38</v>
      </c>
      <c r="AE96">
        <f>ROUND((((EU96*1.25)*1.35)),2)</f>
        <v>7.34</v>
      </c>
      <c r="AF96">
        <f>ROUND((((EV96*1.15)*1.35)),2)</f>
        <v>159.57</v>
      </c>
      <c r="AG96">
        <f t="shared" si="109"/>
        <v>0</v>
      </c>
      <c r="AH96">
        <f>(((EW96*1.15)*1.35))</f>
        <v>18.009</v>
      </c>
      <c r="AI96">
        <f>(((EX96*1.25)*1.35))</f>
        <v>0.59062500000000007</v>
      </c>
      <c r="AJ96">
        <f t="shared" si="110"/>
        <v>0</v>
      </c>
      <c r="AK96">
        <v>418.83</v>
      </c>
      <c r="AL96">
        <v>285.60000000000002</v>
      </c>
      <c r="AM96">
        <v>30.45</v>
      </c>
      <c r="AN96">
        <v>4.3499999999999996</v>
      </c>
      <c r="AO96">
        <v>102.78</v>
      </c>
      <c r="AP96">
        <v>0</v>
      </c>
      <c r="AQ96">
        <v>11.6</v>
      </c>
      <c r="AR96">
        <v>0.35</v>
      </c>
      <c r="AS96">
        <v>0</v>
      </c>
      <c r="AT96">
        <v>95</v>
      </c>
      <c r="AU96">
        <v>55</v>
      </c>
      <c r="AV96">
        <v>1</v>
      </c>
      <c r="AW96">
        <v>1</v>
      </c>
      <c r="AZ96">
        <v>1</v>
      </c>
      <c r="BA96">
        <v>33.65</v>
      </c>
      <c r="BB96">
        <v>10.39</v>
      </c>
      <c r="BC96">
        <v>5.91</v>
      </c>
      <c r="BD96" t="s">
        <v>3</v>
      </c>
      <c r="BE96" t="s">
        <v>3</v>
      </c>
      <c r="BF96" t="s">
        <v>3</v>
      </c>
      <c r="BG96" t="s">
        <v>3</v>
      </c>
      <c r="BH96">
        <v>0</v>
      </c>
      <c r="BI96">
        <v>1</v>
      </c>
      <c r="BJ96" t="s">
        <v>321</v>
      </c>
      <c r="BM96">
        <v>6001</v>
      </c>
      <c r="BN96">
        <v>0</v>
      </c>
      <c r="BO96" t="s">
        <v>319</v>
      </c>
      <c r="BP96">
        <v>1</v>
      </c>
      <c r="BQ96">
        <v>2</v>
      </c>
      <c r="BR96">
        <v>0</v>
      </c>
      <c r="BS96">
        <v>33.65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3</v>
      </c>
      <c r="BZ96">
        <v>105</v>
      </c>
      <c r="CA96">
        <v>65</v>
      </c>
      <c r="CE96">
        <v>0</v>
      </c>
      <c r="CF96">
        <v>0</v>
      </c>
      <c r="CG96">
        <v>0</v>
      </c>
      <c r="CM96">
        <v>0</v>
      </c>
      <c r="CN96" t="s">
        <v>1332</v>
      </c>
      <c r="CO96">
        <v>0</v>
      </c>
      <c r="CP96">
        <f t="shared" si="111"/>
        <v>103.25</v>
      </c>
      <c r="CQ96">
        <f t="shared" si="112"/>
        <v>1687.8960000000002</v>
      </c>
      <c r="CR96">
        <f t="shared" si="113"/>
        <v>533.83820000000003</v>
      </c>
      <c r="CS96">
        <f t="shared" si="114"/>
        <v>246.99099999999999</v>
      </c>
      <c r="CT96">
        <f t="shared" si="115"/>
        <v>5369.5304999999998</v>
      </c>
      <c r="CU96">
        <f t="shared" si="116"/>
        <v>0</v>
      </c>
      <c r="CV96">
        <f t="shared" si="117"/>
        <v>18.009</v>
      </c>
      <c r="CW96">
        <f t="shared" si="118"/>
        <v>0.59062500000000007</v>
      </c>
      <c r="CX96">
        <f t="shared" si="119"/>
        <v>0</v>
      </c>
      <c r="CY96">
        <f t="shared" si="120"/>
        <v>72.570499999999996</v>
      </c>
      <c r="CZ96">
        <f t="shared" si="121"/>
        <v>42.014499999999998</v>
      </c>
      <c r="DC96" t="s">
        <v>3</v>
      </c>
      <c r="DD96" t="s">
        <v>3</v>
      </c>
      <c r="DE96" t="s">
        <v>146</v>
      </c>
      <c r="DF96" t="s">
        <v>146</v>
      </c>
      <c r="DG96" t="s">
        <v>147</v>
      </c>
      <c r="DH96" t="s">
        <v>3</v>
      </c>
      <c r="DI96" t="s">
        <v>147</v>
      </c>
      <c r="DJ96" t="s">
        <v>146</v>
      </c>
      <c r="DK96" t="s">
        <v>3</v>
      </c>
      <c r="DL96" t="s">
        <v>3</v>
      </c>
      <c r="DM96" t="s">
        <v>3</v>
      </c>
      <c r="DN96">
        <v>0</v>
      </c>
      <c r="DO96">
        <v>0</v>
      </c>
      <c r="DP96">
        <v>1</v>
      </c>
      <c r="DQ96">
        <v>1</v>
      </c>
      <c r="DU96">
        <v>1009</v>
      </c>
      <c r="DV96" t="s">
        <v>71</v>
      </c>
      <c r="DW96" t="s">
        <v>71</v>
      </c>
      <c r="DX96">
        <v>1000</v>
      </c>
      <c r="DZ96" t="s">
        <v>3</v>
      </c>
      <c r="EA96" t="s">
        <v>3</v>
      </c>
      <c r="EB96" t="s">
        <v>3</v>
      </c>
      <c r="EC96" t="s">
        <v>3</v>
      </c>
      <c r="EE96">
        <v>64095013</v>
      </c>
      <c r="EF96">
        <v>2</v>
      </c>
      <c r="EG96" t="s">
        <v>13</v>
      </c>
      <c r="EH96">
        <v>0</v>
      </c>
      <c r="EI96" t="s">
        <v>3</v>
      </c>
      <c r="EJ96">
        <v>1</v>
      </c>
      <c r="EK96">
        <v>6001</v>
      </c>
      <c r="EL96" t="s">
        <v>247</v>
      </c>
      <c r="EM96" t="s">
        <v>248</v>
      </c>
      <c r="EO96" t="s">
        <v>150</v>
      </c>
      <c r="EQ96">
        <v>0</v>
      </c>
      <c r="ER96">
        <v>418.83</v>
      </c>
      <c r="ES96">
        <v>285.60000000000002</v>
      </c>
      <c r="ET96">
        <v>30.45</v>
      </c>
      <c r="EU96">
        <v>4.3499999999999996</v>
      </c>
      <c r="EV96">
        <v>102.78</v>
      </c>
      <c r="EW96">
        <v>11.6</v>
      </c>
      <c r="EX96">
        <v>0.35</v>
      </c>
      <c r="EY96">
        <v>0</v>
      </c>
      <c r="FQ96">
        <v>0</v>
      </c>
      <c r="FR96">
        <f t="shared" si="122"/>
        <v>0</v>
      </c>
      <c r="FS96">
        <v>0</v>
      </c>
      <c r="FT96" t="s">
        <v>52</v>
      </c>
      <c r="FU96" t="s">
        <v>53</v>
      </c>
      <c r="FX96">
        <v>94.5</v>
      </c>
      <c r="FY96">
        <v>55.25</v>
      </c>
      <c r="GA96" t="s">
        <v>3</v>
      </c>
      <c r="GD96">
        <v>1</v>
      </c>
      <c r="GF96">
        <v>1867062985</v>
      </c>
      <c r="GG96">
        <v>2</v>
      </c>
      <c r="GH96">
        <v>1</v>
      </c>
      <c r="GI96">
        <v>2</v>
      </c>
      <c r="GJ96">
        <v>0</v>
      </c>
      <c r="GK96">
        <v>0</v>
      </c>
      <c r="GL96">
        <f t="shared" si="123"/>
        <v>0</v>
      </c>
      <c r="GM96">
        <f t="shared" si="124"/>
        <v>217.83</v>
      </c>
      <c r="GN96">
        <f t="shared" si="125"/>
        <v>217.83</v>
      </c>
      <c r="GO96">
        <f t="shared" si="126"/>
        <v>0</v>
      </c>
      <c r="GP96">
        <f t="shared" si="127"/>
        <v>0</v>
      </c>
      <c r="GR96">
        <v>0</v>
      </c>
      <c r="GS96">
        <v>3</v>
      </c>
      <c r="GT96">
        <v>0</v>
      </c>
      <c r="GU96" t="s">
        <v>3</v>
      </c>
      <c r="GV96">
        <f t="shared" si="128"/>
        <v>0</v>
      </c>
      <c r="GW96">
        <v>1</v>
      </c>
      <c r="GX96">
        <f t="shared" si="129"/>
        <v>0</v>
      </c>
      <c r="HA96">
        <v>0</v>
      </c>
      <c r="HB96">
        <v>0</v>
      </c>
      <c r="HC96">
        <f t="shared" si="130"/>
        <v>0</v>
      </c>
      <c r="HE96" t="s">
        <v>3</v>
      </c>
      <c r="HF96" t="s">
        <v>3</v>
      </c>
      <c r="IK96">
        <v>0</v>
      </c>
    </row>
    <row r="97" spans="1:245" x14ac:dyDescent="0.2">
      <c r="A97">
        <v>18</v>
      </c>
      <c r="B97">
        <v>1</v>
      </c>
      <c r="C97">
        <v>260</v>
      </c>
      <c r="E97" t="s">
        <v>322</v>
      </c>
      <c r="F97" t="s">
        <v>323</v>
      </c>
      <c r="G97" t="s">
        <v>324</v>
      </c>
      <c r="H97" t="s">
        <v>46</v>
      </c>
      <c r="I97">
        <f>I96*J97</f>
        <v>6.8</v>
      </c>
      <c r="J97">
        <v>500</v>
      </c>
      <c r="O97">
        <f t="shared" si="97"/>
        <v>823.69</v>
      </c>
      <c r="P97">
        <f t="shared" si="98"/>
        <v>823.69</v>
      </c>
      <c r="Q97">
        <f t="shared" si="99"/>
        <v>0</v>
      </c>
      <c r="R97">
        <f t="shared" si="100"/>
        <v>0</v>
      </c>
      <c r="S97">
        <f t="shared" si="101"/>
        <v>0</v>
      </c>
      <c r="T97">
        <f t="shared" si="102"/>
        <v>0</v>
      </c>
      <c r="U97">
        <f t="shared" si="103"/>
        <v>0</v>
      </c>
      <c r="V97">
        <f t="shared" si="104"/>
        <v>0</v>
      </c>
      <c r="W97">
        <f t="shared" si="105"/>
        <v>0</v>
      </c>
      <c r="X97">
        <f t="shared" si="106"/>
        <v>0</v>
      </c>
      <c r="Y97">
        <f t="shared" si="107"/>
        <v>0</v>
      </c>
      <c r="AA97">
        <v>68990560</v>
      </c>
      <c r="AB97">
        <f t="shared" si="108"/>
        <v>20.29</v>
      </c>
      <c r="AC97">
        <f t="shared" si="131"/>
        <v>20.29</v>
      </c>
      <c r="AD97">
        <f>ROUND((((ET97)-(EU97))+AE97),2)</f>
        <v>0</v>
      </c>
      <c r="AE97">
        <f>ROUND((EU97),2)</f>
        <v>0</v>
      </c>
      <c r="AF97">
        <f>ROUND((EV97),2)</f>
        <v>0</v>
      </c>
      <c r="AG97">
        <f t="shared" si="109"/>
        <v>0</v>
      </c>
      <c r="AH97">
        <f>(EW97)</f>
        <v>0</v>
      </c>
      <c r="AI97">
        <f>(EX97)</f>
        <v>0</v>
      </c>
      <c r="AJ97">
        <f t="shared" si="110"/>
        <v>0</v>
      </c>
      <c r="AK97">
        <v>20.29</v>
      </c>
      <c r="AL97">
        <v>20.29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95</v>
      </c>
      <c r="AU97">
        <v>55</v>
      </c>
      <c r="AV97">
        <v>1</v>
      </c>
      <c r="AW97">
        <v>1</v>
      </c>
      <c r="AZ97">
        <v>1</v>
      </c>
      <c r="BA97">
        <v>1</v>
      </c>
      <c r="BB97">
        <v>1</v>
      </c>
      <c r="BC97">
        <v>5.97</v>
      </c>
      <c r="BD97" t="s">
        <v>3</v>
      </c>
      <c r="BE97" t="s">
        <v>3</v>
      </c>
      <c r="BF97" t="s">
        <v>3</v>
      </c>
      <c r="BG97" t="s">
        <v>3</v>
      </c>
      <c r="BH97">
        <v>3</v>
      </c>
      <c r="BI97">
        <v>1</v>
      </c>
      <c r="BJ97" t="s">
        <v>325</v>
      </c>
      <c r="BM97">
        <v>6001</v>
      </c>
      <c r="BN97">
        <v>0</v>
      </c>
      <c r="BO97" t="s">
        <v>323</v>
      </c>
      <c r="BP97">
        <v>1</v>
      </c>
      <c r="BQ97">
        <v>2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3</v>
      </c>
      <c r="BZ97">
        <v>105</v>
      </c>
      <c r="CA97">
        <v>65</v>
      </c>
      <c r="CE97">
        <v>0</v>
      </c>
      <c r="CF97">
        <v>0</v>
      </c>
      <c r="CG97">
        <v>0</v>
      </c>
      <c r="CM97">
        <v>0</v>
      </c>
      <c r="CN97" t="s">
        <v>3</v>
      </c>
      <c r="CO97">
        <v>0</v>
      </c>
      <c r="CP97">
        <f t="shared" si="111"/>
        <v>823.69</v>
      </c>
      <c r="CQ97">
        <f t="shared" si="112"/>
        <v>121.1313</v>
      </c>
      <c r="CR97">
        <f t="shared" si="113"/>
        <v>0</v>
      </c>
      <c r="CS97">
        <f t="shared" si="114"/>
        <v>0</v>
      </c>
      <c r="CT97">
        <f t="shared" si="115"/>
        <v>0</v>
      </c>
      <c r="CU97">
        <f t="shared" si="116"/>
        <v>0</v>
      </c>
      <c r="CV97">
        <f t="shared" si="117"/>
        <v>0</v>
      </c>
      <c r="CW97">
        <f t="shared" si="118"/>
        <v>0</v>
      </c>
      <c r="CX97">
        <f t="shared" si="119"/>
        <v>0</v>
      </c>
      <c r="CY97">
        <f t="shared" si="120"/>
        <v>0</v>
      </c>
      <c r="CZ97">
        <f t="shared" si="121"/>
        <v>0</v>
      </c>
      <c r="DC97" t="s">
        <v>3</v>
      </c>
      <c r="DD97" t="s">
        <v>3</v>
      </c>
      <c r="DE97" t="s">
        <v>3</v>
      </c>
      <c r="DF97" t="s">
        <v>3</v>
      </c>
      <c r="DG97" t="s">
        <v>3</v>
      </c>
      <c r="DH97" t="s">
        <v>3</v>
      </c>
      <c r="DI97" t="s">
        <v>3</v>
      </c>
      <c r="DJ97" t="s">
        <v>3</v>
      </c>
      <c r="DK97" t="s">
        <v>3</v>
      </c>
      <c r="DL97" t="s">
        <v>3</v>
      </c>
      <c r="DM97" t="s">
        <v>3</v>
      </c>
      <c r="DN97">
        <v>0</v>
      </c>
      <c r="DO97">
        <v>0</v>
      </c>
      <c r="DP97">
        <v>1</v>
      </c>
      <c r="DQ97">
        <v>1</v>
      </c>
      <c r="DU97">
        <v>1005</v>
      </c>
      <c r="DV97" t="s">
        <v>46</v>
      </c>
      <c r="DW97" t="s">
        <v>46</v>
      </c>
      <c r="DX97">
        <v>1</v>
      </c>
      <c r="DZ97" t="s">
        <v>3</v>
      </c>
      <c r="EA97" t="s">
        <v>3</v>
      </c>
      <c r="EB97" t="s">
        <v>3</v>
      </c>
      <c r="EC97" t="s">
        <v>3</v>
      </c>
      <c r="EE97">
        <v>64095013</v>
      </c>
      <c r="EF97">
        <v>2</v>
      </c>
      <c r="EG97" t="s">
        <v>13</v>
      </c>
      <c r="EH97">
        <v>0</v>
      </c>
      <c r="EI97" t="s">
        <v>3</v>
      </c>
      <c r="EJ97">
        <v>1</v>
      </c>
      <c r="EK97">
        <v>6001</v>
      </c>
      <c r="EL97" t="s">
        <v>247</v>
      </c>
      <c r="EM97" t="s">
        <v>248</v>
      </c>
      <c r="EO97" t="s">
        <v>3</v>
      </c>
      <c r="EQ97">
        <v>0</v>
      </c>
      <c r="ER97">
        <v>20.29</v>
      </c>
      <c r="ES97">
        <v>20.29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122"/>
        <v>0</v>
      </c>
      <c r="FS97">
        <v>0</v>
      </c>
      <c r="FT97" t="s">
        <v>52</v>
      </c>
      <c r="FU97" t="s">
        <v>53</v>
      </c>
      <c r="FX97">
        <v>94.5</v>
      </c>
      <c r="FY97">
        <v>55.25</v>
      </c>
      <c r="GA97" t="s">
        <v>3</v>
      </c>
      <c r="GD97">
        <v>1</v>
      </c>
      <c r="GF97">
        <v>144063458</v>
      </c>
      <c r="GG97">
        <v>2</v>
      </c>
      <c r="GH97">
        <v>1</v>
      </c>
      <c r="GI97">
        <v>2</v>
      </c>
      <c r="GJ97">
        <v>0</v>
      </c>
      <c r="GK97">
        <v>0</v>
      </c>
      <c r="GL97">
        <f t="shared" si="123"/>
        <v>0</v>
      </c>
      <c r="GM97">
        <f t="shared" si="124"/>
        <v>823.69</v>
      </c>
      <c r="GN97">
        <f t="shared" si="125"/>
        <v>823.69</v>
      </c>
      <c r="GO97">
        <f t="shared" si="126"/>
        <v>0</v>
      </c>
      <c r="GP97">
        <f t="shared" si="127"/>
        <v>0</v>
      </c>
      <c r="GR97">
        <v>0</v>
      </c>
      <c r="GS97">
        <v>3</v>
      </c>
      <c r="GT97">
        <v>0</v>
      </c>
      <c r="GU97" t="s">
        <v>3</v>
      </c>
      <c r="GV97">
        <f t="shared" si="128"/>
        <v>0</v>
      </c>
      <c r="GW97">
        <v>1</v>
      </c>
      <c r="GX97">
        <f t="shared" si="129"/>
        <v>0</v>
      </c>
      <c r="HA97">
        <v>0</v>
      </c>
      <c r="HB97">
        <v>0</v>
      </c>
      <c r="HC97">
        <f t="shared" si="130"/>
        <v>0</v>
      </c>
      <c r="HE97" t="s">
        <v>3</v>
      </c>
      <c r="HF97" t="s">
        <v>3</v>
      </c>
      <c r="IK97">
        <v>0</v>
      </c>
    </row>
    <row r="98" spans="1:245" x14ac:dyDescent="0.2">
      <c r="A98">
        <v>17</v>
      </c>
      <c r="B98">
        <v>1</v>
      </c>
      <c r="C98">
        <f>ROW(SmtRes!A266)</f>
        <v>266</v>
      </c>
      <c r="D98">
        <f>ROW(EtalonRes!A274)</f>
        <v>274</v>
      </c>
      <c r="E98" t="s">
        <v>326</v>
      </c>
      <c r="F98" t="s">
        <v>327</v>
      </c>
      <c r="G98" t="s">
        <v>328</v>
      </c>
      <c r="H98" t="s">
        <v>36</v>
      </c>
      <c r="I98">
        <f>ROUND(6.8/100,5)</f>
        <v>6.8000000000000005E-2</v>
      </c>
      <c r="J98">
        <v>0</v>
      </c>
      <c r="O98">
        <f t="shared" si="97"/>
        <v>48.42</v>
      </c>
      <c r="P98">
        <f t="shared" si="98"/>
        <v>0</v>
      </c>
      <c r="Q98">
        <f t="shared" si="99"/>
        <v>23.62</v>
      </c>
      <c r="R98">
        <f t="shared" si="100"/>
        <v>21.94</v>
      </c>
      <c r="S98">
        <f t="shared" si="101"/>
        <v>24.8</v>
      </c>
      <c r="T98">
        <f t="shared" si="102"/>
        <v>0</v>
      </c>
      <c r="U98">
        <f t="shared" si="103"/>
        <v>9.2901600000000015E-2</v>
      </c>
      <c r="V98">
        <f t="shared" si="104"/>
        <v>4.8195000000000009E-2</v>
      </c>
      <c r="W98">
        <f t="shared" si="105"/>
        <v>0</v>
      </c>
      <c r="X98">
        <f t="shared" si="106"/>
        <v>51.88</v>
      </c>
      <c r="Y98">
        <f t="shared" si="107"/>
        <v>29.91</v>
      </c>
      <c r="AA98">
        <v>68990560</v>
      </c>
      <c r="AB98">
        <f t="shared" si="108"/>
        <v>36.36</v>
      </c>
      <c r="AC98">
        <f t="shared" si="131"/>
        <v>0</v>
      </c>
      <c r="AD98">
        <f>ROUND((((((ET98*1.25)*1.35*2))-(((EU98*1.25)*1.35*2)))+AE98),2)</f>
        <v>25.52</v>
      </c>
      <c r="AE98">
        <f>ROUND((((EU98*1.25)*1.35*2)),2)</f>
        <v>9.59</v>
      </c>
      <c r="AF98">
        <f>ROUND((((EV98*1.15)*1.35*2)),2)</f>
        <v>10.84</v>
      </c>
      <c r="AG98">
        <f t="shared" si="109"/>
        <v>0</v>
      </c>
      <c r="AH98">
        <f>(((EW98*1.15)*1.35*2))</f>
        <v>1.3662000000000001</v>
      </c>
      <c r="AI98">
        <f>(((EX98*1.25)*1.35*2))</f>
        <v>0.7087500000000001</v>
      </c>
      <c r="AJ98">
        <f t="shared" si="110"/>
        <v>0</v>
      </c>
      <c r="AK98">
        <v>11.05</v>
      </c>
      <c r="AL98">
        <v>0</v>
      </c>
      <c r="AM98">
        <v>7.56</v>
      </c>
      <c r="AN98">
        <v>2.84</v>
      </c>
      <c r="AO98">
        <v>3.49</v>
      </c>
      <c r="AP98">
        <v>0</v>
      </c>
      <c r="AQ98">
        <v>0.44</v>
      </c>
      <c r="AR98">
        <v>0.21</v>
      </c>
      <c r="AS98">
        <v>0</v>
      </c>
      <c r="AT98">
        <v>111</v>
      </c>
      <c r="AU98">
        <v>64</v>
      </c>
      <c r="AV98">
        <v>1</v>
      </c>
      <c r="AW98">
        <v>1</v>
      </c>
      <c r="AZ98">
        <v>1</v>
      </c>
      <c r="BA98">
        <v>33.65</v>
      </c>
      <c r="BB98">
        <v>13.61</v>
      </c>
      <c r="BC98">
        <v>1</v>
      </c>
      <c r="BD98" t="s">
        <v>3</v>
      </c>
      <c r="BE98" t="s">
        <v>3</v>
      </c>
      <c r="BF98" t="s">
        <v>3</v>
      </c>
      <c r="BG98" t="s">
        <v>3</v>
      </c>
      <c r="BH98">
        <v>0</v>
      </c>
      <c r="BI98">
        <v>1</v>
      </c>
      <c r="BJ98" t="s">
        <v>329</v>
      </c>
      <c r="BM98">
        <v>11001</v>
      </c>
      <c r="BN98">
        <v>0</v>
      </c>
      <c r="BO98" t="s">
        <v>327</v>
      </c>
      <c r="BP98">
        <v>1</v>
      </c>
      <c r="BQ98">
        <v>2</v>
      </c>
      <c r="BR98">
        <v>0</v>
      </c>
      <c r="BS98">
        <v>33.65</v>
      </c>
      <c r="BT98">
        <v>1</v>
      </c>
      <c r="BU98">
        <v>1</v>
      </c>
      <c r="BV98">
        <v>1</v>
      </c>
      <c r="BW98">
        <v>1</v>
      </c>
      <c r="BX98">
        <v>1</v>
      </c>
      <c r="BY98" t="s">
        <v>3</v>
      </c>
      <c r="BZ98">
        <v>123</v>
      </c>
      <c r="CA98">
        <v>75</v>
      </c>
      <c r="CE98">
        <v>0</v>
      </c>
      <c r="CF98">
        <v>0</v>
      </c>
      <c r="CG98">
        <v>0</v>
      </c>
      <c r="CM98">
        <v>0</v>
      </c>
      <c r="CN98" t="s">
        <v>1332</v>
      </c>
      <c r="CO98">
        <v>0</v>
      </c>
      <c r="CP98">
        <f t="shared" si="111"/>
        <v>48.42</v>
      </c>
      <c r="CQ98">
        <f t="shared" si="112"/>
        <v>0</v>
      </c>
      <c r="CR98">
        <f t="shared" si="113"/>
        <v>347.3272</v>
      </c>
      <c r="CS98">
        <f t="shared" si="114"/>
        <v>322.70349999999996</v>
      </c>
      <c r="CT98">
        <f t="shared" si="115"/>
        <v>364.76599999999996</v>
      </c>
      <c r="CU98">
        <f t="shared" si="116"/>
        <v>0</v>
      </c>
      <c r="CV98">
        <f t="shared" si="117"/>
        <v>1.3662000000000001</v>
      </c>
      <c r="CW98">
        <f t="shared" si="118"/>
        <v>0.7087500000000001</v>
      </c>
      <c r="CX98">
        <f t="shared" si="119"/>
        <v>0</v>
      </c>
      <c r="CY98">
        <f t="shared" si="120"/>
        <v>51.881400000000006</v>
      </c>
      <c r="CZ98">
        <f t="shared" si="121"/>
        <v>29.913600000000002</v>
      </c>
      <c r="DC98" t="s">
        <v>3</v>
      </c>
      <c r="DD98" t="s">
        <v>3</v>
      </c>
      <c r="DE98" t="s">
        <v>330</v>
      </c>
      <c r="DF98" t="s">
        <v>330</v>
      </c>
      <c r="DG98" t="s">
        <v>331</v>
      </c>
      <c r="DH98" t="s">
        <v>3</v>
      </c>
      <c r="DI98" t="s">
        <v>331</v>
      </c>
      <c r="DJ98" t="s">
        <v>330</v>
      </c>
      <c r="DK98" t="s">
        <v>3</v>
      </c>
      <c r="DL98" t="s">
        <v>3</v>
      </c>
      <c r="DM98" t="s">
        <v>3</v>
      </c>
      <c r="DN98">
        <v>0</v>
      </c>
      <c r="DO98">
        <v>0</v>
      </c>
      <c r="DP98">
        <v>1</v>
      </c>
      <c r="DQ98">
        <v>1</v>
      </c>
      <c r="DU98">
        <v>1005</v>
      </c>
      <c r="DV98" t="s">
        <v>36</v>
      </c>
      <c r="DW98" t="s">
        <v>36</v>
      </c>
      <c r="DX98">
        <v>100</v>
      </c>
      <c r="DZ98" t="s">
        <v>3</v>
      </c>
      <c r="EA98" t="s">
        <v>3</v>
      </c>
      <c r="EB98" t="s">
        <v>3</v>
      </c>
      <c r="EC98" t="s">
        <v>3</v>
      </c>
      <c r="EE98">
        <v>64095027</v>
      </c>
      <c r="EF98">
        <v>2</v>
      </c>
      <c r="EG98" t="s">
        <v>13</v>
      </c>
      <c r="EH98">
        <v>0</v>
      </c>
      <c r="EI98" t="s">
        <v>3</v>
      </c>
      <c r="EJ98">
        <v>1</v>
      </c>
      <c r="EK98">
        <v>11001</v>
      </c>
      <c r="EL98" t="s">
        <v>92</v>
      </c>
      <c r="EM98" t="s">
        <v>222</v>
      </c>
      <c r="EO98" t="s">
        <v>150</v>
      </c>
      <c r="EQ98">
        <v>0</v>
      </c>
      <c r="ER98">
        <v>11.05</v>
      </c>
      <c r="ES98">
        <v>0</v>
      </c>
      <c r="ET98">
        <v>7.56</v>
      </c>
      <c r="EU98">
        <v>2.84</v>
      </c>
      <c r="EV98">
        <v>3.49</v>
      </c>
      <c r="EW98">
        <v>0.44</v>
      </c>
      <c r="EX98">
        <v>0.21</v>
      </c>
      <c r="EY98">
        <v>0</v>
      </c>
      <c r="FQ98">
        <v>0</v>
      </c>
      <c r="FR98">
        <f t="shared" si="122"/>
        <v>0</v>
      </c>
      <c r="FS98">
        <v>0</v>
      </c>
      <c r="FT98" t="s">
        <v>52</v>
      </c>
      <c r="FU98" t="s">
        <v>53</v>
      </c>
      <c r="FX98">
        <v>110.7</v>
      </c>
      <c r="FY98">
        <v>63.75</v>
      </c>
      <c r="GA98" t="s">
        <v>3</v>
      </c>
      <c r="GD98">
        <v>1</v>
      </c>
      <c r="GF98">
        <v>-1870434597</v>
      </c>
      <c r="GG98">
        <v>2</v>
      </c>
      <c r="GH98">
        <v>1</v>
      </c>
      <c r="GI98">
        <v>2</v>
      </c>
      <c r="GJ98">
        <v>0</v>
      </c>
      <c r="GK98">
        <v>0</v>
      </c>
      <c r="GL98">
        <f t="shared" si="123"/>
        <v>0</v>
      </c>
      <c r="GM98">
        <f t="shared" si="124"/>
        <v>130.21</v>
      </c>
      <c r="GN98">
        <f t="shared" si="125"/>
        <v>130.21</v>
      </c>
      <c r="GO98">
        <f t="shared" si="126"/>
        <v>0</v>
      </c>
      <c r="GP98">
        <f t="shared" si="127"/>
        <v>0</v>
      </c>
      <c r="GR98">
        <v>0</v>
      </c>
      <c r="GS98">
        <v>3</v>
      </c>
      <c r="GT98">
        <v>0</v>
      </c>
      <c r="GU98" t="s">
        <v>3</v>
      </c>
      <c r="GV98">
        <f t="shared" si="128"/>
        <v>0</v>
      </c>
      <c r="GW98">
        <v>1</v>
      </c>
      <c r="GX98">
        <f t="shared" si="129"/>
        <v>0</v>
      </c>
      <c r="HA98">
        <v>0</v>
      </c>
      <c r="HB98">
        <v>0</v>
      </c>
      <c r="HC98">
        <f t="shared" si="130"/>
        <v>0</v>
      </c>
      <c r="HE98" t="s">
        <v>3</v>
      </c>
      <c r="HF98" t="s">
        <v>3</v>
      </c>
      <c r="IK98">
        <v>0</v>
      </c>
    </row>
    <row r="99" spans="1:245" x14ac:dyDescent="0.2">
      <c r="A99">
        <v>18</v>
      </c>
      <c r="B99">
        <v>1</v>
      </c>
      <c r="C99">
        <v>266</v>
      </c>
      <c r="E99" t="s">
        <v>332</v>
      </c>
      <c r="F99" t="s">
        <v>315</v>
      </c>
      <c r="G99" t="s">
        <v>316</v>
      </c>
      <c r="H99" t="s">
        <v>71</v>
      </c>
      <c r="I99">
        <f>I98*J99</f>
        <v>0.12920000000000001</v>
      </c>
      <c r="J99">
        <v>1.9</v>
      </c>
      <c r="O99">
        <f t="shared" si="97"/>
        <v>440.86</v>
      </c>
      <c r="P99">
        <f t="shared" si="98"/>
        <v>440.86</v>
      </c>
      <c r="Q99">
        <f t="shared" si="99"/>
        <v>0</v>
      </c>
      <c r="R99">
        <f t="shared" si="100"/>
        <v>0</v>
      </c>
      <c r="S99">
        <f t="shared" si="101"/>
        <v>0</v>
      </c>
      <c r="T99">
        <f t="shared" si="102"/>
        <v>0</v>
      </c>
      <c r="U99">
        <f t="shared" si="103"/>
        <v>0</v>
      </c>
      <c r="V99">
        <f t="shared" si="104"/>
        <v>0</v>
      </c>
      <c r="W99">
        <f t="shared" si="105"/>
        <v>0</v>
      </c>
      <c r="X99">
        <f t="shared" si="106"/>
        <v>0</v>
      </c>
      <c r="Y99">
        <f t="shared" si="107"/>
        <v>0</v>
      </c>
      <c r="AA99">
        <v>68990560</v>
      </c>
      <c r="AB99">
        <f t="shared" si="108"/>
        <v>712.36</v>
      </c>
      <c r="AC99">
        <f t="shared" si="131"/>
        <v>712.36</v>
      </c>
      <c r="AD99">
        <f>ROUND((((ET99)-(EU99))+AE99),2)</f>
        <v>0</v>
      </c>
      <c r="AE99">
        <f>ROUND((EU99),2)</f>
        <v>0</v>
      </c>
      <c r="AF99">
        <f>ROUND((EV99),2)</f>
        <v>0</v>
      </c>
      <c r="AG99">
        <f t="shared" si="109"/>
        <v>0</v>
      </c>
      <c r="AH99">
        <f>(EW99)</f>
        <v>0</v>
      </c>
      <c r="AI99">
        <f>(EX99)</f>
        <v>0</v>
      </c>
      <c r="AJ99">
        <f t="shared" si="110"/>
        <v>0</v>
      </c>
      <c r="AK99">
        <v>712.36</v>
      </c>
      <c r="AL99">
        <v>712.36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111</v>
      </c>
      <c r="AU99">
        <v>64</v>
      </c>
      <c r="AV99">
        <v>1</v>
      </c>
      <c r="AW99">
        <v>1</v>
      </c>
      <c r="AZ99">
        <v>1</v>
      </c>
      <c r="BA99">
        <v>1</v>
      </c>
      <c r="BB99">
        <v>1</v>
      </c>
      <c r="BC99">
        <v>4.79</v>
      </c>
      <c r="BD99" t="s">
        <v>3</v>
      </c>
      <c r="BE99" t="s">
        <v>3</v>
      </c>
      <c r="BF99" t="s">
        <v>3</v>
      </c>
      <c r="BG99" t="s">
        <v>3</v>
      </c>
      <c r="BH99">
        <v>3</v>
      </c>
      <c r="BI99">
        <v>1</v>
      </c>
      <c r="BJ99" t="s">
        <v>317</v>
      </c>
      <c r="BM99">
        <v>11001</v>
      </c>
      <c r="BN99">
        <v>0</v>
      </c>
      <c r="BO99" t="s">
        <v>315</v>
      </c>
      <c r="BP99">
        <v>1</v>
      </c>
      <c r="BQ99">
        <v>2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3</v>
      </c>
      <c r="BZ99">
        <v>123</v>
      </c>
      <c r="CA99">
        <v>75</v>
      </c>
      <c r="CE99">
        <v>0</v>
      </c>
      <c r="CF99">
        <v>0</v>
      </c>
      <c r="CG99">
        <v>0</v>
      </c>
      <c r="CM99">
        <v>0</v>
      </c>
      <c r="CN99" t="s">
        <v>3</v>
      </c>
      <c r="CO99">
        <v>0</v>
      </c>
      <c r="CP99">
        <f t="shared" si="111"/>
        <v>440.86</v>
      </c>
      <c r="CQ99">
        <f t="shared" si="112"/>
        <v>3412.2044000000001</v>
      </c>
      <c r="CR99">
        <f t="shared" si="113"/>
        <v>0</v>
      </c>
      <c r="CS99">
        <f t="shared" si="114"/>
        <v>0</v>
      </c>
      <c r="CT99">
        <f t="shared" si="115"/>
        <v>0</v>
      </c>
      <c r="CU99">
        <f t="shared" si="116"/>
        <v>0</v>
      </c>
      <c r="CV99">
        <f t="shared" si="117"/>
        <v>0</v>
      </c>
      <c r="CW99">
        <f t="shared" si="118"/>
        <v>0</v>
      </c>
      <c r="CX99">
        <f t="shared" si="119"/>
        <v>0</v>
      </c>
      <c r="CY99">
        <f t="shared" si="120"/>
        <v>0</v>
      </c>
      <c r="CZ99">
        <f t="shared" si="121"/>
        <v>0</v>
      </c>
      <c r="DC99" t="s">
        <v>3</v>
      </c>
      <c r="DD99" t="s">
        <v>3</v>
      </c>
      <c r="DE99" t="s">
        <v>3</v>
      </c>
      <c r="DF99" t="s">
        <v>3</v>
      </c>
      <c r="DG99" t="s">
        <v>3</v>
      </c>
      <c r="DH99" t="s">
        <v>3</v>
      </c>
      <c r="DI99" t="s">
        <v>3</v>
      </c>
      <c r="DJ99" t="s">
        <v>3</v>
      </c>
      <c r="DK99" t="s">
        <v>3</v>
      </c>
      <c r="DL99" t="s">
        <v>3</v>
      </c>
      <c r="DM99" t="s">
        <v>3</v>
      </c>
      <c r="DN99">
        <v>0</v>
      </c>
      <c r="DO99">
        <v>0</v>
      </c>
      <c r="DP99">
        <v>1</v>
      </c>
      <c r="DQ99">
        <v>1</v>
      </c>
      <c r="DU99">
        <v>1009</v>
      </c>
      <c r="DV99" t="s">
        <v>71</v>
      </c>
      <c r="DW99" t="s">
        <v>71</v>
      </c>
      <c r="DX99">
        <v>1000</v>
      </c>
      <c r="DZ99" t="s">
        <v>3</v>
      </c>
      <c r="EA99" t="s">
        <v>3</v>
      </c>
      <c r="EB99" t="s">
        <v>3</v>
      </c>
      <c r="EC99" t="s">
        <v>3</v>
      </c>
      <c r="EE99">
        <v>64095027</v>
      </c>
      <c r="EF99">
        <v>2</v>
      </c>
      <c r="EG99" t="s">
        <v>13</v>
      </c>
      <c r="EH99">
        <v>0</v>
      </c>
      <c r="EI99" t="s">
        <v>3</v>
      </c>
      <c r="EJ99">
        <v>1</v>
      </c>
      <c r="EK99">
        <v>11001</v>
      </c>
      <c r="EL99" t="s">
        <v>92</v>
      </c>
      <c r="EM99" t="s">
        <v>222</v>
      </c>
      <c r="EO99" t="s">
        <v>3</v>
      </c>
      <c r="EQ99">
        <v>0</v>
      </c>
      <c r="ER99">
        <v>712.36</v>
      </c>
      <c r="ES99">
        <v>712.36</v>
      </c>
      <c r="ET99">
        <v>0</v>
      </c>
      <c r="EU99">
        <v>0</v>
      </c>
      <c r="EV99">
        <v>0</v>
      </c>
      <c r="EW99">
        <v>0</v>
      </c>
      <c r="EX99">
        <v>0</v>
      </c>
      <c r="FQ99">
        <v>0</v>
      </c>
      <c r="FR99">
        <f t="shared" si="122"/>
        <v>0</v>
      </c>
      <c r="FS99">
        <v>0</v>
      </c>
      <c r="FT99" t="s">
        <v>52</v>
      </c>
      <c r="FU99" t="s">
        <v>53</v>
      </c>
      <c r="FX99">
        <v>110.7</v>
      </c>
      <c r="FY99">
        <v>63.75</v>
      </c>
      <c r="GA99" t="s">
        <v>3</v>
      </c>
      <c r="GD99">
        <v>1</v>
      </c>
      <c r="GF99">
        <v>1703037467</v>
      </c>
      <c r="GG99">
        <v>2</v>
      </c>
      <c r="GH99">
        <v>1</v>
      </c>
      <c r="GI99">
        <v>2</v>
      </c>
      <c r="GJ99">
        <v>0</v>
      </c>
      <c r="GK99">
        <v>0</v>
      </c>
      <c r="GL99">
        <f t="shared" si="123"/>
        <v>0</v>
      </c>
      <c r="GM99">
        <f t="shared" si="124"/>
        <v>440.86</v>
      </c>
      <c r="GN99">
        <f t="shared" si="125"/>
        <v>440.86</v>
      </c>
      <c r="GO99">
        <f t="shared" si="126"/>
        <v>0</v>
      </c>
      <c r="GP99">
        <f t="shared" si="127"/>
        <v>0</v>
      </c>
      <c r="GR99">
        <v>0</v>
      </c>
      <c r="GS99">
        <v>3</v>
      </c>
      <c r="GT99">
        <v>0</v>
      </c>
      <c r="GU99" t="s">
        <v>3</v>
      </c>
      <c r="GV99">
        <f t="shared" si="128"/>
        <v>0</v>
      </c>
      <c r="GW99">
        <v>1</v>
      </c>
      <c r="GX99">
        <f t="shared" si="129"/>
        <v>0</v>
      </c>
      <c r="HA99">
        <v>0</v>
      </c>
      <c r="HB99">
        <v>0</v>
      </c>
      <c r="HC99">
        <f t="shared" si="130"/>
        <v>0</v>
      </c>
      <c r="HE99" t="s">
        <v>3</v>
      </c>
      <c r="HF99" t="s">
        <v>3</v>
      </c>
      <c r="IK99">
        <v>0</v>
      </c>
    </row>
    <row r="100" spans="1:245" x14ac:dyDescent="0.2">
      <c r="A100">
        <v>17</v>
      </c>
      <c r="B100">
        <v>1</v>
      </c>
      <c r="C100">
        <f>ROW(SmtRes!A274)</f>
        <v>274</v>
      </c>
      <c r="D100">
        <f>ROW(EtalonRes!A282)</f>
        <v>282</v>
      </c>
      <c r="E100" t="s">
        <v>333</v>
      </c>
      <c r="F100" t="s">
        <v>334</v>
      </c>
      <c r="G100" t="s">
        <v>335</v>
      </c>
      <c r="H100" t="s">
        <v>36</v>
      </c>
      <c r="I100">
        <f>ROUND(0.43/100,5)</f>
        <v>4.3E-3</v>
      </c>
      <c r="J100">
        <v>0</v>
      </c>
      <c r="O100">
        <f t="shared" si="97"/>
        <v>14.78</v>
      </c>
      <c r="P100">
        <f t="shared" si="98"/>
        <v>3.54</v>
      </c>
      <c r="Q100">
        <f t="shared" si="99"/>
        <v>0.28000000000000003</v>
      </c>
      <c r="R100">
        <f t="shared" si="100"/>
        <v>0.05</v>
      </c>
      <c r="S100">
        <f t="shared" si="101"/>
        <v>10.96</v>
      </c>
      <c r="T100">
        <f t="shared" si="102"/>
        <v>0</v>
      </c>
      <c r="U100">
        <f t="shared" si="103"/>
        <v>3.5915534999999998E-2</v>
      </c>
      <c r="V100">
        <f t="shared" si="104"/>
        <v>1.4512500000000002E-4</v>
      </c>
      <c r="W100">
        <f t="shared" si="105"/>
        <v>0</v>
      </c>
      <c r="X100">
        <f t="shared" si="106"/>
        <v>8.92</v>
      </c>
      <c r="Y100">
        <f t="shared" si="107"/>
        <v>6.61</v>
      </c>
      <c r="AA100">
        <v>68990560</v>
      </c>
      <c r="AB100">
        <f t="shared" si="108"/>
        <v>321.14999999999998</v>
      </c>
      <c r="AC100">
        <f t="shared" si="131"/>
        <v>235.25</v>
      </c>
      <c r="AD100">
        <f>ROUND((((((ET100*1.25)*1.35))-(((EU100*1.25)*1.35)))+AE100),2)</f>
        <v>10.14</v>
      </c>
      <c r="AE100">
        <f>ROUND((((EU100*1.25)*1.35)),2)</f>
        <v>0.37</v>
      </c>
      <c r="AF100">
        <f>ROUND((((EV100*1.15)*1.35)),2)</f>
        <v>75.760000000000005</v>
      </c>
      <c r="AG100">
        <f t="shared" si="109"/>
        <v>0</v>
      </c>
      <c r="AH100">
        <f>(((EW100*1.15)*1.35))</f>
        <v>8.3524499999999993</v>
      </c>
      <c r="AI100">
        <f>(((EX100*1.25)*1.35))</f>
        <v>3.3750000000000002E-2</v>
      </c>
      <c r="AJ100">
        <f t="shared" si="110"/>
        <v>0</v>
      </c>
      <c r="AK100">
        <v>290.06</v>
      </c>
      <c r="AL100">
        <v>235.25</v>
      </c>
      <c r="AM100">
        <v>6.01</v>
      </c>
      <c r="AN100">
        <v>0.22</v>
      </c>
      <c r="AO100">
        <v>48.8</v>
      </c>
      <c r="AP100">
        <v>0</v>
      </c>
      <c r="AQ100">
        <v>5.38</v>
      </c>
      <c r="AR100">
        <v>0.02</v>
      </c>
      <c r="AS100">
        <v>0</v>
      </c>
      <c r="AT100">
        <v>81</v>
      </c>
      <c r="AU100">
        <v>60</v>
      </c>
      <c r="AV100">
        <v>1</v>
      </c>
      <c r="AW100">
        <v>1</v>
      </c>
      <c r="AZ100">
        <v>1</v>
      </c>
      <c r="BA100">
        <v>33.65</v>
      </c>
      <c r="BB100">
        <v>6.47</v>
      </c>
      <c r="BC100">
        <v>3.5</v>
      </c>
      <c r="BD100" t="s">
        <v>3</v>
      </c>
      <c r="BE100" t="s">
        <v>3</v>
      </c>
      <c r="BF100" t="s">
        <v>3</v>
      </c>
      <c r="BG100" t="s">
        <v>3</v>
      </c>
      <c r="BH100">
        <v>0</v>
      </c>
      <c r="BI100">
        <v>1</v>
      </c>
      <c r="BJ100" t="s">
        <v>336</v>
      </c>
      <c r="BM100">
        <v>13001</v>
      </c>
      <c r="BN100">
        <v>0</v>
      </c>
      <c r="BO100" t="s">
        <v>334</v>
      </c>
      <c r="BP100">
        <v>1</v>
      </c>
      <c r="BQ100">
        <v>2</v>
      </c>
      <c r="BR100">
        <v>0</v>
      </c>
      <c r="BS100">
        <v>33.65</v>
      </c>
      <c r="BT100">
        <v>1</v>
      </c>
      <c r="BU100">
        <v>1</v>
      </c>
      <c r="BV100">
        <v>1</v>
      </c>
      <c r="BW100">
        <v>1</v>
      </c>
      <c r="BX100">
        <v>1</v>
      </c>
      <c r="BY100" t="s">
        <v>3</v>
      </c>
      <c r="BZ100">
        <v>90</v>
      </c>
      <c r="CA100">
        <v>70</v>
      </c>
      <c r="CE100">
        <v>0</v>
      </c>
      <c r="CF100">
        <v>0</v>
      </c>
      <c r="CG100">
        <v>0</v>
      </c>
      <c r="CM100">
        <v>0</v>
      </c>
      <c r="CN100" t="s">
        <v>1332</v>
      </c>
      <c r="CO100">
        <v>0</v>
      </c>
      <c r="CP100">
        <f t="shared" si="111"/>
        <v>14.780000000000001</v>
      </c>
      <c r="CQ100">
        <f t="shared" si="112"/>
        <v>823.375</v>
      </c>
      <c r="CR100">
        <f t="shared" si="113"/>
        <v>65.605800000000002</v>
      </c>
      <c r="CS100">
        <f t="shared" si="114"/>
        <v>12.4505</v>
      </c>
      <c r="CT100">
        <f t="shared" si="115"/>
        <v>2549.3240000000001</v>
      </c>
      <c r="CU100">
        <f t="shared" si="116"/>
        <v>0</v>
      </c>
      <c r="CV100">
        <f t="shared" si="117"/>
        <v>8.3524499999999993</v>
      </c>
      <c r="CW100">
        <f t="shared" si="118"/>
        <v>3.3750000000000002E-2</v>
      </c>
      <c r="CX100">
        <f t="shared" si="119"/>
        <v>0</v>
      </c>
      <c r="CY100">
        <f t="shared" si="120"/>
        <v>8.9181000000000026</v>
      </c>
      <c r="CZ100">
        <f t="shared" si="121"/>
        <v>6.6060000000000016</v>
      </c>
      <c r="DC100" t="s">
        <v>3</v>
      </c>
      <c r="DD100" t="s">
        <v>3</v>
      </c>
      <c r="DE100" t="s">
        <v>146</v>
      </c>
      <c r="DF100" t="s">
        <v>146</v>
      </c>
      <c r="DG100" t="s">
        <v>147</v>
      </c>
      <c r="DH100" t="s">
        <v>3</v>
      </c>
      <c r="DI100" t="s">
        <v>147</v>
      </c>
      <c r="DJ100" t="s">
        <v>146</v>
      </c>
      <c r="DK100" t="s">
        <v>3</v>
      </c>
      <c r="DL100" t="s">
        <v>3</v>
      </c>
      <c r="DM100" t="s">
        <v>3</v>
      </c>
      <c r="DN100">
        <v>0</v>
      </c>
      <c r="DO100">
        <v>0</v>
      </c>
      <c r="DP100">
        <v>1</v>
      </c>
      <c r="DQ100">
        <v>1</v>
      </c>
      <c r="DU100">
        <v>1005</v>
      </c>
      <c r="DV100" t="s">
        <v>36</v>
      </c>
      <c r="DW100" t="s">
        <v>36</v>
      </c>
      <c r="DX100">
        <v>100</v>
      </c>
      <c r="DZ100" t="s">
        <v>3</v>
      </c>
      <c r="EA100" t="s">
        <v>3</v>
      </c>
      <c r="EB100" t="s">
        <v>3</v>
      </c>
      <c r="EC100" t="s">
        <v>3</v>
      </c>
      <c r="EE100">
        <v>64095029</v>
      </c>
      <c r="EF100">
        <v>2</v>
      </c>
      <c r="EG100" t="s">
        <v>13</v>
      </c>
      <c r="EH100">
        <v>0</v>
      </c>
      <c r="EI100" t="s">
        <v>3</v>
      </c>
      <c r="EJ100">
        <v>1</v>
      </c>
      <c r="EK100">
        <v>13001</v>
      </c>
      <c r="EL100" t="s">
        <v>337</v>
      </c>
      <c r="EM100" t="s">
        <v>338</v>
      </c>
      <c r="EO100" t="s">
        <v>150</v>
      </c>
      <c r="EQ100">
        <v>0</v>
      </c>
      <c r="ER100">
        <v>290.06</v>
      </c>
      <c r="ES100">
        <v>235.25</v>
      </c>
      <c r="ET100">
        <v>6.01</v>
      </c>
      <c r="EU100">
        <v>0.22</v>
      </c>
      <c r="EV100">
        <v>48.8</v>
      </c>
      <c r="EW100">
        <v>5.38</v>
      </c>
      <c r="EX100">
        <v>0.02</v>
      </c>
      <c r="EY100">
        <v>0</v>
      </c>
      <c r="FQ100">
        <v>0</v>
      </c>
      <c r="FR100">
        <f t="shared" si="122"/>
        <v>0</v>
      </c>
      <c r="FS100">
        <v>0</v>
      </c>
      <c r="FT100" t="s">
        <v>52</v>
      </c>
      <c r="FU100" t="s">
        <v>53</v>
      </c>
      <c r="FX100">
        <v>81</v>
      </c>
      <c r="FY100">
        <v>59.5</v>
      </c>
      <c r="GA100" t="s">
        <v>3</v>
      </c>
      <c r="GD100">
        <v>1</v>
      </c>
      <c r="GF100">
        <v>-408752713</v>
      </c>
      <c r="GG100">
        <v>2</v>
      </c>
      <c r="GH100">
        <v>1</v>
      </c>
      <c r="GI100">
        <v>2</v>
      </c>
      <c r="GJ100">
        <v>0</v>
      </c>
      <c r="GK100">
        <v>0</v>
      </c>
      <c r="GL100">
        <f t="shared" si="123"/>
        <v>0</v>
      </c>
      <c r="GM100">
        <f t="shared" si="124"/>
        <v>30.31</v>
      </c>
      <c r="GN100">
        <f t="shared" si="125"/>
        <v>30.31</v>
      </c>
      <c r="GO100">
        <f t="shared" si="126"/>
        <v>0</v>
      </c>
      <c r="GP100">
        <f t="shared" si="127"/>
        <v>0</v>
      </c>
      <c r="GR100">
        <v>0</v>
      </c>
      <c r="GS100">
        <v>3</v>
      </c>
      <c r="GT100">
        <v>0</v>
      </c>
      <c r="GU100" t="s">
        <v>3</v>
      </c>
      <c r="GV100">
        <f t="shared" si="128"/>
        <v>0</v>
      </c>
      <c r="GW100">
        <v>1</v>
      </c>
      <c r="GX100">
        <f t="shared" si="129"/>
        <v>0</v>
      </c>
      <c r="HA100">
        <v>0</v>
      </c>
      <c r="HB100">
        <v>0</v>
      </c>
      <c r="HC100">
        <f t="shared" si="130"/>
        <v>0</v>
      </c>
      <c r="HE100" t="s">
        <v>3</v>
      </c>
      <c r="HF100" t="s">
        <v>3</v>
      </c>
      <c r="IK100">
        <v>0</v>
      </c>
    </row>
    <row r="101" spans="1:245" x14ac:dyDescent="0.2">
      <c r="A101">
        <v>17</v>
      </c>
      <c r="B101">
        <v>1</v>
      </c>
      <c r="C101">
        <f>ROW(SmtRes!A279)</f>
        <v>279</v>
      </c>
      <c r="D101">
        <f>ROW(EtalonRes!A288)</f>
        <v>288</v>
      </c>
      <c r="E101" t="s">
        <v>339</v>
      </c>
      <c r="F101" t="s">
        <v>340</v>
      </c>
      <c r="G101" t="s">
        <v>341</v>
      </c>
      <c r="H101" t="s">
        <v>90</v>
      </c>
      <c r="I101">
        <f>ROUND(14.8/100,5)</f>
        <v>0.14799999999999999</v>
      </c>
      <c r="J101">
        <v>0</v>
      </c>
      <c r="O101">
        <f t="shared" si="97"/>
        <v>923.21</v>
      </c>
      <c r="P101">
        <f t="shared" si="98"/>
        <v>7.01</v>
      </c>
      <c r="Q101">
        <f t="shared" si="99"/>
        <v>9.6999999999999993</v>
      </c>
      <c r="R101">
        <f t="shared" si="100"/>
        <v>4.88</v>
      </c>
      <c r="S101">
        <f t="shared" si="101"/>
        <v>906.5</v>
      </c>
      <c r="T101">
        <f t="shared" si="102"/>
        <v>0</v>
      </c>
      <c r="U101">
        <f t="shared" si="103"/>
        <v>2.8996973999999995</v>
      </c>
      <c r="V101">
        <f t="shared" si="104"/>
        <v>1.24875E-2</v>
      </c>
      <c r="W101">
        <f t="shared" si="105"/>
        <v>0</v>
      </c>
      <c r="X101">
        <f t="shared" si="106"/>
        <v>738.22</v>
      </c>
      <c r="Y101">
        <f t="shared" si="107"/>
        <v>656.19</v>
      </c>
      <c r="AA101">
        <v>68990560</v>
      </c>
      <c r="AB101">
        <f t="shared" si="108"/>
        <v>196.89</v>
      </c>
      <c r="AC101">
        <f t="shared" si="131"/>
        <v>9.32</v>
      </c>
      <c r="AD101">
        <f>ROUND((((((ET101*1.25)*1.35))-(((EU101*1.25)*1.35)))+AE101),2)</f>
        <v>5.55</v>
      </c>
      <c r="AE101">
        <f>ROUND((((EU101*1.25)*1.35)),2)</f>
        <v>0.98</v>
      </c>
      <c r="AF101">
        <f>ROUND((((EV101*1.15)*1.35)),2)</f>
        <v>182.02</v>
      </c>
      <c r="AG101">
        <f t="shared" si="109"/>
        <v>0</v>
      </c>
      <c r="AH101">
        <f>(((EW101*1.15)*1.35))</f>
        <v>19.592549999999999</v>
      </c>
      <c r="AI101">
        <f>(((EX101*1.25)*1.35))</f>
        <v>8.4375000000000006E-2</v>
      </c>
      <c r="AJ101">
        <f t="shared" si="110"/>
        <v>0</v>
      </c>
      <c r="AK101">
        <v>129.85</v>
      </c>
      <c r="AL101">
        <v>9.32</v>
      </c>
      <c r="AM101">
        <v>3.29</v>
      </c>
      <c r="AN101">
        <v>0.57999999999999996</v>
      </c>
      <c r="AO101">
        <v>117.24</v>
      </c>
      <c r="AP101">
        <v>0</v>
      </c>
      <c r="AQ101">
        <v>12.62</v>
      </c>
      <c r="AR101">
        <v>0.05</v>
      </c>
      <c r="AS101">
        <v>0</v>
      </c>
      <c r="AT101">
        <v>81</v>
      </c>
      <c r="AU101">
        <v>72</v>
      </c>
      <c r="AV101">
        <v>1</v>
      </c>
      <c r="AW101">
        <v>1</v>
      </c>
      <c r="AZ101">
        <v>1</v>
      </c>
      <c r="BA101">
        <v>33.65</v>
      </c>
      <c r="BB101">
        <v>11.81</v>
      </c>
      <c r="BC101">
        <v>5.08</v>
      </c>
      <c r="BD101" t="s">
        <v>3</v>
      </c>
      <c r="BE101" t="s">
        <v>3</v>
      </c>
      <c r="BF101" t="s">
        <v>3</v>
      </c>
      <c r="BG101" t="s">
        <v>3</v>
      </c>
      <c r="BH101">
        <v>0</v>
      </c>
      <c r="BI101">
        <v>1</v>
      </c>
      <c r="BJ101" t="s">
        <v>342</v>
      </c>
      <c r="BM101">
        <v>9001</v>
      </c>
      <c r="BN101">
        <v>0</v>
      </c>
      <c r="BO101" t="s">
        <v>340</v>
      </c>
      <c r="BP101">
        <v>1</v>
      </c>
      <c r="BQ101">
        <v>2</v>
      </c>
      <c r="BR101">
        <v>0</v>
      </c>
      <c r="BS101">
        <v>33.65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3</v>
      </c>
      <c r="BZ101">
        <v>90</v>
      </c>
      <c r="CA101">
        <v>85</v>
      </c>
      <c r="CE101">
        <v>0</v>
      </c>
      <c r="CF101">
        <v>0</v>
      </c>
      <c r="CG101">
        <v>0</v>
      </c>
      <c r="CM101">
        <v>0</v>
      </c>
      <c r="CN101" t="s">
        <v>1332</v>
      </c>
      <c r="CO101">
        <v>0</v>
      </c>
      <c r="CP101">
        <f t="shared" si="111"/>
        <v>923.21</v>
      </c>
      <c r="CQ101">
        <f t="shared" si="112"/>
        <v>47.345600000000005</v>
      </c>
      <c r="CR101">
        <f t="shared" si="113"/>
        <v>65.545500000000004</v>
      </c>
      <c r="CS101">
        <f t="shared" si="114"/>
        <v>32.976999999999997</v>
      </c>
      <c r="CT101">
        <f t="shared" si="115"/>
        <v>6124.973</v>
      </c>
      <c r="CU101">
        <f t="shared" si="116"/>
        <v>0</v>
      </c>
      <c r="CV101">
        <f t="shared" si="117"/>
        <v>19.592549999999999</v>
      </c>
      <c r="CW101">
        <f t="shared" si="118"/>
        <v>8.4375000000000006E-2</v>
      </c>
      <c r="CX101">
        <f t="shared" si="119"/>
        <v>0</v>
      </c>
      <c r="CY101">
        <f t="shared" si="120"/>
        <v>738.21780000000001</v>
      </c>
      <c r="CZ101">
        <f t="shared" si="121"/>
        <v>656.19360000000006</v>
      </c>
      <c r="DC101" t="s">
        <v>3</v>
      </c>
      <c r="DD101" t="s">
        <v>3</v>
      </c>
      <c r="DE101" t="s">
        <v>146</v>
      </c>
      <c r="DF101" t="s">
        <v>146</v>
      </c>
      <c r="DG101" t="s">
        <v>147</v>
      </c>
      <c r="DH101" t="s">
        <v>3</v>
      </c>
      <c r="DI101" t="s">
        <v>147</v>
      </c>
      <c r="DJ101" t="s">
        <v>146</v>
      </c>
      <c r="DK101" t="s">
        <v>3</v>
      </c>
      <c r="DL101" t="s">
        <v>3</v>
      </c>
      <c r="DM101" t="s">
        <v>3</v>
      </c>
      <c r="DN101">
        <v>0</v>
      </c>
      <c r="DO101">
        <v>0</v>
      </c>
      <c r="DP101">
        <v>1</v>
      </c>
      <c r="DQ101">
        <v>1</v>
      </c>
      <c r="DU101">
        <v>1003</v>
      </c>
      <c r="DV101" t="s">
        <v>90</v>
      </c>
      <c r="DW101" t="s">
        <v>90</v>
      </c>
      <c r="DX101">
        <v>100</v>
      </c>
      <c r="DZ101" t="s">
        <v>3</v>
      </c>
      <c r="EA101" t="s">
        <v>3</v>
      </c>
      <c r="EB101" t="s">
        <v>3</v>
      </c>
      <c r="EC101" t="s">
        <v>3</v>
      </c>
      <c r="EE101">
        <v>64095025</v>
      </c>
      <c r="EF101">
        <v>2</v>
      </c>
      <c r="EG101" t="s">
        <v>13</v>
      </c>
      <c r="EH101">
        <v>0</v>
      </c>
      <c r="EI101" t="s">
        <v>3</v>
      </c>
      <c r="EJ101">
        <v>1</v>
      </c>
      <c r="EK101">
        <v>9001</v>
      </c>
      <c r="EL101" t="s">
        <v>49</v>
      </c>
      <c r="EM101" t="s">
        <v>50</v>
      </c>
      <c r="EO101" t="s">
        <v>150</v>
      </c>
      <c r="EQ101">
        <v>0</v>
      </c>
      <c r="ER101">
        <v>129.85</v>
      </c>
      <c r="ES101">
        <v>9.32</v>
      </c>
      <c r="ET101">
        <v>3.29</v>
      </c>
      <c r="EU101">
        <v>0.57999999999999996</v>
      </c>
      <c r="EV101">
        <v>117.24</v>
      </c>
      <c r="EW101">
        <v>12.62</v>
      </c>
      <c r="EX101">
        <v>0.05</v>
      </c>
      <c r="EY101">
        <v>0</v>
      </c>
      <c r="FQ101">
        <v>0</v>
      </c>
      <c r="FR101">
        <f t="shared" si="122"/>
        <v>0</v>
      </c>
      <c r="FS101">
        <v>0</v>
      </c>
      <c r="FT101" t="s">
        <v>52</v>
      </c>
      <c r="FU101" t="s">
        <v>53</v>
      </c>
      <c r="FX101">
        <v>81</v>
      </c>
      <c r="FY101">
        <v>72.25</v>
      </c>
      <c r="GA101" t="s">
        <v>3</v>
      </c>
      <c r="GD101">
        <v>1</v>
      </c>
      <c r="GF101">
        <v>-1979498134</v>
      </c>
      <c r="GG101">
        <v>2</v>
      </c>
      <c r="GH101">
        <v>1</v>
      </c>
      <c r="GI101">
        <v>2</v>
      </c>
      <c r="GJ101">
        <v>0</v>
      </c>
      <c r="GK101">
        <v>0</v>
      </c>
      <c r="GL101">
        <f t="shared" si="123"/>
        <v>0</v>
      </c>
      <c r="GM101">
        <f t="shared" si="124"/>
        <v>2317.62</v>
      </c>
      <c r="GN101">
        <f t="shared" si="125"/>
        <v>2317.62</v>
      </c>
      <c r="GO101">
        <f t="shared" si="126"/>
        <v>0</v>
      </c>
      <c r="GP101">
        <f t="shared" si="127"/>
        <v>0</v>
      </c>
      <c r="GR101">
        <v>0</v>
      </c>
      <c r="GS101">
        <v>3</v>
      </c>
      <c r="GT101">
        <v>0</v>
      </c>
      <c r="GU101" t="s">
        <v>3</v>
      </c>
      <c r="GV101">
        <f t="shared" si="128"/>
        <v>0</v>
      </c>
      <c r="GW101">
        <v>1</v>
      </c>
      <c r="GX101">
        <f t="shared" si="129"/>
        <v>0</v>
      </c>
      <c r="HA101">
        <v>0</v>
      </c>
      <c r="HB101">
        <v>0</v>
      </c>
      <c r="HC101">
        <f t="shared" si="130"/>
        <v>0</v>
      </c>
      <c r="HE101" t="s">
        <v>3</v>
      </c>
      <c r="HF101" t="s">
        <v>3</v>
      </c>
      <c r="IK101">
        <v>0</v>
      </c>
    </row>
    <row r="102" spans="1:245" x14ac:dyDescent="0.2">
      <c r="A102">
        <v>18</v>
      </c>
      <c r="B102">
        <v>1</v>
      </c>
      <c r="C102">
        <v>279</v>
      </c>
      <c r="E102" t="s">
        <v>343</v>
      </c>
      <c r="F102" t="s">
        <v>344</v>
      </c>
      <c r="G102" t="s">
        <v>345</v>
      </c>
      <c r="H102" t="s">
        <v>71</v>
      </c>
      <c r="I102">
        <f>I101*J102</f>
        <v>3.5000000000000003E-2</v>
      </c>
      <c r="J102">
        <v>0.23648648648648651</v>
      </c>
      <c r="O102">
        <f t="shared" si="97"/>
        <v>1748.33</v>
      </c>
      <c r="P102">
        <f t="shared" si="98"/>
        <v>1748.33</v>
      </c>
      <c r="Q102">
        <f t="shared" si="99"/>
        <v>0</v>
      </c>
      <c r="R102">
        <f t="shared" si="100"/>
        <v>0</v>
      </c>
      <c r="S102">
        <f t="shared" si="101"/>
        <v>0</v>
      </c>
      <c r="T102">
        <f t="shared" si="102"/>
        <v>0</v>
      </c>
      <c r="U102">
        <f t="shared" si="103"/>
        <v>0</v>
      </c>
      <c r="V102">
        <f t="shared" si="104"/>
        <v>0</v>
      </c>
      <c r="W102">
        <f t="shared" si="105"/>
        <v>0</v>
      </c>
      <c r="X102">
        <f t="shared" si="106"/>
        <v>0</v>
      </c>
      <c r="Y102">
        <f t="shared" si="107"/>
        <v>0</v>
      </c>
      <c r="AA102">
        <v>68990560</v>
      </c>
      <c r="AB102">
        <f t="shared" si="108"/>
        <v>4097.8100000000004</v>
      </c>
      <c r="AC102">
        <f t="shared" si="131"/>
        <v>4097.8100000000004</v>
      </c>
      <c r="AD102">
        <f>ROUND((((ET102)-(EU102))+AE102),2)</f>
        <v>0</v>
      </c>
      <c r="AE102">
        <f>ROUND((EU102),2)</f>
        <v>0</v>
      </c>
      <c r="AF102">
        <f>ROUND((EV102),2)</f>
        <v>0</v>
      </c>
      <c r="AG102">
        <f t="shared" si="109"/>
        <v>0</v>
      </c>
      <c r="AH102">
        <f>(EW102)</f>
        <v>0</v>
      </c>
      <c r="AI102">
        <f>(EX102)</f>
        <v>0</v>
      </c>
      <c r="AJ102">
        <f t="shared" si="110"/>
        <v>0</v>
      </c>
      <c r="AK102">
        <v>4097.8100000000004</v>
      </c>
      <c r="AL102">
        <v>4097.8100000000004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81</v>
      </c>
      <c r="AU102">
        <v>72</v>
      </c>
      <c r="AV102">
        <v>1</v>
      </c>
      <c r="AW102">
        <v>1</v>
      </c>
      <c r="AZ102">
        <v>1</v>
      </c>
      <c r="BA102">
        <v>1</v>
      </c>
      <c r="BB102">
        <v>1</v>
      </c>
      <c r="BC102">
        <v>12.19</v>
      </c>
      <c r="BD102" t="s">
        <v>3</v>
      </c>
      <c r="BE102" t="s">
        <v>3</v>
      </c>
      <c r="BF102" t="s">
        <v>3</v>
      </c>
      <c r="BG102" t="s">
        <v>3</v>
      </c>
      <c r="BH102">
        <v>3</v>
      </c>
      <c r="BI102">
        <v>1</v>
      </c>
      <c r="BJ102" t="s">
        <v>346</v>
      </c>
      <c r="BM102">
        <v>9001</v>
      </c>
      <c r="BN102">
        <v>0</v>
      </c>
      <c r="BO102" t="s">
        <v>344</v>
      </c>
      <c r="BP102">
        <v>1</v>
      </c>
      <c r="BQ102">
        <v>2</v>
      </c>
      <c r="BR102">
        <v>0</v>
      </c>
      <c r="BS102">
        <v>1</v>
      </c>
      <c r="BT102">
        <v>1</v>
      </c>
      <c r="BU102">
        <v>1</v>
      </c>
      <c r="BV102">
        <v>1</v>
      </c>
      <c r="BW102">
        <v>1</v>
      </c>
      <c r="BX102">
        <v>1</v>
      </c>
      <c r="BY102" t="s">
        <v>3</v>
      </c>
      <c r="BZ102">
        <v>90</v>
      </c>
      <c r="CA102">
        <v>85</v>
      </c>
      <c r="CE102">
        <v>0</v>
      </c>
      <c r="CF102">
        <v>0</v>
      </c>
      <c r="CG102">
        <v>0</v>
      </c>
      <c r="CM102">
        <v>0</v>
      </c>
      <c r="CN102" t="s">
        <v>3</v>
      </c>
      <c r="CO102">
        <v>0</v>
      </c>
      <c r="CP102">
        <f t="shared" si="111"/>
        <v>1748.33</v>
      </c>
      <c r="CQ102">
        <f t="shared" si="112"/>
        <v>49952.303900000006</v>
      </c>
      <c r="CR102">
        <f t="shared" si="113"/>
        <v>0</v>
      </c>
      <c r="CS102">
        <f t="shared" si="114"/>
        <v>0</v>
      </c>
      <c r="CT102">
        <f t="shared" si="115"/>
        <v>0</v>
      </c>
      <c r="CU102">
        <f t="shared" si="116"/>
        <v>0</v>
      </c>
      <c r="CV102">
        <f t="shared" si="117"/>
        <v>0</v>
      </c>
      <c r="CW102">
        <f t="shared" si="118"/>
        <v>0</v>
      </c>
      <c r="CX102">
        <f t="shared" si="119"/>
        <v>0</v>
      </c>
      <c r="CY102">
        <f t="shared" si="120"/>
        <v>0</v>
      </c>
      <c r="CZ102">
        <f t="shared" si="121"/>
        <v>0</v>
      </c>
      <c r="DC102" t="s">
        <v>3</v>
      </c>
      <c r="DD102" t="s">
        <v>3</v>
      </c>
      <c r="DE102" t="s">
        <v>3</v>
      </c>
      <c r="DF102" t="s">
        <v>3</v>
      </c>
      <c r="DG102" t="s">
        <v>3</v>
      </c>
      <c r="DH102" t="s">
        <v>3</v>
      </c>
      <c r="DI102" t="s">
        <v>3</v>
      </c>
      <c r="DJ102" t="s">
        <v>3</v>
      </c>
      <c r="DK102" t="s">
        <v>3</v>
      </c>
      <c r="DL102" t="s">
        <v>3</v>
      </c>
      <c r="DM102" t="s">
        <v>3</v>
      </c>
      <c r="DN102">
        <v>0</v>
      </c>
      <c r="DO102">
        <v>0</v>
      </c>
      <c r="DP102">
        <v>1</v>
      </c>
      <c r="DQ102">
        <v>1</v>
      </c>
      <c r="DU102">
        <v>1009</v>
      </c>
      <c r="DV102" t="s">
        <v>71</v>
      </c>
      <c r="DW102" t="s">
        <v>71</v>
      </c>
      <c r="DX102">
        <v>1000</v>
      </c>
      <c r="DZ102" t="s">
        <v>3</v>
      </c>
      <c r="EA102" t="s">
        <v>3</v>
      </c>
      <c r="EB102" t="s">
        <v>3</v>
      </c>
      <c r="EC102" t="s">
        <v>3</v>
      </c>
      <c r="EE102">
        <v>64095025</v>
      </c>
      <c r="EF102">
        <v>2</v>
      </c>
      <c r="EG102" t="s">
        <v>13</v>
      </c>
      <c r="EH102">
        <v>0</v>
      </c>
      <c r="EI102" t="s">
        <v>3</v>
      </c>
      <c r="EJ102">
        <v>1</v>
      </c>
      <c r="EK102">
        <v>9001</v>
      </c>
      <c r="EL102" t="s">
        <v>49</v>
      </c>
      <c r="EM102" t="s">
        <v>50</v>
      </c>
      <c r="EO102" t="s">
        <v>3</v>
      </c>
      <c r="EQ102">
        <v>0</v>
      </c>
      <c r="ER102">
        <v>4097.8100000000004</v>
      </c>
      <c r="ES102">
        <v>4097.8100000000004</v>
      </c>
      <c r="ET102">
        <v>0</v>
      </c>
      <c r="EU102">
        <v>0</v>
      </c>
      <c r="EV102">
        <v>0</v>
      </c>
      <c r="EW102">
        <v>0</v>
      </c>
      <c r="EX102">
        <v>0</v>
      </c>
      <c r="FQ102">
        <v>0</v>
      </c>
      <c r="FR102">
        <f t="shared" si="122"/>
        <v>0</v>
      </c>
      <c r="FS102">
        <v>0</v>
      </c>
      <c r="FT102" t="s">
        <v>52</v>
      </c>
      <c r="FU102" t="s">
        <v>53</v>
      </c>
      <c r="FX102">
        <v>81</v>
      </c>
      <c r="FY102">
        <v>72.25</v>
      </c>
      <c r="GA102" t="s">
        <v>3</v>
      </c>
      <c r="GD102">
        <v>1</v>
      </c>
      <c r="GF102">
        <v>116446588</v>
      </c>
      <c r="GG102">
        <v>2</v>
      </c>
      <c r="GH102">
        <v>1</v>
      </c>
      <c r="GI102">
        <v>2</v>
      </c>
      <c r="GJ102">
        <v>0</v>
      </c>
      <c r="GK102">
        <v>0</v>
      </c>
      <c r="GL102">
        <f t="shared" si="123"/>
        <v>0</v>
      </c>
      <c r="GM102">
        <f t="shared" si="124"/>
        <v>1748.33</v>
      </c>
      <c r="GN102">
        <f t="shared" si="125"/>
        <v>1748.33</v>
      </c>
      <c r="GO102">
        <f t="shared" si="126"/>
        <v>0</v>
      </c>
      <c r="GP102">
        <f t="shared" si="127"/>
        <v>0</v>
      </c>
      <c r="GR102">
        <v>0</v>
      </c>
      <c r="GS102">
        <v>3</v>
      </c>
      <c r="GT102">
        <v>0</v>
      </c>
      <c r="GU102" t="s">
        <v>3</v>
      </c>
      <c r="GV102">
        <f t="shared" si="128"/>
        <v>0</v>
      </c>
      <c r="GW102">
        <v>1</v>
      </c>
      <c r="GX102">
        <f t="shared" si="129"/>
        <v>0</v>
      </c>
      <c r="HA102">
        <v>0</v>
      </c>
      <c r="HB102">
        <v>0</v>
      </c>
      <c r="HC102">
        <f t="shared" si="130"/>
        <v>0</v>
      </c>
      <c r="HE102" t="s">
        <v>3</v>
      </c>
      <c r="HF102" t="s">
        <v>3</v>
      </c>
      <c r="IK102">
        <v>0</v>
      </c>
    </row>
    <row r="103" spans="1:245" x14ac:dyDescent="0.2">
      <c r="A103">
        <v>17</v>
      </c>
      <c r="B103">
        <v>1</v>
      </c>
      <c r="C103">
        <f>ROW(SmtRes!A284)</f>
        <v>284</v>
      </c>
      <c r="D103">
        <f>ROW(EtalonRes!A293)</f>
        <v>293</v>
      </c>
      <c r="E103" t="s">
        <v>347</v>
      </c>
      <c r="F103" t="s">
        <v>132</v>
      </c>
      <c r="G103" t="s">
        <v>348</v>
      </c>
      <c r="H103" t="s">
        <v>29</v>
      </c>
      <c r="I103">
        <f>ROUND(2,5)</f>
        <v>2</v>
      </c>
      <c r="J103">
        <v>0</v>
      </c>
      <c r="O103">
        <f t="shared" si="97"/>
        <v>1211.42</v>
      </c>
      <c r="P103">
        <f t="shared" si="98"/>
        <v>25.94</v>
      </c>
      <c r="Q103">
        <f t="shared" si="99"/>
        <v>35.32</v>
      </c>
      <c r="R103">
        <f t="shared" si="100"/>
        <v>0</v>
      </c>
      <c r="S103">
        <f t="shared" si="101"/>
        <v>1150.1600000000001</v>
      </c>
      <c r="T103">
        <f t="shared" si="102"/>
        <v>0</v>
      </c>
      <c r="U103">
        <f t="shared" si="103"/>
        <v>3.4465500000000002</v>
      </c>
      <c r="V103">
        <f t="shared" si="104"/>
        <v>0</v>
      </c>
      <c r="W103">
        <f t="shared" si="105"/>
        <v>0</v>
      </c>
      <c r="X103">
        <f t="shared" si="106"/>
        <v>931.63</v>
      </c>
      <c r="Y103">
        <f t="shared" si="107"/>
        <v>828.12</v>
      </c>
      <c r="AA103">
        <v>68990560</v>
      </c>
      <c r="AB103">
        <f t="shared" si="108"/>
        <v>22.97</v>
      </c>
      <c r="AC103">
        <f t="shared" si="131"/>
        <v>2.3199999999999998</v>
      </c>
      <c r="AD103">
        <f>ROUND((((((ET103*1.25)*1.35))-(((EU103*1.25)*1.35)))+AE103),2)</f>
        <v>3.56</v>
      </c>
      <c r="AE103">
        <f>ROUND((((EU103*1.25)*1.35)),2)</f>
        <v>0</v>
      </c>
      <c r="AF103">
        <f>ROUND((((EV103*1.15)*1.35)),2)</f>
        <v>17.09</v>
      </c>
      <c r="AG103">
        <f t="shared" si="109"/>
        <v>0</v>
      </c>
      <c r="AH103">
        <f>(((EW103*1.15)*1.35))</f>
        <v>1.7232750000000001</v>
      </c>
      <c r="AI103">
        <f>(((EX103*1.25)*1.35))</f>
        <v>0</v>
      </c>
      <c r="AJ103">
        <f t="shared" si="110"/>
        <v>0</v>
      </c>
      <c r="AK103">
        <v>15.44</v>
      </c>
      <c r="AL103">
        <v>2.3199999999999998</v>
      </c>
      <c r="AM103">
        <v>2.11</v>
      </c>
      <c r="AN103">
        <v>0</v>
      </c>
      <c r="AO103">
        <v>11.01</v>
      </c>
      <c r="AP103">
        <v>0</v>
      </c>
      <c r="AQ103">
        <v>1.1100000000000001</v>
      </c>
      <c r="AR103">
        <v>0</v>
      </c>
      <c r="AS103">
        <v>0</v>
      </c>
      <c r="AT103">
        <v>81</v>
      </c>
      <c r="AU103">
        <v>72</v>
      </c>
      <c r="AV103">
        <v>1</v>
      </c>
      <c r="AW103">
        <v>1</v>
      </c>
      <c r="AZ103">
        <v>1</v>
      </c>
      <c r="BA103">
        <v>33.65</v>
      </c>
      <c r="BB103">
        <v>4.96</v>
      </c>
      <c r="BC103">
        <v>5.59</v>
      </c>
      <c r="BD103" t="s">
        <v>3</v>
      </c>
      <c r="BE103" t="s">
        <v>3</v>
      </c>
      <c r="BF103" t="s">
        <v>3</v>
      </c>
      <c r="BG103" t="s">
        <v>3</v>
      </c>
      <c r="BH103">
        <v>0</v>
      </c>
      <c r="BI103">
        <v>1</v>
      </c>
      <c r="BJ103" t="s">
        <v>134</v>
      </c>
      <c r="BM103">
        <v>9001</v>
      </c>
      <c r="BN103">
        <v>0</v>
      </c>
      <c r="BO103" t="s">
        <v>132</v>
      </c>
      <c r="BP103">
        <v>1</v>
      </c>
      <c r="BQ103">
        <v>2</v>
      </c>
      <c r="BR103">
        <v>0</v>
      </c>
      <c r="BS103">
        <v>33.65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3</v>
      </c>
      <c r="BZ103">
        <v>90</v>
      </c>
      <c r="CA103">
        <v>85</v>
      </c>
      <c r="CE103">
        <v>0</v>
      </c>
      <c r="CF103">
        <v>0</v>
      </c>
      <c r="CG103">
        <v>0</v>
      </c>
      <c r="CM103">
        <v>0</v>
      </c>
      <c r="CN103" t="s">
        <v>1332</v>
      </c>
      <c r="CO103">
        <v>0</v>
      </c>
      <c r="CP103">
        <f t="shared" si="111"/>
        <v>1211.42</v>
      </c>
      <c r="CQ103">
        <f t="shared" si="112"/>
        <v>12.968799999999998</v>
      </c>
      <c r="CR103">
        <f t="shared" si="113"/>
        <v>17.657599999999999</v>
      </c>
      <c r="CS103">
        <f t="shared" si="114"/>
        <v>0</v>
      </c>
      <c r="CT103">
        <f t="shared" si="115"/>
        <v>575.07849999999996</v>
      </c>
      <c r="CU103">
        <f t="shared" si="116"/>
        <v>0</v>
      </c>
      <c r="CV103">
        <f t="shared" si="117"/>
        <v>1.7232750000000001</v>
      </c>
      <c r="CW103">
        <f t="shared" si="118"/>
        <v>0</v>
      </c>
      <c r="CX103">
        <f t="shared" si="119"/>
        <v>0</v>
      </c>
      <c r="CY103">
        <f t="shared" si="120"/>
        <v>931.6296000000001</v>
      </c>
      <c r="CZ103">
        <f t="shared" si="121"/>
        <v>828.11520000000007</v>
      </c>
      <c r="DC103" t="s">
        <v>3</v>
      </c>
      <c r="DD103" t="s">
        <v>3</v>
      </c>
      <c r="DE103" t="s">
        <v>146</v>
      </c>
      <c r="DF103" t="s">
        <v>146</v>
      </c>
      <c r="DG103" t="s">
        <v>147</v>
      </c>
      <c r="DH103" t="s">
        <v>3</v>
      </c>
      <c r="DI103" t="s">
        <v>147</v>
      </c>
      <c r="DJ103" t="s">
        <v>146</v>
      </c>
      <c r="DK103" t="s">
        <v>3</v>
      </c>
      <c r="DL103" t="s">
        <v>3</v>
      </c>
      <c r="DM103" t="s">
        <v>3</v>
      </c>
      <c r="DN103">
        <v>0</v>
      </c>
      <c r="DO103">
        <v>0</v>
      </c>
      <c r="DP103">
        <v>1</v>
      </c>
      <c r="DQ103">
        <v>1</v>
      </c>
      <c r="DU103">
        <v>1013</v>
      </c>
      <c r="DV103" t="s">
        <v>29</v>
      </c>
      <c r="DW103" t="s">
        <v>29</v>
      </c>
      <c r="DX103">
        <v>1</v>
      </c>
      <c r="DZ103" t="s">
        <v>3</v>
      </c>
      <c r="EA103" t="s">
        <v>3</v>
      </c>
      <c r="EB103" t="s">
        <v>3</v>
      </c>
      <c r="EC103" t="s">
        <v>3</v>
      </c>
      <c r="EE103">
        <v>64095025</v>
      </c>
      <c r="EF103">
        <v>2</v>
      </c>
      <c r="EG103" t="s">
        <v>13</v>
      </c>
      <c r="EH103">
        <v>0</v>
      </c>
      <c r="EI103" t="s">
        <v>3</v>
      </c>
      <c r="EJ103">
        <v>1</v>
      </c>
      <c r="EK103">
        <v>9001</v>
      </c>
      <c r="EL103" t="s">
        <v>49</v>
      </c>
      <c r="EM103" t="s">
        <v>50</v>
      </c>
      <c r="EO103" t="s">
        <v>150</v>
      </c>
      <c r="EQ103">
        <v>0</v>
      </c>
      <c r="ER103">
        <v>15.44</v>
      </c>
      <c r="ES103">
        <v>2.3199999999999998</v>
      </c>
      <c r="ET103">
        <v>2.11</v>
      </c>
      <c r="EU103">
        <v>0</v>
      </c>
      <c r="EV103">
        <v>11.01</v>
      </c>
      <c r="EW103">
        <v>1.1100000000000001</v>
      </c>
      <c r="EX103">
        <v>0</v>
      </c>
      <c r="EY103">
        <v>0</v>
      </c>
      <c r="FQ103">
        <v>0</v>
      </c>
      <c r="FR103">
        <f t="shared" si="122"/>
        <v>0</v>
      </c>
      <c r="FS103">
        <v>0</v>
      </c>
      <c r="FT103" t="s">
        <v>52</v>
      </c>
      <c r="FU103" t="s">
        <v>53</v>
      </c>
      <c r="FX103">
        <v>81</v>
      </c>
      <c r="FY103">
        <v>72.25</v>
      </c>
      <c r="GA103" t="s">
        <v>3</v>
      </c>
      <c r="GD103">
        <v>1</v>
      </c>
      <c r="GF103">
        <v>-571691857</v>
      </c>
      <c r="GG103">
        <v>2</v>
      </c>
      <c r="GH103">
        <v>1</v>
      </c>
      <c r="GI103">
        <v>2</v>
      </c>
      <c r="GJ103">
        <v>0</v>
      </c>
      <c r="GK103">
        <v>0</v>
      </c>
      <c r="GL103">
        <f t="shared" si="123"/>
        <v>0</v>
      </c>
      <c r="GM103">
        <f t="shared" si="124"/>
        <v>2971.17</v>
      </c>
      <c r="GN103">
        <f t="shared" si="125"/>
        <v>2971.17</v>
      </c>
      <c r="GO103">
        <f t="shared" si="126"/>
        <v>0</v>
      </c>
      <c r="GP103">
        <f t="shared" si="127"/>
        <v>0</v>
      </c>
      <c r="GR103">
        <v>0</v>
      </c>
      <c r="GS103">
        <v>3</v>
      </c>
      <c r="GT103">
        <v>0</v>
      </c>
      <c r="GU103" t="s">
        <v>3</v>
      </c>
      <c r="GV103">
        <f t="shared" si="128"/>
        <v>0</v>
      </c>
      <c r="GW103">
        <v>1</v>
      </c>
      <c r="GX103">
        <f t="shared" si="129"/>
        <v>0</v>
      </c>
      <c r="HA103">
        <v>0</v>
      </c>
      <c r="HB103">
        <v>0</v>
      </c>
      <c r="HC103">
        <f t="shared" si="130"/>
        <v>0</v>
      </c>
      <c r="HE103" t="s">
        <v>3</v>
      </c>
      <c r="HF103" t="s">
        <v>3</v>
      </c>
      <c r="IK103">
        <v>0</v>
      </c>
    </row>
    <row r="104" spans="1:245" x14ac:dyDescent="0.2">
      <c r="A104">
        <v>18</v>
      </c>
      <c r="B104">
        <v>1</v>
      </c>
      <c r="C104">
        <v>282</v>
      </c>
      <c r="E104" t="s">
        <v>349</v>
      </c>
      <c r="F104" t="s">
        <v>350</v>
      </c>
      <c r="G104" t="s">
        <v>351</v>
      </c>
      <c r="H104" t="s">
        <v>29</v>
      </c>
      <c r="I104">
        <f>I103*J104</f>
        <v>2</v>
      </c>
      <c r="J104">
        <v>1</v>
      </c>
      <c r="O104">
        <f t="shared" si="97"/>
        <v>4187.1400000000003</v>
      </c>
      <c r="P104">
        <f t="shared" si="98"/>
        <v>4187.1400000000003</v>
      </c>
      <c r="Q104">
        <f t="shared" si="99"/>
        <v>0</v>
      </c>
      <c r="R104">
        <f t="shared" si="100"/>
        <v>0</v>
      </c>
      <c r="S104">
        <f t="shared" si="101"/>
        <v>0</v>
      </c>
      <c r="T104">
        <f t="shared" si="102"/>
        <v>0</v>
      </c>
      <c r="U104">
        <f t="shared" si="103"/>
        <v>0</v>
      </c>
      <c r="V104">
        <f t="shared" si="104"/>
        <v>0</v>
      </c>
      <c r="W104">
        <f t="shared" si="105"/>
        <v>0</v>
      </c>
      <c r="X104">
        <f t="shared" si="106"/>
        <v>0</v>
      </c>
      <c r="Y104">
        <f t="shared" si="107"/>
        <v>0</v>
      </c>
      <c r="AA104">
        <v>68990560</v>
      </c>
      <c r="AB104">
        <f t="shared" si="108"/>
        <v>371.2</v>
      </c>
      <c r="AC104">
        <f t="shared" si="131"/>
        <v>371.2</v>
      </c>
      <c r="AD104">
        <f>ROUND((((ET104)-(EU104))+AE104),2)</f>
        <v>0</v>
      </c>
      <c r="AE104">
        <f>ROUND((EU104),2)</f>
        <v>0</v>
      </c>
      <c r="AF104">
        <f>ROUND((EV104),2)</f>
        <v>0</v>
      </c>
      <c r="AG104">
        <f t="shared" si="109"/>
        <v>0</v>
      </c>
      <c r="AH104">
        <f>(EW104)</f>
        <v>0</v>
      </c>
      <c r="AI104">
        <f>(EX104)</f>
        <v>0</v>
      </c>
      <c r="AJ104">
        <f t="shared" si="110"/>
        <v>0</v>
      </c>
      <c r="AK104">
        <v>371.2</v>
      </c>
      <c r="AL104">
        <v>371.2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81</v>
      </c>
      <c r="AU104">
        <v>72</v>
      </c>
      <c r="AV104">
        <v>1</v>
      </c>
      <c r="AW104">
        <v>1</v>
      </c>
      <c r="AZ104">
        <v>1</v>
      </c>
      <c r="BA104">
        <v>1</v>
      </c>
      <c r="BB104">
        <v>1</v>
      </c>
      <c r="BC104">
        <v>5.64</v>
      </c>
      <c r="BD104" t="s">
        <v>3</v>
      </c>
      <c r="BE104" t="s">
        <v>3</v>
      </c>
      <c r="BF104" t="s">
        <v>3</v>
      </c>
      <c r="BG104" t="s">
        <v>3</v>
      </c>
      <c r="BH104">
        <v>3</v>
      </c>
      <c r="BI104">
        <v>1</v>
      </c>
      <c r="BJ104" t="s">
        <v>352</v>
      </c>
      <c r="BM104">
        <v>9001</v>
      </c>
      <c r="BN104">
        <v>0</v>
      </c>
      <c r="BO104" t="s">
        <v>350</v>
      </c>
      <c r="BP104">
        <v>1</v>
      </c>
      <c r="BQ104">
        <v>2</v>
      </c>
      <c r="BR104">
        <v>0</v>
      </c>
      <c r="BS104">
        <v>1</v>
      </c>
      <c r="BT104">
        <v>1</v>
      </c>
      <c r="BU104">
        <v>1</v>
      </c>
      <c r="BV104">
        <v>1</v>
      </c>
      <c r="BW104">
        <v>1</v>
      </c>
      <c r="BX104">
        <v>1</v>
      </c>
      <c r="BY104" t="s">
        <v>3</v>
      </c>
      <c r="BZ104">
        <v>90</v>
      </c>
      <c r="CA104">
        <v>85</v>
      </c>
      <c r="CE104">
        <v>0</v>
      </c>
      <c r="CF104">
        <v>0</v>
      </c>
      <c r="CG104">
        <v>0</v>
      </c>
      <c r="CM104">
        <v>0</v>
      </c>
      <c r="CN104" t="s">
        <v>3</v>
      </c>
      <c r="CO104">
        <v>0</v>
      </c>
      <c r="CP104">
        <f t="shared" si="111"/>
        <v>4187.1400000000003</v>
      </c>
      <c r="CQ104">
        <f t="shared" si="112"/>
        <v>2093.5679999999998</v>
      </c>
      <c r="CR104">
        <f t="shared" si="113"/>
        <v>0</v>
      </c>
      <c r="CS104">
        <f t="shared" si="114"/>
        <v>0</v>
      </c>
      <c r="CT104">
        <f t="shared" si="115"/>
        <v>0</v>
      </c>
      <c r="CU104">
        <f t="shared" si="116"/>
        <v>0</v>
      </c>
      <c r="CV104">
        <f t="shared" si="117"/>
        <v>0</v>
      </c>
      <c r="CW104">
        <f t="shared" si="118"/>
        <v>0</v>
      </c>
      <c r="CX104">
        <f t="shared" si="119"/>
        <v>0</v>
      </c>
      <c r="CY104">
        <f t="shared" si="120"/>
        <v>0</v>
      </c>
      <c r="CZ104">
        <f t="shared" si="121"/>
        <v>0</v>
      </c>
      <c r="DC104" t="s">
        <v>3</v>
      </c>
      <c r="DD104" t="s">
        <v>3</v>
      </c>
      <c r="DE104" t="s">
        <v>3</v>
      </c>
      <c r="DF104" t="s">
        <v>3</v>
      </c>
      <c r="DG104" t="s">
        <v>3</v>
      </c>
      <c r="DH104" t="s">
        <v>3</v>
      </c>
      <c r="DI104" t="s">
        <v>3</v>
      </c>
      <c r="DJ104" t="s">
        <v>3</v>
      </c>
      <c r="DK104" t="s">
        <v>3</v>
      </c>
      <c r="DL104" t="s">
        <v>3</v>
      </c>
      <c r="DM104" t="s">
        <v>3</v>
      </c>
      <c r="DN104">
        <v>0</v>
      </c>
      <c r="DO104">
        <v>0</v>
      </c>
      <c r="DP104">
        <v>1</v>
      </c>
      <c r="DQ104">
        <v>1</v>
      </c>
      <c r="DU104">
        <v>1013</v>
      </c>
      <c r="DV104" t="s">
        <v>29</v>
      </c>
      <c r="DW104" t="s">
        <v>29</v>
      </c>
      <c r="DX104">
        <v>1</v>
      </c>
      <c r="DZ104" t="s">
        <v>3</v>
      </c>
      <c r="EA104" t="s">
        <v>3</v>
      </c>
      <c r="EB104" t="s">
        <v>3</v>
      </c>
      <c r="EC104" t="s">
        <v>3</v>
      </c>
      <c r="EE104">
        <v>64095025</v>
      </c>
      <c r="EF104">
        <v>2</v>
      </c>
      <c r="EG104" t="s">
        <v>13</v>
      </c>
      <c r="EH104">
        <v>0</v>
      </c>
      <c r="EI104" t="s">
        <v>3</v>
      </c>
      <c r="EJ104">
        <v>1</v>
      </c>
      <c r="EK104">
        <v>9001</v>
      </c>
      <c r="EL104" t="s">
        <v>49</v>
      </c>
      <c r="EM104" t="s">
        <v>50</v>
      </c>
      <c r="EO104" t="s">
        <v>3</v>
      </c>
      <c r="EQ104">
        <v>0</v>
      </c>
      <c r="ER104">
        <v>371.2</v>
      </c>
      <c r="ES104">
        <v>371.2</v>
      </c>
      <c r="ET104">
        <v>0</v>
      </c>
      <c r="EU104">
        <v>0</v>
      </c>
      <c r="EV104">
        <v>0</v>
      </c>
      <c r="EW104">
        <v>0</v>
      </c>
      <c r="EX104">
        <v>0</v>
      </c>
      <c r="FQ104">
        <v>0</v>
      </c>
      <c r="FR104">
        <f t="shared" si="122"/>
        <v>0</v>
      </c>
      <c r="FS104">
        <v>0</v>
      </c>
      <c r="FT104" t="s">
        <v>52</v>
      </c>
      <c r="FU104" t="s">
        <v>53</v>
      </c>
      <c r="FX104">
        <v>81</v>
      </c>
      <c r="FY104">
        <v>72.25</v>
      </c>
      <c r="GA104" t="s">
        <v>3</v>
      </c>
      <c r="GD104">
        <v>1</v>
      </c>
      <c r="GF104">
        <v>683325414</v>
      </c>
      <c r="GG104">
        <v>2</v>
      </c>
      <c r="GH104">
        <v>1</v>
      </c>
      <c r="GI104">
        <v>2</v>
      </c>
      <c r="GJ104">
        <v>0</v>
      </c>
      <c r="GK104">
        <v>0</v>
      </c>
      <c r="GL104">
        <f t="shared" si="123"/>
        <v>0</v>
      </c>
      <c r="GM104">
        <f t="shared" si="124"/>
        <v>4187.1400000000003</v>
      </c>
      <c r="GN104">
        <f t="shared" si="125"/>
        <v>4187.1400000000003</v>
      </c>
      <c r="GO104">
        <f t="shared" si="126"/>
        <v>0</v>
      </c>
      <c r="GP104">
        <f t="shared" si="127"/>
        <v>0</v>
      </c>
      <c r="GR104">
        <v>0</v>
      </c>
      <c r="GS104">
        <v>3</v>
      </c>
      <c r="GT104">
        <v>0</v>
      </c>
      <c r="GU104" t="s">
        <v>3</v>
      </c>
      <c r="GV104">
        <f t="shared" si="128"/>
        <v>0</v>
      </c>
      <c r="GW104">
        <v>1</v>
      </c>
      <c r="GX104">
        <f t="shared" si="129"/>
        <v>0</v>
      </c>
      <c r="HA104">
        <v>0</v>
      </c>
      <c r="HB104">
        <v>0</v>
      </c>
      <c r="HC104">
        <f t="shared" si="130"/>
        <v>0</v>
      </c>
      <c r="HE104" t="s">
        <v>3</v>
      </c>
      <c r="HF104" t="s">
        <v>3</v>
      </c>
      <c r="IK104">
        <v>0</v>
      </c>
    </row>
    <row r="105" spans="1:245" x14ac:dyDescent="0.2">
      <c r="A105">
        <v>17</v>
      </c>
      <c r="B105">
        <v>1</v>
      </c>
      <c r="C105">
        <f>ROW(SmtRes!A285)</f>
        <v>285</v>
      </c>
      <c r="D105">
        <f>ROW(EtalonRes!A296)</f>
        <v>296</v>
      </c>
      <c r="E105" t="s">
        <v>353</v>
      </c>
      <c r="F105" t="s">
        <v>354</v>
      </c>
      <c r="G105" t="s">
        <v>355</v>
      </c>
      <c r="H105" t="s">
        <v>356</v>
      </c>
      <c r="I105">
        <f>ROUND(2/100,5)</f>
        <v>0.02</v>
      </c>
      <c r="J105">
        <v>0</v>
      </c>
      <c r="O105">
        <f t="shared" si="97"/>
        <v>33.01</v>
      </c>
      <c r="P105">
        <f t="shared" si="98"/>
        <v>0</v>
      </c>
      <c r="Q105">
        <f t="shared" si="99"/>
        <v>0</v>
      </c>
      <c r="R105">
        <f t="shared" si="100"/>
        <v>0</v>
      </c>
      <c r="S105">
        <f t="shared" si="101"/>
        <v>33.01</v>
      </c>
      <c r="T105">
        <f t="shared" si="102"/>
        <v>0</v>
      </c>
      <c r="U105">
        <f t="shared" si="103"/>
        <v>0.115</v>
      </c>
      <c r="V105">
        <f t="shared" si="104"/>
        <v>0</v>
      </c>
      <c r="W105">
        <f t="shared" si="105"/>
        <v>0</v>
      </c>
      <c r="X105">
        <f t="shared" si="106"/>
        <v>32.68</v>
      </c>
      <c r="Y105">
        <f t="shared" si="107"/>
        <v>19.809999999999999</v>
      </c>
      <c r="AA105">
        <v>68990560</v>
      </c>
      <c r="AB105">
        <f t="shared" si="108"/>
        <v>49.05</v>
      </c>
      <c r="AC105">
        <f t="shared" si="131"/>
        <v>0</v>
      </c>
      <c r="AD105">
        <f>ROUND(((((ET105*1.15))-((EU105*1.15)))+AE105),2)</f>
        <v>0</v>
      </c>
      <c r="AE105">
        <f>ROUND(((EU105*1.15)),2)</f>
        <v>0</v>
      </c>
      <c r="AF105">
        <f>ROUND(((EV105*1.15)),2)</f>
        <v>49.05</v>
      </c>
      <c r="AG105">
        <f t="shared" si="109"/>
        <v>0</v>
      </c>
      <c r="AH105">
        <f>((EW105*1.15))</f>
        <v>5.75</v>
      </c>
      <c r="AI105">
        <f>((EX105*1.15))</f>
        <v>0</v>
      </c>
      <c r="AJ105">
        <f t="shared" si="110"/>
        <v>0</v>
      </c>
      <c r="AK105">
        <v>42.65</v>
      </c>
      <c r="AL105">
        <v>0</v>
      </c>
      <c r="AM105">
        <v>0</v>
      </c>
      <c r="AN105">
        <v>0</v>
      </c>
      <c r="AO105">
        <v>42.65</v>
      </c>
      <c r="AP105">
        <v>0</v>
      </c>
      <c r="AQ105">
        <v>5</v>
      </c>
      <c r="AR105">
        <v>0</v>
      </c>
      <c r="AS105">
        <v>0</v>
      </c>
      <c r="AT105">
        <v>99</v>
      </c>
      <c r="AU105">
        <v>60</v>
      </c>
      <c r="AV105">
        <v>1</v>
      </c>
      <c r="AW105">
        <v>1</v>
      </c>
      <c r="AZ105">
        <v>1</v>
      </c>
      <c r="BA105">
        <v>33.65</v>
      </c>
      <c r="BB105">
        <v>1</v>
      </c>
      <c r="BC105">
        <v>1</v>
      </c>
      <c r="BD105" t="s">
        <v>3</v>
      </c>
      <c r="BE105" t="s">
        <v>3</v>
      </c>
      <c r="BF105" t="s">
        <v>3</v>
      </c>
      <c r="BG105" t="s">
        <v>3</v>
      </c>
      <c r="BH105">
        <v>0</v>
      </c>
      <c r="BI105">
        <v>1</v>
      </c>
      <c r="BJ105" t="s">
        <v>357</v>
      </c>
      <c r="BM105">
        <v>46001</v>
      </c>
      <c r="BN105">
        <v>0</v>
      </c>
      <c r="BO105" t="s">
        <v>354</v>
      </c>
      <c r="BP105">
        <v>1</v>
      </c>
      <c r="BQ105">
        <v>2</v>
      </c>
      <c r="BR105">
        <v>0</v>
      </c>
      <c r="BS105">
        <v>33.65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3</v>
      </c>
      <c r="BZ105">
        <v>110</v>
      </c>
      <c r="CA105">
        <v>70</v>
      </c>
      <c r="CE105">
        <v>0</v>
      </c>
      <c r="CF105">
        <v>0</v>
      </c>
      <c r="CG105">
        <v>0</v>
      </c>
      <c r="CM105">
        <v>0</v>
      </c>
      <c r="CN105" t="s">
        <v>1329</v>
      </c>
      <c r="CO105">
        <v>0</v>
      </c>
      <c r="CP105">
        <f t="shared" si="111"/>
        <v>33.01</v>
      </c>
      <c r="CQ105">
        <f t="shared" si="112"/>
        <v>0</v>
      </c>
      <c r="CR105">
        <f t="shared" si="113"/>
        <v>0</v>
      </c>
      <c r="CS105">
        <f t="shared" si="114"/>
        <v>0</v>
      </c>
      <c r="CT105">
        <f t="shared" si="115"/>
        <v>1650.5324999999998</v>
      </c>
      <c r="CU105">
        <f t="shared" si="116"/>
        <v>0</v>
      </c>
      <c r="CV105">
        <f t="shared" si="117"/>
        <v>5.75</v>
      </c>
      <c r="CW105">
        <f t="shared" si="118"/>
        <v>0</v>
      </c>
      <c r="CX105">
        <f t="shared" si="119"/>
        <v>0</v>
      </c>
      <c r="CY105">
        <f t="shared" si="120"/>
        <v>32.679899999999996</v>
      </c>
      <c r="CZ105">
        <f t="shared" si="121"/>
        <v>19.805999999999997</v>
      </c>
      <c r="DC105" t="s">
        <v>3</v>
      </c>
      <c r="DD105" t="s">
        <v>3</v>
      </c>
      <c r="DE105" t="s">
        <v>38</v>
      </c>
      <c r="DF105" t="s">
        <v>38</v>
      </c>
      <c r="DG105" t="s">
        <v>38</v>
      </c>
      <c r="DH105" t="s">
        <v>3</v>
      </c>
      <c r="DI105" t="s">
        <v>38</v>
      </c>
      <c r="DJ105" t="s">
        <v>38</v>
      </c>
      <c r="DK105" t="s">
        <v>3</v>
      </c>
      <c r="DL105" t="s">
        <v>3</v>
      </c>
      <c r="DM105" t="s">
        <v>3</v>
      </c>
      <c r="DN105">
        <v>0</v>
      </c>
      <c r="DO105">
        <v>0</v>
      </c>
      <c r="DP105">
        <v>1</v>
      </c>
      <c r="DQ105">
        <v>1</v>
      </c>
      <c r="DU105">
        <v>1013</v>
      </c>
      <c r="DV105" t="s">
        <v>356</v>
      </c>
      <c r="DW105" t="s">
        <v>356</v>
      </c>
      <c r="DX105">
        <v>1</v>
      </c>
      <c r="DZ105" t="s">
        <v>3</v>
      </c>
      <c r="EA105" t="s">
        <v>3</v>
      </c>
      <c r="EB105" t="s">
        <v>3</v>
      </c>
      <c r="EC105" t="s">
        <v>3</v>
      </c>
      <c r="EE105">
        <v>64095094</v>
      </c>
      <c r="EF105">
        <v>2</v>
      </c>
      <c r="EG105" t="s">
        <v>13</v>
      </c>
      <c r="EH105">
        <v>0</v>
      </c>
      <c r="EI105" t="s">
        <v>3</v>
      </c>
      <c r="EJ105">
        <v>1</v>
      </c>
      <c r="EK105">
        <v>46001</v>
      </c>
      <c r="EL105" t="s">
        <v>62</v>
      </c>
      <c r="EM105" t="s">
        <v>63</v>
      </c>
      <c r="EO105" t="s">
        <v>42</v>
      </c>
      <c r="EQ105">
        <v>0</v>
      </c>
      <c r="ER105">
        <v>42.65</v>
      </c>
      <c r="ES105">
        <v>0</v>
      </c>
      <c r="ET105">
        <v>0</v>
      </c>
      <c r="EU105">
        <v>0</v>
      </c>
      <c r="EV105">
        <v>42.65</v>
      </c>
      <c r="EW105">
        <v>5</v>
      </c>
      <c r="EX105">
        <v>0</v>
      </c>
      <c r="EY105">
        <v>0</v>
      </c>
      <c r="FQ105">
        <v>0</v>
      </c>
      <c r="FR105">
        <f t="shared" si="122"/>
        <v>0</v>
      </c>
      <c r="FS105">
        <v>0</v>
      </c>
      <c r="FT105" t="s">
        <v>52</v>
      </c>
      <c r="FU105" t="s">
        <v>53</v>
      </c>
      <c r="FX105">
        <v>99</v>
      </c>
      <c r="FY105">
        <v>59.5</v>
      </c>
      <c r="GA105" t="s">
        <v>3</v>
      </c>
      <c r="GD105">
        <v>1</v>
      </c>
      <c r="GF105">
        <v>-1163834933</v>
      </c>
      <c r="GG105">
        <v>2</v>
      </c>
      <c r="GH105">
        <v>1</v>
      </c>
      <c r="GI105">
        <v>2</v>
      </c>
      <c r="GJ105">
        <v>0</v>
      </c>
      <c r="GK105">
        <v>0</v>
      </c>
      <c r="GL105">
        <f t="shared" si="123"/>
        <v>0</v>
      </c>
      <c r="GM105">
        <f t="shared" si="124"/>
        <v>85.5</v>
      </c>
      <c r="GN105">
        <f t="shared" si="125"/>
        <v>85.5</v>
      </c>
      <c r="GO105">
        <f t="shared" si="126"/>
        <v>0</v>
      </c>
      <c r="GP105">
        <f t="shared" si="127"/>
        <v>0</v>
      </c>
      <c r="GR105">
        <v>0</v>
      </c>
      <c r="GS105">
        <v>3</v>
      </c>
      <c r="GT105">
        <v>0</v>
      </c>
      <c r="GU105" t="s">
        <v>3</v>
      </c>
      <c r="GV105">
        <f t="shared" si="128"/>
        <v>0</v>
      </c>
      <c r="GW105">
        <v>1</v>
      </c>
      <c r="GX105">
        <f t="shared" si="129"/>
        <v>0</v>
      </c>
      <c r="HA105">
        <v>0</v>
      </c>
      <c r="HB105">
        <v>0</v>
      </c>
      <c r="HC105">
        <f t="shared" si="130"/>
        <v>0</v>
      </c>
      <c r="HE105" t="s">
        <v>3</v>
      </c>
      <c r="HF105" t="s">
        <v>3</v>
      </c>
      <c r="IK105">
        <v>0</v>
      </c>
    </row>
    <row r="106" spans="1:245" x14ac:dyDescent="0.2">
      <c r="A106">
        <v>17</v>
      </c>
      <c r="B106">
        <v>1</v>
      </c>
      <c r="C106">
        <f>ROW(SmtRes!A289)</f>
        <v>289</v>
      </c>
      <c r="D106">
        <f>ROW(EtalonRes!A300)</f>
        <v>300</v>
      </c>
      <c r="E106" t="s">
        <v>358</v>
      </c>
      <c r="F106" t="s">
        <v>359</v>
      </c>
      <c r="G106" t="s">
        <v>360</v>
      </c>
      <c r="H106" t="s">
        <v>18</v>
      </c>
      <c r="I106">
        <f>ROUND(2/100,5)</f>
        <v>0.02</v>
      </c>
      <c r="J106">
        <v>0</v>
      </c>
      <c r="O106">
        <f t="shared" si="97"/>
        <v>113.5</v>
      </c>
      <c r="P106">
        <f t="shared" si="98"/>
        <v>0</v>
      </c>
      <c r="Q106">
        <f t="shared" si="99"/>
        <v>0.73</v>
      </c>
      <c r="R106">
        <f t="shared" si="100"/>
        <v>0.36</v>
      </c>
      <c r="S106">
        <f t="shared" si="101"/>
        <v>112.77</v>
      </c>
      <c r="T106">
        <f t="shared" si="102"/>
        <v>0</v>
      </c>
      <c r="U106">
        <f t="shared" si="103"/>
        <v>0.36949500000000002</v>
      </c>
      <c r="V106">
        <f t="shared" si="104"/>
        <v>1.0125000000000002E-3</v>
      </c>
      <c r="W106">
        <f t="shared" si="105"/>
        <v>0</v>
      </c>
      <c r="X106">
        <f t="shared" si="106"/>
        <v>91.64</v>
      </c>
      <c r="Y106">
        <f t="shared" si="107"/>
        <v>81.45</v>
      </c>
      <c r="AA106">
        <v>68990560</v>
      </c>
      <c r="AB106">
        <f t="shared" si="108"/>
        <v>170.67</v>
      </c>
      <c r="AC106">
        <f t="shared" si="131"/>
        <v>0</v>
      </c>
      <c r="AD106">
        <f>ROUND((((((ET106*1.25)*1.35))-(((EU106*1.25)*1.35)))+AE106),2)</f>
        <v>3.11</v>
      </c>
      <c r="AE106">
        <f>ROUND((((EU106*1.25)*1.35)),2)</f>
        <v>0.54</v>
      </c>
      <c r="AF106">
        <f>ROUND((((EV106*1.15)*1.35)),2)</f>
        <v>167.56</v>
      </c>
      <c r="AG106">
        <f t="shared" si="109"/>
        <v>0</v>
      </c>
      <c r="AH106">
        <f>(((EW106*1.15)*1.35))</f>
        <v>18.47475</v>
      </c>
      <c r="AI106">
        <f>(((EX106*1.25)*1.35))</f>
        <v>5.0625000000000003E-2</v>
      </c>
      <c r="AJ106">
        <f t="shared" si="110"/>
        <v>0</v>
      </c>
      <c r="AK106">
        <v>109.77</v>
      </c>
      <c r="AL106">
        <v>0</v>
      </c>
      <c r="AM106">
        <v>1.84</v>
      </c>
      <c r="AN106">
        <v>0.32</v>
      </c>
      <c r="AO106">
        <v>107.93</v>
      </c>
      <c r="AP106">
        <v>0</v>
      </c>
      <c r="AQ106">
        <v>11.9</v>
      </c>
      <c r="AR106">
        <v>0.03</v>
      </c>
      <c r="AS106">
        <v>0</v>
      </c>
      <c r="AT106">
        <v>81</v>
      </c>
      <c r="AU106">
        <v>72</v>
      </c>
      <c r="AV106">
        <v>1</v>
      </c>
      <c r="AW106">
        <v>1</v>
      </c>
      <c r="AZ106">
        <v>1</v>
      </c>
      <c r="BA106">
        <v>33.65</v>
      </c>
      <c r="BB106">
        <v>11.81</v>
      </c>
      <c r="BC106">
        <v>1</v>
      </c>
      <c r="BD106" t="s">
        <v>3</v>
      </c>
      <c r="BE106" t="s">
        <v>3</v>
      </c>
      <c r="BF106" t="s">
        <v>3</v>
      </c>
      <c r="BG106" t="s">
        <v>3</v>
      </c>
      <c r="BH106">
        <v>0</v>
      </c>
      <c r="BI106">
        <v>1</v>
      </c>
      <c r="BJ106" t="s">
        <v>361</v>
      </c>
      <c r="BM106">
        <v>9001</v>
      </c>
      <c r="BN106">
        <v>0</v>
      </c>
      <c r="BO106" t="s">
        <v>359</v>
      </c>
      <c r="BP106">
        <v>1</v>
      </c>
      <c r="BQ106">
        <v>2</v>
      </c>
      <c r="BR106">
        <v>0</v>
      </c>
      <c r="BS106">
        <v>33.65</v>
      </c>
      <c r="BT106">
        <v>1</v>
      </c>
      <c r="BU106">
        <v>1</v>
      </c>
      <c r="BV106">
        <v>1</v>
      </c>
      <c r="BW106">
        <v>1</v>
      </c>
      <c r="BX106">
        <v>1</v>
      </c>
      <c r="BY106" t="s">
        <v>3</v>
      </c>
      <c r="BZ106">
        <v>90</v>
      </c>
      <c r="CA106">
        <v>85</v>
      </c>
      <c r="CE106">
        <v>0</v>
      </c>
      <c r="CF106">
        <v>0</v>
      </c>
      <c r="CG106">
        <v>0</v>
      </c>
      <c r="CM106">
        <v>0</v>
      </c>
      <c r="CN106" t="s">
        <v>1332</v>
      </c>
      <c r="CO106">
        <v>0</v>
      </c>
      <c r="CP106">
        <f t="shared" si="111"/>
        <v>113.5</v>
      </c>
      <c r="CQ106">
        <f t="shared" si="112"/>
        <v>0</v>
      </c>
      <c r="CR106">
        <f t="shared" si="113"/>
        <v>36.729100000000003</v>
      </c>
      <c r="CS106">
        <f t="shared" si="114"/>
        <v>18.170999999999999</v>
      </c>
      <c r="CT106">
        <f t="shared" si="115"/>
        <v>5638.3940000000002</v>
      </c>
      <c r="CU106">
        <f t="shared" si="116"/>
        <v>0</v>
      </c>
      <c r="CV106">
        <f t="shared" si="117"/>
        <v>18.47475</v>
      </c>
      <c r="CW106">
        <f t="shared" si="118"/>
        <v>5.0625000000000003E-2</v>
      </c>
      <c r="CX106">
        <f t="shared" si="119"/>
        <v>0</v>
      </c>
      <c r="CY106">
        <f t="shared" si="120"/>
        <v>91.635299999999987</v>
      </c>
      <c r="CZ106">
        <f t="shared" si="121"/>
        <v>81.453599999999994</v>
      </c>
      <c r="DC106" t="s">
        <v>3</v>
      </c>
      <c r="DD106" t="s">
        <v>3</v>
      </c>
      <c r="DE106" t="s">
        <v>146</v>
      </c>
      <c r="DF106" t="s">
        <v>146</v>
      </c>
      <c r="DG106" t="s">
        <v>147</v>
      </c>
      <c r="DH106" t="s">
        <v>3</v>
      </c>
      <c r="DI106" t="s">
        <v>147</v>
      </c>
      <c r="DJ106" t="s">
        <v>146</v>
      </c>
      <c r="DK106" t="s">
        <v>3</v>
      </c>
      <c r="DL106" t="s">
        <v>3</v>
      </c>
      <c r="DM106" t="s">
        <v>3</v>
      </c>
      <c r="DN106">
        <v>0</v>
      </c>
      <c r="DO106">
        <v>0</v>
      </c>
      <c r="DP106">
        <v>1</v>
      </c>
      <c r="DQ106">
        <v>1</v>
      </c>
      <c r="DU106">
        <v>1013</v>
      </c>
      <c r="DV106" t="s">
        <v>18</v>
      </c>
      <c r="DW106" t="s">
        <v>18</v>
      </c>
      <c r="DX106">
        <v>1</v>
      </c>
      <c r="DZ106" t="s">
        <v>3</v>
      </c>
      <c r="EA106" t="s">
        <v>3</v>
      </c>
      <c r="EB106" t="s">
        <v>3</v>
      </c>
      <c r="EC106" t="s">
        <v>3</v>
      </c>
      <c r="EE106">
        <v>64095025</v>
      </c>
      <c r="EF106">
        <v>2</v>
      </c>
      <c r="EG106" t="s">
        <v>13</v>
      </c>
      <c r="EH106">
        <v>0</v>
      </c>
      <c r="EI106" t="s">
        <v>3</v>
      </c>
      <c r="EJ106">
        <v>1</v>
      </c>
      <c r="EK106">
        <v>9001</v>
      </c>
      <c r="EL106" t="s">
        <v>49</v>
      </c>
      <c r="EM106" t="s">
        <v>50</v>
      </c>
      <c r="EO106" t="s">
        <v>150</v>
      </c>
      <c r="EQ106">
        <v>0</v>
      </c>
      <c r="ER106">
        <v>109.77</v>
      </c>
      <c r="ES106">
        <v>0</v>
      </c>
      <c r="ET106">
        <v>1.84</v>
      </c>
      <c r="EU106">
        <v>0.32</v>
      </c>
      <c r="EV106">
        <v>107.93</v>
      </c>
      <c r="EW106">
        <v>11.9</v>
      </c>
      <c r="EX106">
        <v>0.03</v>
      </c>
      <c r="EY106">
        <v>0</v>
      </c>
      <c r="FQ106">
        <v>0</v>
      </c>
      <c r="FR106">
        <f t="shared" si="122"/>
        <v>0</v>
      </c>
      <c r="FS106">
        <v>0</v>
      </c>
      <c r="FT106" t="s">
        <v>52</v>
      </c>
      <c r="FU106" t="s">
        <v>53</v>
      </c>
      <c r="FX106">
        <v>81</v>
      </c>
      <c r="FY106">
        <v>72.25</v>
      </c>
      <c r="GA106" t="s">
        <v>3</v>
      </c>
      <c r="GD106">
        <v>1</v>
      </c>
      <c r="GF106">
        <v>-1391681250</v>
      </c>
      <c r="GG106">
        <v>2</v>
      </c>
      <c r="GH106">
        <v>1</v>
      </c>
      <c r="GI106">
        <v>2</v>
      </c>
      <c r="GJ106">
        <v>0</v>
      </c>
      <c r="GK106">
        <v>0</v>
      </c>
      <c r="GL106">
        <f t="shared" si="123"/>
        <v>0</v>
      </c>
      <c r="GM106">
        <f t="shared" si="124"/>
        <v>286.58999999999997</v>
      </c>
      <c r="GN106">
        <f t="shared" si="125"/>
        <v>286.58999999999997</v>
      </c>
      <c r="GO106">
        <f t="shared" si="126"/>
        <v>0</v>
      </c>
      <c r="GP106">
        <f t="shared" si="127"/>
        <v>0</v>
      </c>
      <c r="GR106">
        <v>0</v>
      </c>
      <c r="GS106">
        <v>3</v>
      </c>
      <c r="GT106">
        <v>0</v>
      </c>
      <c r="GU106" t="s">
        <v>3</v>
      </c>
      <c r="GV106">
        <f t="shared" si="128"/>
        <v>0</v>
      </c>
      <c r="GW106">
        <v>1</v>
      </c>
      <c r="GX106">
        <f t="shared" si="129"/>
        <v>0</v>
      </c>
      <c r="HA106">
        <v>0</v>
      </c>
      <c r="HB106">
        <v>0</v>
      </c>
      <c r="HC106">
        <f t="shared" si="130"/>
        <v>0</v>
      </c>
      <c r="HE106" t="s">
        <v>3</v>
      </c>
      <c r="HF106" t="s">
        <v>3</v>
      </c>
      <c r="IK106">
        <v>0</v>
      </c>
    </row>
    <row r="107" spans="1:245" x14ac:dyDescent="0.2">
      <c r="A107">
        <v>18</v>
      </c>
      <c r="B107">
        <v>1</v>
      </c>
      <c r="C107">
        <v>289</v>
      </c>
      <c r="E107" t="s">
        <v>362</v>
      </c>
      <c r="F107" t="s">
        <v>363</v>
      </c>
      <c r="G107" t="s">
        <v>364</v>
      </c>
      <c r="H107" t="s">
        <v>365</v>
      </c>
      <c r="I107">
        <f>I106*J107</f>
        <v>2</v>
      </c>
      <c r="J107">
        <v>100</v>
      </c>
      <c r="O107">
        <f t="shared" si="97"/>
        <v>90.64</v>
      </c>
      <c r="P107">
        <f t="shared" si="98"/>
        <v>90.64</v>
      </c>
      <c r="Q107">
        <f t="shared" si="99"/>
        <v>0</v>
      </c>
      <c r="R107">
        <f t="shared" si="100"/>
        <v>0</v>
      </c>
      <c r="S107">
        <f t="shared" si="101"/>
        <v>0</v>
      </c>
      <c r="T107">
        <f t="shared" si="102"/>
        <v>0</v>
      </c>
      <c r="U107">
        <f t="shared" si="103"/>
        <v>0</v>
      </c>
      <c r="V107">
        <f t="shared" si="104"/>
        <v>0</v>
      </c>
      <c r="W107">
        <f t="shared" si="105"/>
        <v>0</v>
      </c>
      <c r="X107">
        <f t="shared" si="106"/>
        <v>0</v>
      </c>
      <c r="Y107">
        <f t="shared" si="107"/>
        <v>0</v>
      </c>
      <c r="AA107">
        <v>68990560</v>
      </c>
      <c r="AB107">
        <f t="shared" si="108"/>
        <v>8.3000000000000007</v>
      </c>
      <c r="AC107">
        <f t="shared" si="131"/>
        <v>8.3000000000000007</v>
      </c>
      <c r="AD107">
        <f>ROUND((((ET107)-(EU107))+AE107),2)</f>
        <v>0</v>
      </c>
      <c r="AE107">
        <f>ROUND((EU107),2)</f>
        <v>0</v>
      </c>
      <c r="AF107">
        <f>ROUND((EV107),2)</f>
        <v>0</v>
      </c>
      <c r="AG107">
        <f t="shared" si="109"/>
        <v>0</v>
      </c>
      <c r="AH107">
        <f>(EW107)</f>
        <v>0</v>
      </c>
      <c r="AI107">
        <f>(EX107)</f>
        <v>0</v>
      </c>
      <c r="AJ107">
        <f t="shared" si="110"/>
        <v>0</v>
      </c>
      <c r="AK107">
        <v>8.3000000000000007</v>
      </c>
      <c r="AL107">
        <v>8.3000000000000007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81</v>
      </c>
      <c r="AU107">
        <v>72</v>
      </c>
      <c r="AV107">
        <v>1</v>
      </c>
      <c r="AW107">
        <v>1</v>
      </c>
      <c r="AZ107">
        <v>1</v>
      </c>
      <c r="BA107">
        <v>1</v>
      </c>
      <c r="BB107">
        <v>1</v>
      </c>
      <c r="BC107">
        <v>5.46</v>
      </c>
      <c r="BD107" t="s">
        <v>3</v>
      </c>
      <c r="BE107" t="s">
        <v>3</v>
      </c>
      <c r="BF107" t="s">
        <v>3</v>
      </c>
      <c r="BG107" t="s">
        <v>3</v>
      </c>
      <c r="BH107">
        <v>3</v>
      </c>
      <c r="BI107">
        <v>1</v>
      </c>
      <c r="BJ107" t="s">
        <v>366</v>
      </c>
      <c r="BM107">
        <v>9001</v>
      </c>
      <c r="BN107">
        <v>0</v>
      </c>
      <c r="BO107" t="s">
        <v>363</v>
      </c>
      <c r="BP107">
        <v>1</v>
      </c>
      <c r="BQ107">
        <v>2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3</v>
      </c>
      <c r="BZ107">
        <v>90</v>
      </c>
      <c r="CA107">
        <v>85</v>
      </c>
      <c r="CE107">
        <v>0</v>
      </c>
      <c r="CF107">
        <v>0</v>
      </c>
      <c r="CG107">
        <v>0</v>
      </c>
      <c r="CM107">
        <v>0</v>
      </c>
      <c r="CN107" t="s">
        <v>3</v>
      </c>
      <c r="CO107">
        <v>0</v>
      </c>
      <c r="CP107">
        <f t="shared" si="111"/>
        <v>90.64</v>
      </c>
      <c r="CQ107">
        <f t="shared" si="112"/>
        <v>45.318000000000005</v>
      </c>
      <c r="CR107">
        <f t="shared" si="113"/>
        <v>0</v>
      </c>
      <c r="CS107">
        <f t="shared" si="114"/>
        <v>0</v>
      </c>
      <c r="CT107">
        <f t="shared" si="115"/>
        <v>0</v>
      </c>
      <c r="CU107">
        <f t="shared" si="116"/>
        <v>0</v>
      </c>
      <c r="CV107">
        <f t="shared" si="117"/>
        <v>0</v>
      </c>
      <c r="CW107">
        <f t="shared" si="118"/>
        <v>0</v>
      </c>
      <c r="CX107">
        <f t="shared" si="119"/>
        <v>0</v>
      </c>
      <c r="CY107">
        <f t="shared" si="120"/>
        <v>0</v>
      </c>
      <c r="CZ107">
        <f t="shared" si="121"/>
        <v>0</v>
      </c>
      <c r="DC107" t="s">
        <v>3</v>
      </c>
      <c r="DD107" t="s">
        <v>3</v>
      </c>
      <c r="DE107" t="s">
        <v>3</v>
      </c>
      <c r="DF107" t="s">
        <v>3</v>
      </c>
      <c r="DG107" t="s">
        <v>3</v>
      </c>
      <c r="DH107" t="s">
        <v>3</v>
      </c>
      <c r="DI107" t="s">
        <v>3</v>
      </c>
      <c r="DJ107" t="s">
        <v>3</v>
      </c>
      <c r="DK107" t="s">
        <v>3</v>
      </c>
      <c r="DL107" t="s">
        <v>3</v>
      </c>
      <c r="DM107" t="s">
        <v>3</v>
      </c>
      <c r="DN107">
        <v>0</v>
      </c>
      <c r="DO107">
        <v>0</v>
      </c>
      <c r="DP107">
        <v>1</v>
      </c>
      <c r="DQ107">
        <v>1</v>
      </c>
      <c r="DU107">
        <v>1013</v>
      </c>
      <c r="DV107" t="s">
        <v>365</v>
      </c>
      <c r="DW107" t="s">
        <v>365</v>
      </c>
      <c r="DX107">
        <v>1</v>
      </c>
      <c r="DZ107" t="s">
        <v>3</v>
      </c>
      <c r="EA107" t="s">
        <v>3</v>
      </c>
      <c r="EB107" t="s">
        <v>3</v>
      </c>
      <c r="EC107" t="s">
        <v>3</v>
      </c>
      <c r="EE107">
        <v>64095025</v>
      </c>
      <c r="EF107">
        <v>2</v>
      </c>
      <c r="EG107" t="s">
        <v>13</v>
      </c>
      <c r="EH107">
        <v>0</v>
      </c>
      <c r="EI107" t="s">
        <v>3</v>
      </c>
      <c r="EJ107">
        <v>1</v>
      </c>
      <c r="EK107">
        <v>9001</v>
      </c>
      <c r="EL107" t="s">
        <v>49</v>
      </c>
      <c r="EM107" t="s">
        <v>50</v>
      </c>
      <c r="EO107" t="s">
        <v>3</v>
      </c>
      <c r="EQ107">
        <v>0</v>
      </c>
      <c r="ER107">
        <v>8.3000000000000007</v>
      </c>
      <c r="ES107">
        <v>8.3000000000000007</v>
      </c>
      <c r="ET107">
        <v>0</v>
      </c>
      <c r="EU107">
        <v>0</v>
      </c>
      <c r="EV107">
        <v>0</v>
      </c>
      <c r="EW107">
        <v>0</v>
      </c>
      <c r="EX107">
        <v>0</v>
      </c>
      <c r="FQ107">
        <v>0</v>
      </c>
      <c r="FR107">
        <f t="shared" si="122"/>
        <v>0</v>
      </c>
      <c r="FS107">
        <v>0</v>
      </c>
      <c r="FT107" t="s">
        <v>52</v>
      </c>
      <c r="FU107" t="s">
        <v>53</v>
      </c>
      <c r="FX107">
        <v>81</v>
      </c>
      <c r="FY107">
        <v>72.25</v>
      </c>
      <c r="GA107" t="s">
        <v>3</v>
      </c>
      <c r="GD107">
        <v>1</v>
      </c>
      <c r="GF107">
        <v>2129998993</v>
      </c>
      <c r="GG107">
        <v>2</v>
      </c>
      <c r="GH107">
        <v>1</v>
      </c>
      <c r="GI107">
        <v>2</v>
      </c>
      <c r="GJ107">
        <v>0</v>
      </c>
      <c r="GK107">
        <v>0</v>
      </c>
      <c r="GL107">
        <f t="shared" si="123"/>
        <v>0</v>
      </c>
      <c r="GM107">
        <f t="shared" si="124"/>
        <v>90.64</v>
      </c>
      <c r="GN107">
        <f t="shared" si="125"/>
        <v>90.64</v>
      </c>
      <c r="GO107">
        <f t="shared" si="126"/>
        <v>0</v>
      </c>
      <c r="GP107">
        <f t="shared" si="127"/>
        <v>0</v>
      </c>
      <c r="GR107">
        <v>0</v>
      </c>
      <c r="GS107">
        <v>3</v>
      </c>
      <c r="GT107">
        <v>0</v>
      </c>
      <c r="GU107" t="s">
        <v>3</v>
      </c>
      <c r="GV107">
        <f t="shared" si="128"/>
        <v>0</v>
      </c>
      <c r="GW107">
        <v>1</v>
      </c>
      <c r="GX107">
        <f t="shared" si="129"/>
        <v>0</v>
      </c>
      <c r="HA107">
        <v>0</v>
      </c>
      <c r="HB107">
        <v>0</v>
      </c>
      <c r="HC107">
        <f t="shared" si="130"/>
        <v>0</v>
      </c>
      <c r="HE107" t="s">
        <v>3</v>
      </c>
      <c r="HF107" t="s">
        <v>3</v>
      </c>
      <c r="IK107">
        <v>0</v>
      </c>
    </row>
    <row r="108" spans="1:245" x14ac:dyDescent="0.2">
      <c r="A108">
        <v>17</v>
      </c>
      <c r="B108">
        <v>1</v>
      </c>
      <c r="C108">
        <f>ROW(SmtRes!A306)</f>
        <v>306</v>
      </c>
      <c r="D108">
        <f>ROW(EtalonRes!A313)</f>
        <v>313</v>
      </c>
      <c r="E108" t="s">
        <v>367</v>
      </c>
      <c r="F108" t="s">
        <v>368</v>
      </c>
      <c r="G108" t="s">
        <v>1335</v>
      </c>
      <c r="H108" t="s">
        <v>71</v>
      </c>
      <c r="I108">
        <f>ROUND(0.121+0.0388+0.216+0.0124,5)</f>
        <v>0.38819999999999999</v>
      </c>
      <c r="J108">
        <v>0</v>
      </c>
      <c r="O108">
        <f t="shared" si="97"/>
        <v>22936.16</v>
      </c>
      <c r="P108">
        <f t="shared" si="98"/>
        <v>985.19</v>
      </c>
      <c r="Q108">
        <f t="shared" si="99"/>
        <v>2058.7399999999998</v>
      </c>
      <c r="R108">
        <f t="shared" si="100"/>
        <v>576.08000000000004</v>
      </c>
      <c r="S108">
        <f t="shared" si="101"/>
        <v>19892.23</v>
      </c>
      <c r="T108">
        <f t="shared" si="102"/>
        <v>0</v>
      </c>
      <c r="U108">
        <f t="shared" si="103"/>
        <v>62.888399999999997</v>
      </c>
      <c r="V108">
        <f t="shared" si="104"/>
        <v>1.5722100000000003</v>
      </c>
      <c r="W108">
        <f t="shared" si="105"/>
        <v>0</v>
      </c>
      <c r="X108">
        <f t="shared" si="106"/>
        <v>13509.08</v>
      </c>
      <c r="Y108">
        <f t="shared" si="107"/>
        <v>8187.32</v>
      </c>
      <c r="AA108">
        <v>68990560</v>
      </c>
      <c r="AB108">
        <f t="shared" si="108"/>
        <v>2394.0500000000002</v>
      </c>
      <c r="AC108">
        <f t="shared" si="131"/>
        <v>204.17</v>
      </c>
      <c r="AD108">
        <f>ROUND(((((ET108*1.35))-((EU108*1.35)))+AE108),2)</f>
        <v>667.08</v>
      </c>
      <c r="AE108">
        <f>ROUND(((EU108*1.35)),2)</f>
        <v>44.1</v>
      </c>
      <c r="AF108">
        <f>ROUND(((EV108*1.35)),2)</f>
        <v>1522.8</v>
      </c>
      <c r="AG108">
        <f t="shared" si="109"/>
        <v>0</v>
      </c>
      <c r="AH108">
        <f>((EW108*1.35))</f>
        <v>162</v>
      </c>
      <c r="AI108">
        <f>((EX108*1.35))</f>
        <v>4.0500000000000007</v>
      </c>
      <c r="AJ108">
        <f t="shared" si="110"/>
        <v>0</v>
      </c>
      <c r="AK108">
        <v>1826.31</v>
      </c>
      <c r="AL108">
        <v>204.17</v>
      </c>
      <c r="AM108">
        <v>494.14</v>
      </c>
      <c r="AN108">
        <v>32.67</v>
      </c>
      <c r="AO108">
        <v>1128</v>
      </c>
      <c r="AP108">
        <v>0</v>
      </c>
      <c r="AQ108">
        <v>120</v>
      </c>
      <c r="AR108">
        <v>3</v>
      </c>
      <c r="AS108">
        <v>0</v>
      </c>
      <c r="AT108">
        <v>66</v>
      </c>
      <c r="AU108">
        <v>40</v>
      </c>
      <c r="AV108">
        <v>1</v>
      </c>
      <c r="AW108">
        <v>1</v>
      </c>
      <c r="AZ108">
        <v>1</v>
      </c>
      <c r="BA108">
        <v>33.65</v>
      </c>
      <c r="BB108">
        <v>7.95</v>
      </c>
      <c r="BC108">
        <v>12.43</v>
      </c>
      <c r="BD108" t="s">
        <v>3</v>
      </c>
      <c r="BE108" t="s">
        <v>3</v>
      </c>
      <c r="BF108" t="s">
        <v>3</v>
      </c>
      <c r="BG108" t="s">
        <v>3</v>
      </c>
      <c r="BH108">
        <v>0</v>
      </c>
      <c r="BI108">
        <v>2</v>
      </c>
      <c r="BJ108" t="s">
        <v>369</v>
      </c>
      <c r="BM108">
        <v>138001</v>
      </c>
      <c r="BN108">
        <v>0</v>
      </c>
      <c r="BO108" t="s">
        <v>368</v>
      </c>
      <c r="BP108">
        <v>1</v>
      </c>
      <c r="BQ108">
        <v>3</v>
      </c>
      <c r="BR108">
        <v>0</v>
      </c>
      <c r="BS108">
        <v>33.65</v>
      </c>
      <c r="BT108">
        <v>1</v>
      </c>
      <c r="BU108">
        <v>1</v>
      </c>
      <c r="BV108">
        <v>1</v>
      </c>
      <c r="BW108">
        <v>1</v>
      </c>
      <c r="BX108">
        <v>1</v>
      </c>
      <c r="BY108" t="s">
        <v>3</v>
      </c>
      <c r="BZ108">
        <v>66</v>
      </c>
      <c r="CA108">
        <v>40</v>
      </c>
      <c r="CE108">
        <v>0</v>
      </c>
      <c r="CF108">
        <v>0</v>
      </c>
      <c r="CG108">
        <v>0</v>
      </c>
      <c r="CM108">
        <v>0</v>
      </c>
      <c r="CN108" t="s">
        <v>1329</v>
      </c>
      <c r="CO108">
        <v>0</v>
      </c>
      <c r="CP108">
        <f t="shared" si="111"/>
        <v>22936.16</v>
      </c>
      <c r="CQ108">
        <f t="shared" si="112"/>
        <v>2537.8330999999998</v>
      </c>
      <c r="CR108">
        <f t="shared" si="113"/>
        <v>5303.2860000000001</v>
      </c>
      <c r="CS108">
        <f t="shared" si="114"/>
        <v>1483.9649999999999</v>
      </c>
      <c r="CT108">
        <f t="shared" si="115"/>
        <v>51242.219999999994</v>
      </c>
      <c r="CU108">
        <f t="shared" si="116"/>
        <v>0</v>
      </c>
      <c r="CV108">
        <f t="shared" si="117"/>
        <v>162</v>
      </c>
      <c r="CW108">
        <f t="shared" si="118"/>
        <v>4.0500000000000007</v>
      </c>
      <c r="CX108">
        <f t="shared" si="119"/>
        <v>0</v>
      </c>
      <c r="CY108">
        <f t="shared" si="120"/>
        <v>13509.084600000002</v>
      </c>
      <c r="CZ108">
        <f t="shared" si="121"/>
        <v>8187.3240000000005</v>
      </c>
      <c r="DC108" t="s">
        <v>3</v>
      </c>
      <c r="DD108" t="s">
        <v>3</v>
      </c>
      <c r="DE108" t="s">
        <v>200</v>
      </c>
      <c r="DF108" t="s">
        <v>200</v>
      </c>
      <c r="DG108" t="s">
        <v>200</v>
      </c>
      <c r="DH108" t="s">
        <v>3</v>
      </c>
      <c r="DI108" t="s">
        <v>200</v>
      </c>
      <c r="DJ108" t="s">
        <v>200</v>
      </c>
      <c r="DK108" t="s">
        <v>3</v>
      </c>
      <c r="DL108" t="s">
        <v>3</v>
      </c>
      <c r="DM108" t="s">
        <v>3</v>
      </c>
      <c r="DN108">
        <v>0</v>
      </c>
      <c r="DO108">
        <v>0</v>
      </c>
      <c r="DP108">
        <v>1</v>
      </c>
      <c r="DQ108">
        <v>1</v>
      </c>
      <c r="DU108">
        <v>1009</v>
      </c>
      <c r="DV108" t="s">
        <v>71</v>
      </c>
      <c r="DW108" t="s">
        <v>71</v>
      </c>
      <c r="DX108">
        <v>1000</v>
      </c>
      <c r="DZ108" t="s">
        <v>3</v>
      </c>
      <c r="EA108" t="s">
        <v>3</v>
      </c>
      <c r="EB108" t="s">
        <v>3</v>
      </c>
      <c r="EC108" t="s">
        <v>3</v>
      </c>
      <c r="EE108">
        <v>64094946</v>
      </c>
      <c r="EF108">
        <v>3</v>
      </c>
      <c r="EG108" t="s">
        <v>22</v>
      </c>
      <c r="EH108">
        <v>0</v>
      </c>
      <c r="EI108" t="s">
        <v>3</v>
      </c>
      <c r="EJ108">
        <v>2</v>
      </c>
      <c r="EK108">
        <v>138001</v>
      </c>
      <c r="EL108" t="s">
        <v>370</v>
      </c>
      <c r="EM108" t="s">
        <v>371</v>
      </c>
      <c r="EO108" t="s">
        <v>42</v>
      </c>
      <c r="EQ108">
        <v>0</v>
      </c>
      <c r="ER108">
        <v>1826.31</v>
      </c>
      <c r="ES108">
        <v>204.17</v>
      </c>
      <c r="ET108">
        <v>494.14</v>
      </c>
      <c r="EU108">
        <v>32.67</v>
      </c>
      <c r="EV108">
        <v>1128</v>
      </c>
      <c r="EW108">
        <v>120</v>
      </c>
      <c r="EX108">
        <v>3</v>
      </c>
      <c r="EY108">
        <v>0</v>
      </c>
      <c r="FQ108">
        <v>0</v>
      </c>
      <c r="FR108">
        <f t="shared" si="122"/>
        <v>0</v>
      </c>
      <c r="FS108">
        <v>0</v>
      </c>
      <c r="FX108">
        <v>66</v>
      </c>
      <c r="FY108">
        <v>40</v>
      </c>
      <c r="GA108" t="s">
        <v>3</v>
      </c>
      <c r="GD108">
        <v>1</v>
      </c>
      <c r="GF108">
        <v>427623087</v>
      </c>
      <c r="GG108">
        <v>2</v>
      </c>
      <c r="GH108">
        <v>1</v>
      </c>
      <c r="GI108">
        <v>2</v>
      </c>
      <c r="GJ108">
        <v>0</v>
      </c>
      <c r="GK108">
        <v>0</v>
      </c>
      <c r="GL108">
        <f t="shared" si="123"/>
        <v>0</v>
      </c>
      <c r="GM108">
        <f t="shared" si="124"/>
        <v>44632.56</v>
      </c>
      <c r="GN108">
        <f t="shared" si="125"/>
        <v>0</v>
      </c>
      <c r="GO108">
        <f t="shared" si="126"/>
        <v>44632.56</v>
      </c>
      <c r="GP108">
        <f t="shared" si="127"/>
        <v>0</v>
      </c>
      <c r="GR108">
        <v>0</v>
      </c>
      <c r="GS108">
        <v>3</v>
      </c>
      <c r="GT108">
        <v>0</v>
      </c>
      <c r="GU108" t="s">
        <v>3</v>
      </c>
      <c r="GV108">
        <f t="shared" si="128"/>
        <v>0</v>
      </c>
      <c r="GW108">
        <v>1</v>
      </c>
      <c r="GX108">
        <f t="shared" si="129"/>
        <v>0</v>
      </c>
      <c r="HA108">
        <v>0</v>
      </c>
      <c r="HB108">
        <v>0</v>
      </c>
      <c r="HC108">
        <f t="shared" si="130"/>
        <v>0</v>
      </c>
      <c r="HE108" t="s">
        <v>3</v>
      </c>
      <c r="HF108" t="s">
        <v>3</v>
      </c>
      <c r="IK108">
        <v>0</v>
      </c>
    </row>
    <row r="109" spans="1:245" x14ac:dyDescent="0.2">
      <c r="A109">
        <v>18</v>
      </c>
      <c r="B109">
        <v>1</v>
      </c>
      <c r="C109">
        <v>305</v>
      </c>
      <c r="E109" t="s">
        <v>372</v>
      </c>
      <c r="F109" t="s">
        <v>373</v>
      </c>
      <c r="G109" t="s">
        <v>374</v>
      </c>
      <c r="H109" t="s">
        <v>71</v>
      </c>
      <c r="I109">
        <f>I108*J109</f>
        <v>0.121</v>
      </c>
      <c r="J109">
        <v>0.31169500257599175</v>
      </c>
      <c r="O109">
        <f t="shared" si="97"/>
        <v>6528.74</v>
      </c>
      <c r="P109">
        <f t="shared" si="98"/>
        <v>6528.74</v>
      </c>
      <c r="Q109">
        <f t="shared" si="99"/>
        <v>0</v>
      </c>
      <c r="R109">
        <f t="shared" si="100"/>
        <v>0</v>
      </c>
      <c r="S109">
        <f t="shared" si="101"/>
        <v>0</v>
      </c>
      <c r="T109">
        <f t="shared" si="102"/>
        <v>0</v>
      </c>
      <c r="U109">
        <f t="shared" si="103"/>
        <v>0</v>
      </c>
      <c r="V109">
        <f t="shared" si="104"/>
        <v>0</v>
      </c>
      <c r="W109">
        <f t="shared" si="105"/>
        <v>0</v>
      </c>
      <c r="X109">
        <f t="shared" si="106"/>
        <v>0</v>
      </c>
      <c r="Y109">
        <f t="shared" si="107"/>
        <v>0</v>
      </c>
      <c r="AA109">
        <v>68990560</v>
      </c>
      <c r="AB109">
        <f t="shared" si="108"/>
        <v>8077.32</v>
      </c>
      <c r="AC109">
        <f t="shared" si="131"/>
        <v>8077.32</v>
      </c>
      <c r="AD109">
        <f>ROUND((((ET109)-(EU109))+AE109),2)</f>
        <v>0</v>
      </c>
      <c r="AE109">
        <f t="shared" ref="AE109:AF112" si="132">ROUND((EU109),2)</f>
        <v>0</v>
      </c>
      <c r="AF109">
        <f t="shared" si="132"/>
        <v>0</v>
      </c>
      <c r="AG109">
        <f t="shared" si="109"/>
        <v>0</v>
      </c>
      <c r="AH109">
        <f t="shared" ref="AH109:AI112" si="133">(EW109)</f>
        <v>0</v>
      </c>
      <c r="AI109">
        <f t="shared" si="133"/>
        <v>0</v>
      </c>
      <c r="AJ109">
        <f t="shared" si="110"/>
        <v>0</v>
      </c>
      <c r="AK109">
        <v>8077.32</v>
      </c>
      <c r="AL109">
        <v>8077.32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66</v>
      </c>
      <c r="AU109">
        <v>40</v>
      </c>
      <c r="AV109">
        <v>1</v>
      </c>
      <c r="AW109">
        <v>1</v>
      </c>
      <c r="AZ109">
        <v>1</v>
      </c>
      <c r="BA109">
        <v>1</v>
      </c>
      <c r="BB109">
        <v>1</v>
      </c>
      <c r="BC109">
        <v>6.68</v>
      </c>
      <c r="BD109" t="s">
        <v>3</v>
      </c>
      <c r="BE109" t="s">
        <v>3</v>
      </c>
      <c r="BF109" t="s">
        <v>3</v>
      </c>
      <c r="BG109" t="s">
        <v>3</v>
      </c>
      <c r="BH109">
        <v>3</v>
      </c>
      <c r="BI109">
        <v>2</v>
      </c>
      <c r="BJ109" t="s">
        <v>375</v>
      </c>
      <c r="BM109">
        <v>138001</v>
      </c>
      <c r="BN109">
        <v>0</v>
      </c>
      <c r="BO109" t="s">
        <v>373</v>
      </c>
      <c r="BP109">
        <v>1</v>
      </c>
      <c r="BQ109">
        <v>3</v>
      </c>
      <c r="BR109">
        <v>0</v>
      </c>
      <c r="BS109">
        <v>1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3</v>
      </c>
      <c r="BZ109">
        <v>66</v>
      </c>
      <c r="CA109">
        <v>40</v>
      </c>
      <c r="CE109">
        <v>0</v>
      </c>
      <c r="CF109">
        <v>0</v>
      </c>
      <c r="CG109">
        <v>0</v>
      </c>
      <c r="CM109">
        <v>0</v>
      </c>
      <c r="CN109" t="s">
        <v>3</v>
      </c>
      <c r="CO109">
        <v>0</v>
      </c>
      <c r="CP109">
        <f t="shared" si="111"/>
        <v>6528.74</v>
      </c>
      <c r="CQ109">
        <f t="shared" si="112"/>
        <v>53956.497599999995</v>
      </c>
      <c r="CR109">
        <f t="shared" si="113"/>
        <v>0</v>
      </c>
      <c r="CS109">
        <f t="shared" si="114"/>
        <v>0</v>
      </c>
      <c r="CT109">
        <f t="shared" si="115"/>
        <v>0</v>
      </c>
      <c r="CU109">
        <f t="shared" si="116"/>
        <v>0</v>
      </c>
      <c r="CV109">
        <f t="shared" si="117"/>
        <v>0</v>
      </c>
      <c r="CW109">
        <f t="shared" si="118"/>
        <v>0</v>
      </c>
      <c r="CX109">
        <f t="shared" si="119"/>
        <v>0</v>
      </c>
      <c r="CY109">
        <f t="shared" si="120"/>
        <v>0</v>
      </c>
      <c r="CZ109">
        <f t="shared" si="121"/>
        <v>0</v>
      </c>
      <c r="DC109" t="s">
        <v>3</v>
      </c>
      <c r="DD109" t="s">
        <v>3</v>
      </c>
      <c r="DE109" t="s">
        <v>3</v>
      </c>
      <c r="DF109" t="s">
        <v>3</v>
      </c>
      <c r="DG109" t="s">
        <v>3</v>
      </c>
      <c r="DH109" t="s">
        <v>3</v>
      </c>
      <c r="DI109" t="s">
        <v>3</v>
      </c>
      <c r="DJ109" t="s">
        <v>3</v>
      </c>
      <c r="DK109" t="s">
        <v>3</v>
      </c>
      <c r="DL109" t="s">
        <v>3</v>
      </c>
      <c r="DM109" t="s">
        <v>3</v>
      </c>
      <c r="DN109">
        <v>0</v>
      </c>
      <c r="DO109">
        <v>0</v>
      </c>
      <c r="DP109">
        <v>1</v>
      </c>
      <c r="DQ109">
        <v>1</v>
      </c>
      <c r="DU109">
        <v>1009</v>
      </c>
      <c r="DV109" t="s">
        <v>71</v>
      </c>
      <c r="DW109" t="s">
        <v>71</v>
      </c>
      <c r="DX109">
        <v>1000</v>
      </c>
      <c r="DZ109" t="s">
        <v>3</v>
      </c>
      <c r="EA109" t="s">
        <v>3</v>
      </c>
      <c r="EB109" t="s">
        <v>3</v>
      </c>
      <c r="EC109" t="s">
        <v>3</v>
      </c>
      <c r="EE109">
        <v>64094946</v>
      </c>
      <c r="EF109">
        <v>3</v>
      </c>
      <c r="EG109" t="s">
        <v>22</v>
      </c>
      <c r="EH109">
        <v>0</v>
      </c>
      <c r="EI109" t="s">
        <v>3</v>
      </c>
      <c r="EJ109">
        <v>2</v>
      </c>
      <c r="EK109">
        <v>138001</v>
      </c>
      <c r="EL109" t="s">
        <v>370</v>
      </c>
      <c r="EM109" t="s">
        <v>371</v>
      </c>
      <c r="EO109" t="s">
        <v>3</v>
      </c>
      <c r="EQ109">
        <v>0</v>
      </c>
      <c r="ER109">
        <v>8077.32</v>
      </c>
      <c r="ES109">
        <v>8077.32</v>
      </c>
      <c r="ET109">
        <v>0</v>
      </c>
      <c r="EU109">
        <v>0</v>
      </c>
      <c r="EV109">
        <v>0</v>
      </c>
      <c r="EW109">
        <v>0</v>
      </c>
      <c r="EX109">
        <v>0</v>
      </c>
      <c r="FQ109">
        <v>0</v>
      </c>
      <c r="FR109">
        <f t="shared" si="122"/>
        <v>0</v>
      </c>
      <c r="FS109">
        <v>0</v>
      </c>
      <c r="FX109">
        <v>66</v>
      </c>
      <c r="FY109">
        <v>40</v>
      </c>
      <c r="GA109" t="s">
        <v>3</v>
      </c>
      <c r="GD109">
        <v>1</v>
      </c>
      <c r="GF109">
        <v>1830003485</v>
      </c>
      <c r="GG109">
        <v>2</v>
      </c>
      <c r="GH109">
        <v>1</v>
      </c>
      <c r="GI109">
        <v>2</v>
      </c>
      <c r="GJ109">
        <v>0</v>
      </c>
      <c r="GK109">
        <v>0</v>
      </c>
      <c r="GL109">
        <f t="shared" si="123"/>
        <v>0</v>
      </c>
      <c r="GM109">
        <f t="shared" si="124"/>
        <v>6528.74</v>
      </c>
      <c r="GN109">
        <f t="shared" si="125"/>
        <v>0</v>
      </c>
      <c r="GO109">
        <f t="shared" si="126"/>
        <v>6528.74</v>
      </c>
      <c r="GP109">
        <f t="shared" si="127"/>
        <v>0</v>
      </c>
      <c r="GR109">
        <v>0</v>
      </c>
      <c r="GS109">
        <v>3</v>
      </c>
      <c r="GT109">
        <v>0</v>
      </c>
      <c r="GU109" t="s">
        <v>3</v>
      </c>
      <c r="GV109">
        <f t="shared" si="128"/>
        <v>0</v>
      </c>
      <c r="GW109">
        <v>1</v>
      </c>
      <c r="GX109">
        <f t="shared" si="129"/>
        <v>0</v>
      </c>
      <c r="HA109">
        <v>0</v>
      </c>
      <c r="HB109">
        <v>0</v>
      </c>
      <c r="HC109">
        <f t="shared" si="130"/>
        <v>0</v>
      </c>
      <c r="HE109" t="s">
        <v>3</v>
      </c>
      <c r="HF109" t="s">
        <v>3</v>
      </c>
      <c r="IK109">
        <v>0</v>
      </c>
    </row>
    <row r="110" spans="1:245" x14ac:dyDescent="0.2">
      <c r="A110">
        <v>18</v>
      </c>
      <c r="B110">
        <v>1</v>
      </c>
      <c r="C110">
        <v>304</v>
      </c>
      <c r="E110" t="s">
        <v>376</v>
      </c>
      <c r="F110" t="s">
        <v>377</v>
      </c>
      <c r="G110" t="s">
        <v>378</v>
      </c>
      <c r="H110" t="s">
        <v>379</v>
      </c>
      <c r="I110">
        <f>I108*J110</f>
        <v>16</v>
      </c>
      <c r="J110">
        <v>41.21586810922205</v>
      </c>
      <c r="O110">
        <f t="shared" si="97"/>
        <v>2018.1</v>
      </c>
      <c r="P110">
        <f t="shared" si="98"/>
        <v>2018.1</v>
      </c>
      <c r="Q110">
        <f t="shared" si="99"/>
        <v>0</v>
      </c>
      <c r="R110">
        <f t="shared" si="100"/>
        <v>0</v>
      </c>
      <c r="S110">
        <f t="shared" si="101"/>
        <v>0</v>
      </c>
      <c r="T110">
        <f t="shared" si="102"/>
        <v>0</v>
      </c>
      <c r="U110">
        <f t="shared" si="103"/>
        <v>0</v>
      </c>
      <c r="V110">
        <f t="shared" si="104"/>
        <v>0</v>
      </c>
      <c r="W110">
        <f t="shared" si="105"/>
        <v>0</v>
      </c>
      <c r="X110">
        <f t="shared" si="106"/>
        <v>0</v>
      </c>
      <c r="Y110">
        <f t="shared" si="107"/>
        <v>0</v>
      </c>
      <c r="AA110">
        <v>68990560</v>
      </c>
      <c r="AB110">
        <f t="shared" si="108"/>
        <v>17.79</v>
      </c>
      <c r="AC110">
        <f t="shared" si="131"/>
        <v>17.79</v>
      </c>
      <c r="AD110">
        <f>ROUND((((ET110)-(EU110))+AE110),2)</f>
        <v>0</v>
      </c>
      <c r="AE110">
        <f t="shared" si="132"/>
        <v>0</v>
      </c>
      <c r="AF110">
        <f t="shared" si="132"/>
        <v>0</v>
      </c>
      <c r="AG110">
        <f t="shared" si="109"/>
        <v>0</v>
      </c>
      <c r="AH110">
        <f t="shared" si="133"/>
        <v>0</v>
      </c>
      <c r="AI110">
        <f t="shared" si="133"/>
        <v>0</v>
      </c>
      <c r="AJ110">
        <f t="shared" si="110"/>
        <v>0</v>
      </c>
      <c r="AK110">
        <v>17.79</v>
      </c>
      <c r="AL110">
        <v>17.79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66</v>
      </c>
      <c r="AU110">
        <v>40</v>
      </c>
      <c r="AV110">
        <v>1</v>
      </c>
      <c r="AW110">
        <v>1</v>
      </c>
      <c r="AZ110">
        <v>1</v>
      </c>
      <c r="BA110">
        <v>1</v>
      </c>
      <c r="BB110">
        <v>1</v>
      </c>
      <c r="BC110">
        <v>7.09</v>
      </c>
      <c r="BD110" t="s">
        <v>3</v>
      </c>
      <c r="BE110" t="s">
        <v>3</v>
      </c>
      <c r="BF110" t="s">
        <v>3</v>
      </c>
      <c r="BG110" t="s">
        <v>3</v>
      </c>
      <c r="BH110">
        <v>3</v>
      </c>
      <c r="BI110">
        <v>2</v>
      </c>
      <c r="BJ110" t="s">
        <v>380</v>
      </c>
      <c r="BM110">
        <v>138001</v>
      </c>
      <c r="BN110">
        <v>0</v>
      </c>
      <c r="BO110" t="s">
        <v>377</v>
      </c>
      <c r="BP110">
        <v>1</v>
      </c>
      <c r="BQ110">
        <v>3</v>
      </c>
      <c r="BR110">
        <v>0</v>
      </c>
      <c r="BS110">
        <v>1</v>
      </c>
      <c r="BT110">
        <v>1</v>
      </c>
      <c r="BU110">
        <v>1</v>
      </c>
      <c r="BV110">
        <v>1</v>
      </c>
      <c r="BW110">
        <v>1</v>
      </c>
      <c r="BX110">
        <v>1</v>
      </c>
      <c r="BY110" t="s">
        <v>3</v>
      </c>
      <c r="BZ110">
        <v>66</v>
      </c>
      <c r="CA110">
        <v>40</v>
      </c>
      <c r="CE110">
        <v>0</v>
      </c>
      <c r="CF110">
        <v>0</v>
      </c>
      <c r="CG110">
        <v>0</v>
      </c>
      <c r="CM110">
        <v>0</v>
      </c>
      <c r="CN110" t="s">
        <v>3</v>
      </c>
      <c r="CO110">
        <v>0</v>
      </c>
      <c r="CP110">
        <f t="shared" si="111"/>
        <v>2018.1</v>
      </c>
      <c r="CQ110">
        <f t="shared" si="112"/>
        <v>126.13109999999999</v>
      </c>
      <c r="CR110">
        <f t="shared" si="113"/>
        <v>0</v>
      </c>
      <c r="CS110">
        <f t="shared" si="114"/>
        <v>0</v>
      </c>
      <c r="CT110">
        <f t="shared" si="115"/>
        <v>0</v>
      </c>
      <c r="CU110">
        <f t="shared" si="116"/>
        <v>0</v>
      </c>
      <c r="CV110">
        <f t="shared" si="117"/>
        <v>0</v>
      </c>
      <c r="CW110">
        <f t="shared" si="118"/>
        <v>0</v>
      </c>
      <c r="CX110">
        <f t="shared" si="119"/>
        <v>0</v>
      </c>
      <c r="CY110">
        <f t="shared" si="120"/>
        <v>0</v>
      </c>
      <c r="CZ110">
        <f t="shared" si="121"/>
        <v>0</v>
      </c>
      <c r="DC110" t="s">
        <v>3</v>
      </c>
      <c r="DD110" t="s">
        <v>3</v>
      </c>
      <c r="DE110" t="s">
        <v>3</v>
      </c>
      <c r="DF110" t="s">
        <v>3</v>
      </c>
      <c r="DG110" t="s">
        <v>3</v>
      </c>
      <c r="DH110" t="s">
        <v>3</v>
      </c>
      <c r="DI110" t="s">
        <v>3</v>
      </c>
      <c r="DJ110" t="s">
        <v>3</v>
      </c>
      <c r="DK110" t="s">
        <v>3</v>
      </c>
      <c r="DL110" t="s">
        <v>3</v>
      </c>
      <c r="DM110" t="s">
        <v>3</v>
      </c>
      <c r="DN110">
        <v>0</v>
      </c>
      <c r="DO110">
        <v>0</v>
      </c>
      <c r="DP110">
        <v>1</v>
      </c>
      <c r="DQ110">
        <v>1</v>
      </c>
      <c r="DU110">
        <v>1003</v>
      </c>
      <c r="DV110" t="s">
        <v>379</v>
      </c>
      <c r="DW110" t="s">
        <v>379</v>
      </c>
      <c r="DX110">
        <v>1</v>
      </c>
      <c r="DZ110" t="s">
        <v>3</v>
      </c>
      <c r="EA110" t="s">
        <v>3</v>
      </c>
      <c r="EB110" t="s">
        <v>3</v>
      </c>
      <c r="EC110" t="s">
        <v>3</v>
      </c>
      <c r="EE110">
        <v>64094946</v>
      </c>
      <c r="EF110">
        <v>3</v>
      </c>
      <c r="EG110" t="s">
        <v>22</v>
      </c>
      <c r="EH110">
        <v>0</v>
      </c>
      <c r="EI110" t="s">
        <v>3</v>
      </c>
      <c r="EJ110">
        <v>2</v>
      </c>
      <c r="EK110">
        <v>138001</v>
      </c>
      <c r="EL110" t="s">
        <v>370</v>
      </c>
      <c r="EM110" t="s">
        <v>371</v>
      </c>
      <c r="EO110" t="s">
        <v>3</v>
      </c>
      <c r="EQ110">
        <v>0</v>
      </c>
      <c r="ER110">
        <v>17.79</v>
      </c>
      <c r="ES110">
        <v>17.79</v>
      </c>
      <c r="ET110">
        <v>0</v>
      </c>
      <c r="EU110">
        <v>0</v>
      </c>
      <c r="EV110">
        <v>0</v>
      </c>
      <c r="EW110">
        <v>0</v>
      </c>
      <c r="EX110">
        <v>0</v>
      </c>
      <c r="FQ110">
        <v>0</v>
      </c>
      <c r="FR110">
        <f t="shared" si="122"/>
        <v>0</v>
      </c>
      <c r="FS110">
        <v>0</v>
      </c>
      <c r="FX110">
        <v>66</v>
      </c>
      <c r="FY110">
        <v>40</v>
      </c>
      <c r="GA110" t="s">
        <v>3</v>
      </c>
      <c r="GD110">
        <v>1</v>
      </c>
      <c r="GF110">
        <v>1389676980</v>
      </c>
      <c r="GG110">
        <v>2</v>
      </c>
      <c r="GH110">
        <v>1</v>
      </c>
      <c r="GI110">
        <v>2</v>
      </c>
      <c r="GJ110">
        <v>0</v>
      </c>
      <c r="GK110">
        <v>0</v>
      </c>
      <c r="GL110">
        <f t="shared" si="123"/>
        <v>0</v>
      </c>
      <c r="GM110">
        <f t="shared" si="124"/>
        <v>2018.1</v>
      </c>
      <c r="GN110">
        <f t="shared" si="125"/>
        <v>0</v>
      </c>
      <c r="GO110">
        <f t="shared" si="126"/>
        <v>2018.1</v>
      </c>
      <c r="GP110">
        <f t="shared" si="127"/>
        <v>0</v>
      </c>
      <c r="GR110">
        <v>0</v>
      </c>
      <c r="GS110">
        <v>3</v>
      </c>
      <c r="GT110">
        <v>0</v>
      </c>
      <c r="GU110" t="s">
        <v>3</v>
      </c>
      <c r="GV110">
        <f t="shared" si="128"/>
        <v>0</v>
      </c>
      <c r="GW110">
        <v>1</v>
      </c>
      <c r="GX110">
        <f t="shared" si="129"/>
        <v>0</v>
      </c>
      <c r="HA110">
        <v>0</v>
      </c>
      <c r="HB110">
        <v>0</v>
      </c>
      <c r="HC110">
        <f t="shared" si="130"/>
        <v>0</v>
      </c>
      <c r="HE110" t="s">
        <v>3</v>
      </c>
      <c r="HF110" t="s">
        <v>3</v>
      </c>
      <c r="IK110">
        <v>0</v>
      </c>
    </row>
    <row r="111" spans="1:245" x14ac:dyDescent="0.2">
      <c r="A111">
        <v>18</v>
      </c>
      <c r="B111">
        <v>1</v>
      </c>
      <c r="C111">
        <v>302</v>
      </c>
      <c r="E111" t="s">
        <v>381</v>
      </c>
      <c r="F111" t="s">
        <v>382</v>
      </c>
      <c r="G111" t="s">
        <v>383</v>
      </c>
      <c r="H111" t="s">
        <v>46</v>
      </c>
      <c r="I111">
        <f>I108*J111</f>
        <v>7.2</v>
      </c>
      <c r="J111">
        <v>18.547140649149924</v>
      </c>
      <c r="O111">
        <f t="shared" si="97"/>
        <v>45310.44</v>
      </c>
      <c r="P111">
        <f t="shared" si="98"/>
        <v>45310.44</v>
      </c>
      <c r="Q111">
        <f t="shared" si="99"/>
        <v>0</v>
      </c>
      <c r="R111">
        <f t="shared" si="100"/>
        <v>0</v>
      </c>
      <c r="S111">
        <f t="shared" si="101"/>
        <v>0</v>
      </c>
      <c r="T111">
        <f t="shared" si="102"/>
        <v>0</v>
      </c>
      <c r="U111">
        <f t="shared" si="103"/>
        <v>0</v>
      </c>
      <c r="V111">
        <f t="shared" si="104"/>
        <v>0</v>
      </c>
      <c r="W111">
        <f t="shared" si="105"/>
        <v>0</v>
      </c>
      <c r="X111">
        <f t="shared" si="106"/>
        <v>0</v>
      </c>
      <c r="Y111">
        <f t="shared" si="107"/>
        <v>0</v>
      </c>
      <c r="AA111">
        <v>68990560</v>
      </c>
      <c r="AB111">
        <f t="shared" si="108"/>
        <v>795.59</v>
      </c>
      <c r="AC111">
        <f t="shared" si="131"/>
        <v>795.59</v>
      </c>
      <c r="AD111">
        <f>ROUND((((ET111)-(EU111))+AE111),2)</f>
        <v>0</v>
      </c>
      <c r="AE111">
        <f t="shared" si="132"/>
        <v>0</v>
      </c>
      <c r="AF111">
        <f t="shared" si="132"/>
        <v>0</v>
      </c>
      <c r="AG111">
        <f t="shared" si="109"/>
        <v>0</v>
      </c>
      <c r="AH111">
        <f t="shared" si="133"/>
        <v>0</v>
      </c>
      <c r="AI111">
        <f t="shared" si="133"/>
        <v>0</v>
      </c>
      <c r="AJ111">
        <f t="shared" si="110"/>
        <v>0</v>
      </c>
      <c r="AK111">
        <v>795.59</v>
      </c>
      <c r="AL111">
        <v>795.59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66</v>
      </c>
      <c r="AU111">
        <v>40</v>
      </c>
      <c r="AV111">
        <v>1</v>
      </c>
      <c r="AW111">
        <v>1</v>
      </c>
      <c r="AZ111">
        <v>1</v>
      </c>
      <c r="BA111">
        <v>1</v>
      </c>
      <c r="BB111">
        <v>1</v>
      </c>
      <c r="BC111">
        <v>7.91</v>
      </c>
      <c r="BD111" t="s">
        <v>3</v>
      </c>
      <c r="BE111" t="s">
        <v>3</v>
      </c>
      <c r="BF111" t="s">
        <v>3</v>
      </c>
      <c r="BG111" t="s">
        <v>3</v>
      </c>
      <c r="BH111">
        <v>3</v>
      </c>
      <c r="BI111">
        <v>2</v>
      </c>
      <c r="BJ111" t="s">
        <v>384</v>
      </c>
      <c r="BM111">
        <v>138001</v>
      </c>
      <c r="BN111">
        <v>0</v>
      </c>
      <c r="BO111" t="s">
        <v>382</v>
      </c>
      <c r="BP111">
        <v>1</v>
      </c>
      <c r="BQ111">
        <v>3</v>
      </c>
      <c r="BR111">
        <v>0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3</v>
      </c>
      <c r="BZ111">
        <v>66</v>
      </c>
      <c r="CA111">
        <v>40</v>
      </c>
      <c r="CE111">
        <v>0</v>
      </c>
      <c r="CF111">
        <v>0</v>
      </c>
      <c r="CG111">
        <v>0</v>
      </c>
      <c r="CM111">
        <v>0</v>
      </c>
      <c r="CN111" t="s">
        <v>3</v>
      </c>
      <c r="CO111">
        <v>0</v>
      </c>
      <c r="CP111">
        <f t="shared" si="111"/>
        <v>45310.44</v>
      </c>
      <c r="CQ111">
        <f t="shared" si="112"/>
        <v>6293.1169</v>
      </c>
      <c r="CR111">
        <f t="shared" si="113"/>
        <v>0</v>
      </c>
      <c r="CS111">
        <f t="shared" si="114"/>
        <v>0</v>
      </c>
      <c r="CT111">
        <f t="shared" si="115"/>
        <v>0</v>
      </c>
      <c r="CU111">
        <f t="shared" si="116"/>
        <v>0</v>
      </c>
      <c r="CV111">
        <f t="shared" si="117"/>
        <v>0</v>
      </c>
      <c r="CW111">
        <f t="shared" si="118"/>
        <v>0</v>
      </c>
      <c r="CX111">
        <f t="shared" si="119"/>
        <v>0</v>
      </c>
      <c r="CY111">
        <f t="shared" si="120"/>
        <v>0</v>
      </c>
      <c r="CZ111">
        <f t="shared" si="121"/>
        <v>0</v>
      </c>
      <c r="DC111" t="s">
        <v>3</v>
      </c>
      <c r="DD111" t="s">
        <v>3</v>
      </c>
      <c r="DE111" t="s">
        <v>3</v>
      </c>
      <c r="DF111" t="s">
        <v>3</v>
      </c>
      <c r="DG111" t="s">
        <v>3</v>
      </c>
      <c r="DH111" t="s">
        <v>3</v>
      </c>
      <c r="DI111" t="s">
        <v>3</v>
      </c>
      <c r="DJ111" t="s">
        <v>3</v>
      </c>
      <c r="DK111" t="s">
        <v>3</v>
      </c>
      <c r="DL111" t="s">
        <v>3</v>
      </c>
      <c r="DM111" t="s">
        <v>3</v>
      </c>
      <c r="DN111">
        <v>0</v>
      </c>
      <c r="DO111">
        <v>0</v>
      </c>
      <c r="DP111">
        <v>1</v>
      </c>
      <c r="DQ111">
        <v>1</v>
      </c>
      <c r="DU111">
        <v>1005</v>
      </c>
      <c r="DV111" t="s">
        <v>46</v>
      </c>
      <c r="DW111" t="s">
        <v>46</v>
      </c>
      <c r="DX111">
        <v>1</v>
      </c>
      <c r="DZ111" t="s">
        <v>3</v>
      </c>
      <c r="EA111" t="s">
        <v>3</v>
      </c>
      <c r="EB111" t="s">
        <v>3</v>
      </c>
      <c r="EC111" t="s">
        <v>3</v>
      </c>
      <c r="EE111">
        <v>64094946</v>
      </c>
      <c r="EF111">
        <v>3</v>
      </c>
      <c r="EG111" t="s">
        <v>22</v>
      </c>
      <c r="EH111">
        <v>0</v>
      </c>
      <c r="EI111" t="s">
        <v>3</v>
      </c>
      <c r="EJ111">
        <v>2</v>
      </c>
      <c r="EK111">
        <v>138001</v>
      </c>
      <c r="EL111" t="s">
        <v>370</v>
      </c>
      <c r="EM111" t="s">
        <v>371</v>
      </c>
      <c r="EO111" t="s">
        <v>3</v>
      </c>
      <c r="EQ111">
        <v>0</v>
      </c>
      <c r="ER111">
        <v>795.59</v>
      </c>
      <c r="ES111">
        <v>795.59</v>
      </c>
      <c r="ET111">
        <v>0</v>
      </c>
      <c r="EU111">
        <v>0</v>
      </c>
      <c r="EV111">
        <v>0</v>
      </c>
      <c r="EW111">
        <v>0</v>
      </c>
      <c r="EX111">
        <v>0</v>
      </c>
      <c r="FQ111">
        <v>0</v>
      </c>
      <c r="FR111">
        <f t="shared" si="122"/>
        <v>0</v>
      </c>
      <c r="FS111">
        <v>0</v>
      </c>
      <c r="FX111">
        <v>66</v>
      </c>
      <c r="FY111">
        <v>40</v>
      </c>
      <c r="GA111" t="s">
        <v>3</v>
      </c>
      <c r="GD111">
        <v>1</v>
      </c>
      <c r="GF111">
        <v>7197516</v>
      </c>
      <c r="GG111">
        <v>2</v>
      </c>
      <c r="GH111">
        <v>1</v>
      </c>
      <c r="GI111">
        <v>2</v>
      </c>
      <c r="GJ111">
        <v>0</v>
      </c>
      <c r="GK111">
        <v>0</v>
      </c>
      <c r="GL111">
        <f t="shared" si="123"/>
        <v>0</v>
      </c>
      <c r="GM111">
        <f t="shared" si="124"/>
        <v>45310.44</v>
      </c>
      <c r="GN111">
        <f t="shared" si="125"/>
        <v>0</v>
      </c>
      <c r="GO111">
        <f t="shared" si="126"/>
        <v>45310.44</v>
      </c>
      <c r="GP111">
        <f t="shared" si="127"/>
        <v>0</v>
      </c>
      <c r="GR111">
        <v>0</v>
      </c>
      <c r="GS111">
        <v>3</v>
      </c>
      <c r="GT111">
        <v>0</v>
      </c>
      <c r="GU111" t="s">
        <v>3</v>
      </c>
      <c r="GV111">
        <f t="shared" si="128"/>
        <v>0</v>
      </c>
      <c r="GW111">
        <v>1</v>
      </c>
      <c r="GX111">
        <f t="shared" si="129"/>
        <v>0</v>
      </c>
      <c r="HA111">
        <v>0</v>
      </c>
      <c r="HB111">
        <v>0</v>
      </c>
      <c r="HC111">
        <f t="shared" si="130"/>
        <v>0</v>
      </c>
      <c r="HE111" t="s">
        <v>3</v>
      </c>
      <c r="HF111" t="s">
        <v>3</v>
      </c>
      <c r="IK111">
        <v>0</v>
      </c>
    </row>
    <row r="112" spans="1:245" x14ac:dyDescent="0.2">
      <c r="A112">
        <v>18</v>
      </c>
      <c r="B112">
        <v>1</v>
      </c>
      <c r="C112">
        <v>303</v>
      </c>
      <c r="E112" t="s">
        <v>385</v>
      </c>
      <c r="F112" t="s">
        <v>386</v>
      </c>
      <c r="G112" t="s">
        <v>387</v>
      </c>
      <c r="H112" t="s">
        <v>71</v>
      </c>
      <c r="I112">
        <f>I108*J112</f>
        <v>1.2400000000000001E-2</v>
      </c>
      <c r="J112">
        <v>3.1942297784647092E-2</v>
      </c>
      <c r="O112">
        <f t="shared" si="97"/>
        <v>762.65</v>
      </c>
      <c r="P112">
        <f t="shared" si="98"/>
        <v>762.65</v>
      </c>
      <c r="Q112">
        <f t="shared" si="99"/>
        <v>0</v>
      </c>
      <c r="R112">
        <f t="shared" si="100"/>
        <v>0</v>
      </c>
      <c r="S112">
        <f t="shared" si="101"/>
        <v>0</v>
      </c>
      <c r="T112">
        <f t="shared" si="102"/>
        <v>0</v>
      </c>
      <c r="U112">
        <f t="shared" si="103"/>
        <v>0</v>
      </c>
      <c r="V112">
        <f t="shared" si="104"/>
        <v>0</v>
      </c>
      <c r="W112">
        <f t="shared" si="105"/>
        <v>0</v>
      </c>
      <c r="X112">
        <f t="shared" si="106"/>
        <v>0</v>
      </c>
      <c r="Y112">
        <f t="shared" si="107"/>
        <v>0</v>
      </c>
      <c r="AA112">
        <v>68990560</v>
      </c>
      <c r="AB112">
        <f t="shared" si="108"/>
        <v>6107.65</v>
      </c>
      <c r="AC112">
        <f t="shared" si="131"/>
        <v>6107.65</v>
      </c>
      <c r="AD112">
        <f>ROUND((((ET112)-(EU112))+AE112),2)</f>
        <v>0</v>
      </c>
      <c r="AE112">
        <f t="shared" si="132"/>
        <v>0</v>
      </c>
      <c r="AF112">
        <f t="shared" si="132"/>
        <v>0</v>
      </c>
      <c r="AG112">
        <f t="shared" si="109"/>
        <v>0</v>
      </c>
      <c r="AH112">
        <f t="shared" si="133"/>
        <v>0</v>
      </c>
      <c r="AI112">
        <f t="shared" si="133"/>
        <v>0</v>
      </c>
      <c r="AJ112">
        <f t="shared" si="110"/>
        <v>0</v>
      </c>
      <c r="AK112">
        <v>6107.65</v>
      </c>
      <c r="AL112">
        <v>6107.65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66</v>
      </c>
      <c r="AU112">
        <v>40</v>
      </c>
      <c r="AV112">
        <v>1</v>
      </c>
      <c r="AW112">
        <v>1</v>
      </c>
      <c r="AZ112">
        <v>1</v>
      </c>
      <c r="BA112">
        <v>1</v>
      </c>
      <c r="BB112">
        <v>1</v>
      </c>
      <c r="BC112">
        <v>10.07</v>
      </c>
      <c r="BD112" t="s">
        <v>3</v>
      </c>
      <c r="BE112" t="s">
        <v>3</v>
      </c>
      <c r="BF112" t="s">
        <v>3</v>
      </c>
      <c r="BG112" t="s">
        <v>3</v>
      </c>
      <c r="BH112">
        <v>3</v>
      </c>
      <c r="BI112">
        <v>2</v>
      </c>
      <c r="BJ112" t="s">
        <v>388</v>
      </c>
      <c r="BM112">
        <v>138001</v>
      </c>
      <c r="BN112">
        <v>0</v>
      </c>
      <c r="BO112" t="s">
        <v>386</v>
      </c>
      <c r="BP112">
        <v>1</v>
      </c>
      <c r="BQ112">
        <v>3</v>
      </c>
      <c r="BR112">
        <v>0</v>
      </c>
      <c r="BS112">
        <v>1</v>
      </c>
      <c r="BT112">
        <v>1</v>
      </c>
      <c r="BU112">
        <v>1</v>
      </c>
      <c r="BV112">
        <v>1</v>
      </c>
      <c r="BW112">
        <v>1</v>
      </c>
      <c r="BX112">
        <v>1</v>
      </c>
      <c r="BY112" t="s">
        <v>3</v>
      </c>
      <c r="BZ112">
        <v>66</v>
      </c>
      <c r="CA112">
        <v>40</v>
      </c>
      <c r="CE112">
        <v>0</v>
      </c>
      <c r="CF112">
        <v>0</v>
      </c>
      <c r="CG112">
        <v>0</v>
      </c>
      <c r="CM112">
        <v>0</v>
      </c>
      <c r="CN112" t="s">
        <v>3</v>
      </c>
      <c r="CO112">
        <v>0</v>
      </c>
      <c r="CP112">
        <f t="shared" si="111"/>
        <v>762.65</v>
      </c>
      <c r="CQ112">
        <f t="shared" si="112"/>
        <v>61504.035499999998</v>
      </c>
      <c r="CR112">
        <f t="shared" si="113"/>
        <v>0</v>
      </c>
      <c r="CS112">
        <f t="shared" si="114"/>
        <v>0</v>
      </c>
      <c r="CT112">
        <f t="shared" si="115"/>
        <v>0</v>
      </c>
      <c r="CU112">
        <f t="shared" si="116"/>
        <v>0</v>
      </c>
      <c r="CV112">
        <f t="shared" si="117"/>
        <v>0</v>
      </c>
      <c r="CW112">
        <f t="shared" si="118"/>
        <v>0</v>
      </c>
      <c r="CX112">
        <f t="shared" si="119"/>
        <v>0</v>
      </c>
      <c r="CY112">
        <f t="shared" si="120"/>
        <v>0</v>
      </c>
      <c r="CZ112">
        <f t="shared" si="121"/>
        <v>0</v>
      </c>
      <c r="DC112" t="s">
        <v>3</v>
      </c>
      <c r="DD112" t="s">
        <v>3</v>
      </c>
      <c r="DE112" t="s">
        <v>3</v>
      </c>
      <c r="DF112" t="s">
        <v>3</v>
      </c>
      <c r="DG112" t="s">
        <v>3</v>
      </c>
      <c r="DH112" t="s">
        <v>3</v>
      </c>
      <c r="DI112" t="s">
        <v>3</v>
      </c>
      <c r="DJ112" t="s">
        <v>3</v>
      </c>
      <c r="DK112" t="s">
        <v>3</v>
      </c>
      <c r="DL112" t="s">
        <v>3</v>
      </c>
      <c r="DM112" t="s">
        <v>3</v>
      </c>
      <c r="DN112">
        <v>0</v>
      </c>
      <c r="DO112">
        <v>0</v>
      </c>
      <c r="DP112">
        <v>1</v>
      </c>
      <c r="DQ112">
        <v>1</v>
      </c>
      <c r="DU112">
        <v>1009</v>
      </c>
      <c r="DV112" t="s">
        <v>71</v>
      </c>
      <c r="DW112" t="s">
        <v>71</v>
      </c>
      <c r="DX112">
        <v>1000</v>
      </c>
      <c r="DZ112" t="s">
        <v>3</v>
      </c>
      <c r="EA112" t="s">
        <v>3</v>
      </c>
      <c r="EB112" t="s">
        <v>3</v>
      </c>
      <c r="EC112" t="s">
        <v>3</v>
      </c>
      <c r="EE112">
        <v>64094946</v>
      </c>
      <c r="EF112">
        <v>3</v>
      </c>
      <c r="EG112" t="s">
        <v>22</v>
      </c>
      <c r="EH112">
        <v>0</v>
      </c>
      <c r="EI112" t="s">
        <v>3</v>
      </c>
      <c r="EJ112">
        <v>2</v>
      </c>
      <c r="EK112">
        <v>138001</v>
      </c>
      <c r="EL112" t="s">
        <v>370</v>
      </c>
      <c r="EM112" t="s">
        <v>371</v>
      </c>
      <c r="EO112" t="s">
        <v>3</v>
      </c>
      <c r="EQ112">
        <v>0</v>
      </c>
      <c r="ER112">
        <v>6107.65</v>
      </c>
      <c r="ES112">
        <v>6107.65</v>
      </c>
      <c r="ET112">
        <v>0</v>
      </c>
      <c r="EU112">
        <v>0</v>
      </c>
      <c r="EV112">
        <v>0</v>
      </c>
      <c r="EW112">
        <v>0</v>
      </c>
      <c r="EX112">
        <v>0</v>
      </c>
      <c r="FQ112">
        <v>0</v>
      </c>
      <c r="FR112">
        <f t="shared" si="122"/>
        <v>0</v>
      </c>
      <c r="FS112">
        <v>0</v>
      </c>
      <c r="FX112">
        <v>66</v>
      </c>
      <c r="FY112">
        <v>40</v>
      </c>
      <c r="GA112" t="s">
        <v>3</v>
      </c>
      <c r="GD112">
        <v>1</v>
      </c>
      <c r="GF112">
        <v>-1486446128</v>
      </c>
      <c r="GG112">
        <v>2</v>
      </c>
      <c r="GH112">
        <v>1</v>
      </c>
      <c r="GI112">
        <v>2</v>
      </c>
      <c r="GJ112">
        <v>0</v>
      </c>
      <c r="GK112">
        <v>0</v>
      </c>
      <c r="GL112">
        <f t="shared" si="123"/>
        <v>0</v>
      </c>
      <c r="GM112">
        <f t="shared" si="124"/>
        <v>762.65</v>
      </c>
      <c r="GN112">
        <f t="shared" si="125"/>
        <v>0</v>
      </c>
      <c r="GO112">
        <f t="shared" si="126"/>
        <v>762.65</v>
      </c>
      <c r="GP112">
        <f t="shared" si="127"/>
        <v>0</v>
      </c>
      <c r="GR112">
        <v>0</v>
      </c>
      <c r="GS112">
        <v>3</v>
      </c>
      <c r="GT112">
        <v>0</v>
      </c>
      <c r="GU112" t="s">
        <v>3</v>
      </c>
      <c r="GV112">
        <f t="shared" si="128"/>
        <v>0</v>
      </c>
      <c r="GW112">
        <v>1</v>
      </c>
      <c r="GX112">
        <f t="shared" si="129"/>
        <v>0</v>
      </c>
      <c r="HA112">
        <v>0</v>
      </c>
      <c r="HB112">
        <v>0</v>
      </c>
      <c r="HC112">
        <f t="shared" si="130"/>
        <v>0</v>
      </c>
      <c r="HE112" t="s">
        <v>3</v>
      </c>
      <c r="HF112" t="s">
        <v>3</v>
      </c>
      <c r="IK112">
        <v>0</v>
      </c>
    </row>
    <row r="113" spans="1:245" x14ac:dyDescent="0.2">
      <c r="A113">
        <v>17</v>
      </c>
      <c r="B113">
        <v>1</v>
      </c>
      <c r="C113">
        <f>ROW(SmtRes!A328)</f>
        <v>328</v>
      </c>
      <c r="D113">
        <f>ROW(EtalonRes!A325)</f>
        <v>325</v>
      </c>
      <c r="E113" t="s">
        <v>389</v>
      </c>
      <c r="F113" t="s">
        <v>390</v>
      </c>
      <c r="G113" t="s">
        <v>1336</v>
      </c>
      <c r="H113" t="s">
        <v>71</v>
      </c>
      <c r="I113">
        <f>ROUND(0.055+0.027+0.023+0.005,5)</f>
        <v>0.11</v>
      </c>
      <c r="J113">
        <v>0</v>
      </c>
      <c r="O113">
        <f t="shared" si="97"/>
        <v>6479.19</v>
      </c>
      <c r="P113">
        <f t="shared" si="98"/>
        <v>331.87</v>
      </c>
      <c r="Q113">
        <f t="shared" si="99"/>
        <v>378.75</v>
      </c>
      <c r="R113">
        <f t="shared" si="100"/>
        <v>104.94</v>
      </c>
      <c r="S113">
        <f t="shared" si="101"/>
        <v>5768.57</v>
      </c>
      <c r="T113">
        <f t="shared" si="102"/>
        <v>0</v>
      </c>
      <c r="U113">
        <f t="shared" si="103"/>
        <v>17.82</v>
      </c>
      <c r="V113">
        <f t="shared" si="104"/>
        <v>0.27324000000000004</v>
      </c>
      <c r="W113">
        <f t="shared" si="105"/>
        <v>0</v>
      </c>
      <c r="X113">
        <f t="shared" si="106"/>
        <v>3876.52</v>
      </c>
      <c r="Y113">
        <f t="shared" si="107"/>
        <v>2349.4</v>
      </c>
      <c r="AA113">
        <v>68990560</v>
      </c>
      <c r="AB113">
        <f t="shared" si="108"/>
        <v>2309.71</v>
      </c>
      <c r="AC113">
        <f t="shared" si="131"/>
        <v>252.26</v>
      </c>
      <c r="AD113">
        <f>ROUND(((((ET113*1.35))-((EU113*1.35)))+AE113),2)</f>
        <v>499.01</v>
      </c>
      <c r="AE113">
        <f>ROUND(((EU113*1.35)),2)</f>
        <v>28.35</v>
      </c>
      <c r="AF113">
        <f>ROUND(((EV113*1.35)),2)</f>
        <v>1558.44</v>
      </c>
      <c r="AG113">
        <f t="shared" si="109"/>
        <v>0</v>
      </c>
      <c r="AH113">
        <f>((EW113*1.35))</f>
        <v>162</v>
      </c>
      <c r="AI113">
        <f>((EX113*1.35))</f>
        <v>2.4840000000000004</v>
      </c>
      <c r="AJ113">
        <f t="shared" si="110"/>
        <v>0</v>
      </c>
      <c r="AK113">
        <v>1776.3</v>
      </c>
      <c r="AL113">
        <v>252.26</v>
      </c>
      <c r="AM113">
        <v>369.64</v>
      </c>
      <c r="AN113">
        <v>21</v>
      </c>
      <c r="AO113">
        <v>1154.4000000000001</v>
      </c>
      <c r="AP113">
        <v>0</v>
      </c>
      <c r="AQ113">
        <v>120</v>
      </c>
      <c r="AR113">
        <v>1.84</v>
      </c>
      <c r="AS113">
        <v>0</v>
      </c>
      <c r="AT113">
        <v>66</v>
      </c>
      <c r="AU113">
        <v>40</v>
      </c>
      <c r="AV113">
        <v>1</v>
      </c>
      <c r="AW113">
        <v>1</v>
      </c>
      <c r="AZ113">
        <v>1</v>
      </c>
      <c r="BA113">
        <v>33.65</v>
      </c>
      <c r="BB113">
        <v>6.9</v>
      </c>
      <c r="BC113">
        <v>11.96</v>
      </c>
      <c r="BD113" t="s">
        <v>3</v>
      </c>
      <c r="BE113" t="s">
        <v>3</v>
      </c>
      <c r="BF113" t="s">
        <v>3</v>
      </c>
      <c r="BG113" t="s">
        <v>3</v>
      </c>
      <c r="BH113">
        <v>0</v>
      </c>
      <c r="BI113">
        <v>2</v>
      </c>
      <c r="BJ113" t="s">
        <v>391</v>
      </c>
      <c r="BM113">
        <v>138001</v>
      </c>
      <c r="BN113">
        <v>0</v>
      </c>
      <c r="BO113" t="s">
        <v>390</v>
      </c>
      <c r="BP113">
        <v>1</v>
      </c>
      <c r="BQ113">
        <v>3</v>
      </c>
      <c r="BR113">
        <v>0</v>
      </c>
      <c r="BS113">
        <v>33.65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3</v>
      </c>
      <c r="BZ113">
        <v>66</v>
      </c>
      <c r="CA113">
        <v>40</v>
      </c>
      <c r="CE113">
        <v>0</v>
      </c>
      <c r="CF113">
        <v>0</v>
      </c>
      <c r="CG113">
        <v>0</v>
      </c>
      <c r="CM113">
        <v>0</v>
      </c>
      <c r="CN113" t="s">
        <v>1329</v>
      </c>
      <c r="CO113">
        <v>0</v>
      </c>
      <c r="CP113">
        <f t="shared" si="111"/>
        <v>6479.19</v>
      </c>
      <c r="CQ113">
        <f t="shared" si="112"/>
        <v>3017.0296000000003</v>
      </c>
      <c r="CR113">
        <f t="shared" si="113"/>
        <v>3443.1690000000003</v>
      </c>
      <c r="CS113">
        <f t="shared" si="114"/>
        <v>953.97749999999996</v>
      </c>
      <c r="CT113">
        <f t="shared" si="115"/>
        <v>52441.506000000001</v>
      </c>
      <c r="CU113">
        <f t="shared" si="116"/>
        <v>0</v>
      </c>
      <c r="CV113">
        <f t="shared" si="117"/>
        <v>162</v>
      </c>
      <c r="CW113">
        <f t="shared" si="118"/>
        <v>2.4840000000000004</v>
      </c>
      <c r="CX113">
        <f t="shared" si="119"/>
        <v>0</v>
      </c>
      <c r="CY113">
        <f t="shared" si="120"/>
        <v>3876.5165999999999</v>
      </c>
      <c r="CZ113">
        <f t="shared" si="121"/>
        <v>2349.4039999999995</v>
      </c>
      <c r="DC113" t="s">
        <v>3</v>
      </c>
      <c r="DD113" t="s">
        <v>3</v>
      </c>
      <c r="DE113" t="s">
        <v>200</v>
      </c>
      <c r="DF113" t="s">
        <v>200</v>
      </c>
      <c r="DG113" t="s">
        <v>200</v>
      </c>
      <c r="DH113" t="s">
        <v>3</v>
      </c>
      <c r="DI113" t="s">
        <v>200</v>
      </c>
      <c r="DJ113" t="s">
        <v>200</v>
      </c>
      <c r="DK113" t="s">
        <v>3</v>
      </c>
      <c r="DL113" t="s">
        <v>3</v>
      </c>
      <c r="DM113" t="s">
        <v>3</v>
      </c>
      <c r="DN113">
        <v>0</v>
      </c>
      <c r="DO113">
        <v>0</v>
      </c>
      <c r="DP113">
        <v>1</v>
      </c>
      <c r="DQ113">
        <v>1</v>
      </c>
      <c r="DU113">
        <v>1009</v>
      </c>
      <c r="DV113" t="s">
        <v>71</v>
      </c>
      <c r="DW113" t="s">
        <v>71</v>
      </c>
      <c r="DX113">
        <v>1000</v>
      </c>
      <c r="DZ113" t="s">
        <v>3</v>
      </c>
      <c r="EA113" t="s">
        <v>3</v>
      </c>
      <c r="EB113" t="s">
        <v>3</v>
      </c>
      <c r="EC113" t="s">
        <v>3</v>
      </c>
      <c r="EE113">
        <v>64094946</v>
      </c>
      <c r="EF113">
        <v>3</v>
      </c>
      <c r="EG113" t="s">
        <v>22</v>
      </c>
      <c r="EH113">
        <v>0</v>
      </c>
      <c r="EI113" t="s">
        <v>3</v>
      </c>
      <c r="EJ113">
        <v>2</v>
      </c>
      <c r="EK113">
        <v>138001</v>
      </c>
      <c r="EL113" t="s">
        <v>370</v>
      </c>
      <c r="EM113" t="s">
        <v>371</v>
      </c>
      <c r="EO113" t="s">
        <v>42</v>
      </c>
      <c r="EQ113">
        <v>0</v>
      </c>
      <c r="ER113">
        <v>1776.3</v>
      </c>
      <c r="ES113">
        <v>252.26</v>
      </c>
      <c r="ET113">
        <v>369.64</v>
      </c>
      <c r="EU113">
        <v>21</v>
      </c>
      <c r="EV113">
        <v>1154.4000000000001</v>
      </c>
      <c r="EW113">
        <v>120</v>
      </c>
      <c r="EX113">
        <v>1.84</v>
      </c>
      <c r="EY113">
        <v>0</v>
      </c>
      <c r="FQ113">
        <v>0</v>
      </c>
      <c r="FR113">
        <f t="shared" si="122"/>
        <v>0</v>
      </c>
      <c r="FS113">
        <v>0</v>
      </c>
      <c r="FX113">
        <v>66</v>
      </c>
      <c r="FY113">
        <v>40</v>
      </c>
      <c r="GA113" t="s">
        <v>3</v>
      </c>
      <c r="GD113">
        <v>1</v>
      </c>
      <c r="GF113">
        <v>-1112051348</v>
      </c>
      <c r="GG113">
        <v>2</v>
      </c>
      <c r="GH113">
        <v>1</v>
      </c>
      <c r="GI113">
        <v>2</v>
      </c>
      <c r="GJ113">
        <v>0</v>
      </c>
      <c r="GK113">
        <v>0</v>
      </c>
      <c r="GL113">
        <f t="shared" si="123"/>
        <v>0</v>
      </c>
      <c r="GM113">
        <f t="shared" si="124"/>
        <v>12705.11</v>
      </c>
      <c r="GN113">
        <f t="shared" si="125"/>
        <v>0</v>
      </c>
      <c r="GO113">
        <f t="shared" si="126"/>
        <v>12705.11</v>
      </c>
      <c r="GP113">
        <f t="shared" si="127"/>
        <v>0</v>
      </c>
      <c r="GR113">
        <v>0</v>
      </c>
      <c r="GS113">
        <v>3</v>
      </c>
      <c r="GT113">
        <v>0</v>
      </c>
      <c r="GU113" t="s">
        <v>3</v>
      </c>
      <c r="GV113">
        <f t="shared" si="128"/>
        <v>0</v>
      </c>
      <c r="GW113">
        <v>1</v>
      </c>
      <c r="GX113">
        <f t="shared" si="129"/>
        <v>0</v>
      </c>
      <c r="HA113">
        <v>0</v>
      </c>
      <c r="HB113">
        <v>0</v>
      </c>
      <c r="HC113">
        <f t="shared" si="130"/>
        <v>0</v>
      </c>
      <c r="HE113" t="s">
        <v>3</v>
      </c>
      <c r="HF113" t="s">
        <v>3</v>
      </c>
      <c r="IK113">
        <v>0</v>
      </c>
    </row>
    <row r="114" spans="1:245" x14ac:dyDescent="0.2">
      <c r="A114">
        <v>18</v>
      </c>
      <c r="B114">
        <v>1</v>
      </c>
      <c r="C114">
        <v>327</v>
      </c>
      <c r="E114" t="s">
        <v>392</v>
      </c>
      <c r="F114" t="s">
        <v>393</v>
      </c>
      <c r="G114" t="s">
        <v>394</v>
      </c>
      <c r="H114" t="s">
        <v>395</v>
      </c>
      <c r="I114">
        <f>I113*J114</f>
        <v>2.25</v>
      </c>
      <c r="J114">
        <v>20.454545454545453</v>
      </c>
      <c r="O114">
        <f t="shared" si="97"/>
        <v>10730.6</v>
      </c>
      <c r="P114">
        <f t="shared" si="98"/>
        <v>10730.6</v>
      </c>
      <c r="Q114">
        <f t="shared" si="99"/>
        <v>0</v>
      </c>
      <c r="R114">
        <f t="shared" si="100"/>
        <v>0</v>
      </c>
      <c r="S114">
        <f t="shared" si="101"/>
        <v>0</v>
      </c>
      <c r="T114">
        <f t="shared" si="102"/>
        <v>0</v>
      </c>
      <c r="U114">
        <f t="shared" si="103"/>
        <v>0</v>
      </c>
      <c r="V114">
        <f t="shared" si="104"/>
        <v>0</v>
      </c>
      <c r="W114">
        <f t="shared" si="105"/>
        <v>0</v>
      </c>
      <c r="X114">
        <f t="shared" si="106"/>
        <v>0</v>
      </c>
      <c r="Y114">
        <f t="shared" si="107"/>
        <v>0</v>
      </c>
      <c r="AA114">
        <v>68990560</v>
      </c>
      <c r="AB114">
        <f t="shared" si="108"/>
        <v>1012.56</v>
      </c>
      <c r="AC114">
        <f t="shared" si="131"/>
        <v>1012.56</v>
      </c>
      <c r="AD114">
        <f t="shared" ref="AD114:AD123" si="134">ROUND((((ET114)-(EU114))+AE114),2)</f>
        <v>0</v>
      </c>
      <c r="AE114">
        <f t="shared" ref="AE114:AE123" si="135">ROUND((EU114),2)</f>
        <v>0</v>
      </c>
      <c r="AF114">
        <f t="shared" ref="AF114:AF123" si="136">ROUND((EV114),2)</f>
        <v>0</v>
      </c>
      <c r="AG114">
        <f t="shared" si="109"/>
        <v>0</v>
      </c>
      <c r="AH114">
        <f t="shared" ref="AH114:AH123" si="137">(EW114)</f>
        <v>0</v>
      </c>
      <c r="AI114">
        <f t="shared" ref="AI114:AI123" si="138">(EX114)</f>
        <v>0</v>
      </c>
      <c r="AJ114">
        <f t="shared" si="110"/>
        <v>0</v>
      </c>
      <c r="AK114">
        <v>1012.56</v>
      </c>
      <c r="AL114">
        <v>1012.56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66</v>
      </c>
      <c r="AU114">
        <v>40</v>
      </c>
      <c r="AV114">
        <v>1</v>
      </c>
      <c r="AW114">
        <v>1</v>
      </c>
      <c r="AZ114">
        <v>1</v>
      </c>
      <c r="BA114">
        <v>1</v>
      </c>
      <c r="BB114">
        <v>1</v>
      </c>
      <c r="BC114">
        <v>4.71</v>
      </c>
      <c r="BD114" t="s">
        <v>3</v>
      </c>
      <c r="BE114" t="s">
        <v>3</v>
      </c>
      <c r="BF114" t="s">
        <v>3</v>
      </c>
      <c r="BG114" t="s">
        <v>3</v>
      </c>
      <c r="BH114">
        <v>3</v>
      </c>
      <c r="BI114">
        <v>2</v>
      </c>
      <c r="BJ114" t="s">
        <v>396</v>
      </c>
      <c r="BM114">
        <v>138001</v>
      </c>
      <c r="BN114">
        <v>0</v>
      </c>
      <c r="BO114" t="s">
        <v>393</v>
      </c>
      <c r="BP114">
        <v>1</v>
      </c>
      <c r="BQ114">
        <v>3</v>
      </c>
      <c r="BR114">
        <v>0</v>
      </c>
      <c r="BS114">
        <v>1</v>
      </c>
      <c r="BT114">
        <v>1</v>
      </c>
      <c r="BU114">
        <v>1</v>
      </c>
      <c r="BV114">
        <v>1</v>
      </c>
      <c r="BW114">
        <v>1</v>
      </c>
      <c r="BX114">
        <v>1</v>
      </c>
      <c r="BY114" t="s">
        <v>3</v>
      </c>
      <c r="BZ114">
        <v>66</v>
      </c>
      <c r="CA114">
        <v>40</v>
      </c>
      <c r="CE114">
        <v>0</v>
      </c>
      <c r="CF114">
        <v>0</v>
      </c>
      <c r="CG114">
        <v>0</v>
      </c>
      <c r="CM114">
        <v>0</v>
      </c>
      <c r="CN114" t="s">
        <v>3</v>
      </c>
      <c r="CO114">
        <v>0</v>
      </c>
      <c r="CP114">
        <f t="shared" si="111"/>
        <v>10730.6</v>
      </c>
      <c r="CQ114">
        <f t="shared" si="112"/>
        <v>4769.1575999999995</v>
      </c>
      <c r="CR114">
        <f t="shared" si="113"/>
        <v>0</v>
      </c>
      <c r="CS114">
        <f t="shared" si="114"/>
        <v>0</v>
      </c>
      <c r="CT114">
        <f t="shared" si="115"/>
        <v>0</v>
      </c>
      <c r="CU114">
        <f t="shared" si="116"/>
        <v>0</v>
      </c>
      <c r="CV114">
        <f t="shared" si="117"/>
        <v>0</v>
      </c>
      <c r="CW114">
        <f t="shared" si="118"/>
        <v>0</v>
      </c>
      <c r="CX114">
        <f t="shared" si="119"/>
        <v>0</v>
      </c>
      <c r="CY114">
        <f t="shared" si="120"/>
        <v>0</v>
      </c>
      <c r="CZ114">
        <f t="shared" si="121"/>
        <v>0</v>
      </c>
      <c r="DC114" t="s">
        <v>3</v>
      </c>
      <c r="DD114" t="s">
        <v>3</v>
      </c>
      <c r="DE114" t="s">
        <v>3</v>
      </c>
      <c r="DF114" t="s">
        <v>3</v>
      </c>
      <c r="DG114" t="s">
        <v>3</v>
      </c>
      <c r="DH114" t="s">
        <v>3</v>
      </c>
      <c r="DI114" t="s">
        <v>3</v>
      </c>
      <c r="DJ114" t="s">
        <v>3</v>
      </c>
      <c r="DK114" t="s">
        <v>3</v>
      </c>
      <c r="DL114" t="s">
        <v>3</v>
      </c>
      <c r="DM114" t="s">
        <v>3</v>
      </c>
      <c r="DN114">
        <v>0</v>
      </c>
      <c r="DO114">
        <v>0</v>
      </c>
      <c r="DP114">
        <v>1</v>
      </c>
      <c r="DQ114">
        <v>1</v>
      </c>
      <c r="DU114">
        <v>1003</v>
      </c>
      <c r="DV114" t="s">
        <v>395</v>
      </c>
      <c r="DW114" t="s">
        <v>395</v>
      </c>
      <c r="DX114">
        <v>10</v>
      </c>
      <c r="DZ114" t="s">
        <v>3</v>
      </c>
      <c r="EA114" t="s">
        <v>3</v>
      </c>
      <c r="EB114" t="s">
        <v>3</v>
      </c>
      <c r="EC114" t="s">
        <v>3</v>
      </c>
      <c r="EE114">
        <v>64094946</v>
      </c>
      <c r="EF114">
        <v>3</v>
      </c>
      <c r="EG114" t="s">
        <v>22</v>
      </c>
      <c r="EH114">
        <v>0</v>
      </c>
      <c r="EI114" t="s">
        <v>3</v>
      </c>
      <c r="EJ114">
        <v>2</v>
      </c>
      <c r="EK114">
        <v>138001</v>
      </c>
      <c r="EL114" t="s">
        <v>370</v>
      </c>
      <c r="EM114" t="s">
        <v>371</v>
      </c>
      <c r="EO114" t="s">
        <v>3</v>
      </c>
      <c r="EQ114">
        <v>0</v>
      </c>
      <c r="ER114">
        <v>1012.56</v>
      </c>
      <c r="ES114">
        <v>1012.56</v>
      </c>
      <c r="ET114">
        <v>0</v>
      </c>
      <c r="EU114">
        <v>0</v>
      </c>
      <c r="EV114">
        <v>0</v>
      </c>
      <c r="EW114">
        <v>0</v>
      </c>
      <c r="EX114">
        <v>0</v>
      </c>
      <c r="FQ114">
        <v>0</v>
      </c>
      <c r="FR114">
        <f t="shared" si="122"/>
        <v>0</v>
      </c>
      <c r="FS114">
        <v>0</v>
      </c>
      <c r="FX114">
        <v>66</v>
      </c>
      <c r="FY114">
        <v>40</v>
      </c>
      <c r="GA114" t="s">
        <v>3</v>
      </c>
      <c r="GD114">
        <v>1</v>
      </c>
      <c r="GF114">
        <v>-1263341680</v>
      </c>
      <c r="GG114">
        <v>2</v>
      </c>
      <c r="GH114">
        <v>1</v>
      </c>
      <c r="GI114">
        <v>2</v>
      </c>
      <c r="GJ114">
        <v>0</v>
      </c>
      <c r="GK114">
        <v>0</v>
      </c>
      <c r="GL114">
        <f t="shared" si="123"/>
        <v>0</v>
      </c>
      <c r="GM114">
        <f t="shared" si="124"/>
        <v>10730.6</v>
      </c>
      <c r="GN114">
        <f t="shared" si="125"/>
        <v>0</v>
      </c>
      <c r="GO114">
        <f t="shared" si="126"/>
        <v>10730.6</v>
      </c>
      <c r="GP114">
        <f t="shared" si="127"/>
        <v>0</v>
      </c>
      <c r="GR114">
        <v>0</v>
      </c>
      <c r="GS114">
        <v>3</v>
      </c>
      <c r="GT114">
        <v>0</v>
      </c>
      <c r="GU114" t="s">
        <v>3</v>
      </c>
      <c r="GV114">
        <f t="shared" si="128"/>
        <v>0</v>
      </c>
      <c r="GW114">
        <v>1</v>
      </c>
      <c r="GX114">
        <f t="shared" si="129"/>
        <v>0</v>
      </c>
      <c r="HA114">
        <v>0</v>
      </c>
      <c r="HB114">
        <v>0</v>
      </c>
      <c r="HC114">
        <f t="shared" si="130"/>
        <v>0</v>
      </c>
      <c r="HE114" t="s">
        <v>3</v>
      </c>
      <c r="HF114" t="s">
        <v>3</v>
      </c>
      <c r="IK114">
        <v>0</v>
      </c>
    </row>
    <row r="115" spans="1:245" x14ac:dyDescent="0.2">
      <c r="A115">
        <v>18</v>
      </c>
      <c r="B115">
        <v>1</v>
      </c>
      <c r="C115">
        <v>326</v>
      </c>
      <c r="E115" t="s">
        <v>397</v>
      </c>
      <c r="F115" t="s">
        <v>398</v>
      </c>
      <c r="G115" t="s">
        <v>399</v>
      </c>
      <c r="H115" t="s">
        <v>395</v>
      </c>
      <c r="I115">
        <f>I113*J115</f>
        <v>2.5</v>
      </c>
      <c r="J115">
        <v>22.727272727272727</v>
      </c>
      <c r="O115">
        <f t="shared" si="97"/>
        <v>11929.27</v>
      </c>
      <c r="P115">
        <f t="shared" si="98"/>
        <v>11929.27</v>
      </c>
      <c r="Q115">
        <f t="shared" si="99"/>
        <v>0</v>
      </c>
      <c r="R115">
        <f t="shared" si="100"/>
        <v>0</v>
      </c>
      <c r="S115">
        <f t="shared" si="101"/>
        <v>0</v>
      </c>
      <c r="T115">
        <f t="shared" si="102"/>
        <v>0</v>
      </c>
      <c r="U115">
        <f t="shared" si="103"/>
        <v>0</v>
      </c>
      <c r="V115">
        <f t="shared" si="104"/>
        <v>0</v>
      </c>
      <c r="W115">
        <f t="shared" si="105"/>
        <v>0</v>
      </c>
      <c r="X115">
        <f t="shared" si="106"/>
        <v>0</v>
      </c>
      <c r="Y115">
        <f t="shared" si="107"/>
        <v>0</v>
      </c>
      <c r="AA115">
        <v>68990560</v>
      </c>
      <c r="AB115">
        <f t="shared" si="108"/>
        <v>847.55</v>
      </c>
      <c r="AC115">
        <f t="shared" si="131"/>
        <v>847.55</v>
      </c>
      <c r="AD115">
        <f t="shared" si="134"/>
        <v>0</v>
      </c>
      <c r="AE115">
        <f t="shared" si="135"/>
        <v>0</v>
      </c>
      <c r="AF115">
        <f t="shared" si="136"/>
        <v>0</v>
      </c>
      <c r="AG115">
        <f t="shared" si="109"/>
        <v>0</v>
      </c>
      <c r="AH115">
        <f t="shared" si="137"/>
        <v>0</v>
      </c>
      <c r="AI115">
        <f t="shared" si="138"/>
        <v>0</v>
      </c>
      <c r="AJ115">
        <f t="shared" si="110"/>
        <v>0</v>
      </c>
      <c r="AK115">
        <v>847.55</v>
      </c>
      <c r="AL115">
        <v>847.55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66</v>
      </c>
      <c r="AU115">
        <v>40</v>
      </c>
      <c r="AV115">
        <v>1</v>
      </c>
      <c r="AW115">
        <v>1</v>
      </c>
      <c r="AZ115">
        <v>1</v>
      </c>
      <c r="BA115">
        <v>1</v>
      </c>
      <c r="BB115">
        <v>1</v>
      </c>
      <c r="BC115">
        <v>5.63</v>
      </c>
      <c r="BD115" t="s">
        <v>3</v>
      </c>
      <c r="BE115" t="s">
        <v>3</v>
      </c>
      <c r="BF115" t="s">
        <v>3</v>
      </c>
      <c r="BG115" t="s">
        <v>3</v>
      </c>
      <c r="BH115">
        <v>3</v>
      </c>
      <c r="BI115">
        <v>2</v>
      </c>
      <c r="BJ115" t="s">
        <v>400</v>
      </c>
      <c r="BM115">
        <v>138001</v>
      </c>
      <c r="BN115">
        <v>0</v>
      </c>
      <c r="BO115" t="s">
        <v>398</v>
      </c>
      <c r="BP115">
        <v>1</v>
      </c>
      <c r="BQ115">
        <v>3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3</v>
      </c>
      <c r="BZ115">
        <v>66</v>
      </c>
      <c r="CA115">
        <v>40</v>
      </c>
      <c r="CE115">
        <v>0</v>
      </c>
      <c r="CF115">
        <v>0</v>
      </c>
      <c r="CG115">
        <v>0</v>
      </c>
      <c r="CM115">
        <v>0</v>
      </c>
      <c r="CN115" t="s">
        <v>3</v>
      </c>
      <c r="CO115">
        <v>0</v>
      </c>
      <c r="CP115">
        <f t="shared" si="111"/>
        <v>11929.27</v>
      </c>
      <c r="CQ115">
        <f t="shared" si="112"/>
        <v>4771.7064999999993</v>
      </c>
      <c r="CR115">
        <f t="shared" si="113"/>
        <v>0</v>
      </c>
      <c r="CS115">
        <f t="shared" si="114"/>
        <v>0</v>
      </c>
      <c r="CT115">
        <f t="shared" si="115"/>
        <v>0</v>
      </c>
      <c r="CU115">
        <f t="shared" si="116"/>
        <v>0</v>
      </c>
      <c r="CV115">
        <f t="shared" si="117"/>
        <v>0</v>
      </c>
      <c r="CW115">
        <f t="shared" si="118"/>
        <v>0</v>
      </c>
      <c r="CX115">
        <f t="shared" si="119"/>
        <v>0</v>
      </c>
      <c r="CY115">
        <f t="shared" si="120"/>
        <v>0</v>
      </c>
      <c r="CZ115">
        <f t="shared" si="121"/>
        <v>0</v>
      </c>
      <c r="DC115" t="s">
        <v>3</v>
      </c>
      <c r="DD115" t="s">
        <v>3</v>
      </c>
      <c r="DE115" t="s">
        <v>3</v>
      </c>
      <c r="DF115" t="s">
        <v>3</v>
      </c>
      <c r="DG115" t="s">
        <v>3</v>
      </c>
      <c r="DH115" t="s">
        <v>3</v>
      </c>
      <c r="DI115" t="s">
        <v>3</v>
      </c>
      <c r="DJ115" t="s">
        <v>3</v>
      </c>
      <c r="DK115" t="s">
        <v>3</v>
      </c>
      <c r="DL115" t="s">
        <v>3</v>
      </c>
      <c r="DM115" t="s">
        <v>3</v>
      </c>
      <c r="DN115">
        <v>0</v>
      </c>
      <c r="DO115">
        <v>0</v>
      </c>
      <c r="DP115">
        <v>1</v>
      </c>
      <c r="DQ115">
        <v>1</v>
      </c>
      <c r="DU115">
        <v>1003</v>
      </c>
      <c r="DV115" t="s">
        <v>395</v>
      </c>
      <c r="DW115" t="s">
        <v>395</v>
      </c>
      <c r="DX115">
        <v>10</v>
      </c>
      <c r="DZ115" t="s">
        <v>3</v>
      </c>
      <c r="EA115" t="s">
        <v>3</v>
      </c>
      <c r="EB115" t="s">
        <v>3</v>
      </c>
      <c r="EC115" t="s">
        <v>3</v>
      </c>
      <c r="EE115">
        <v>64094946</v>
      </c>
      <c r="EF115">
        <v>3</v>
      </c>
      <c r="EG115" t="s">
        <v>22</v>
      </c>
      <c r="EH115">
        <v>0</v>
      </c>
      <c r="EI115" t="s">
        <v>3</v>
      </c>
      <c r="EJ115">
        <v>2</v>
      </c>
      <c r="EK115">
        <v>138001</v>
      </c>
      <c r="EL115" t="s">
        <v>370</v>
      </c>
      <c r="EM115" t="s">
        <v>371</v>
      </c>
      <c r="EO115" t="s">
        <v>3</v>
      </c>
      <c r="EQ115">
        <v>0</v>
      </c>
      <c r="ER115">
        <v>847.55</v>
      </c>
      <c r="ES115">
        <v>847.55</v>
      </c>
      <c r="ET115">
        <v>0</v>
      </c>
      <c r="EU115">
        <v>0</v>
      </c>
      <c r="EV115">
        <v>0</v>
      </c>
      <c r="EW115">
        <v>0</v>
      </c>
      <c r="EX115">
        <v>0</v>
      </c>
      <c r="FQ115">
        <v>0</v>
      </c>
      <c r="FR115">
        <f t="shared" si="122"/>
        <v>0</v>
      </c>
      <c r="FS115">
        <v>0</v>
      </c>
      <c r="FX115">
        <v>66</v>
      </c>
      <c r="FY115">
        <v>40</v>
      </c>
      <c r="GA115" t="s">
        <v>3</v>
      </c>
      <c r="GD115">
        <v>1</v>
      </c>
      <c r="GF115">
        <v>1390775279</v>
      </c>
      <c r="GG115">
        <v>2</v>
      </c>
      <c r="GH115">
        <v>1</v>
      </c>
      <c r="GI115">
        <v>2</v>
      </c>
      <c r="GJ115">
        <v>0</v>
      </c>
      <c r="GK115">
        <v>0</v>
      </c>
      <c r="GL115">
        <f t="shared" si="123"/>
        <v>0</v>
      </c>
      <c r="GM115">
        <f t="shared" si="124"/>
        <v>11929.27</v>
      </c>
      <c r="GN115">
        <f t="shared" si="125"/>
        <v>0</v>
      </c>
      <c r="GO115">
        <f t="shared" si="126"/>
        <v>11929.27</v>
      </c>
      <c r="GP115">
        <f t="shared" si="127"/>
        <v>0</v>
      </c>
      <c r="GR115">
        <v>0</v>
      </c>
      <c r="GS115">
        <v>3</v>
      </c>
      <c r="GT115">
        <v>0</v>
      </c>
      <c r="GU115" t="s">
        <v>3</v>
      </c>
      <c r="GV115">
        <f t="shared" si="128"/>
        <v>0</v>
      </c>
      <c r="GW115">
        <v>1</v>
      </c>
      <c r="GX115">
        <f t="shared" si="129"/>
        <v>0</v>
      </c>
      <c r="HA115">
        <v>0</v>
      </c>
      <c r="HB115">
        <v>0</v>
      </c>
      <c r="HC115">
        <f t="shared" si="130"/>
        <v>0</v>
      </c>
      <c r="HE115" t="s">
        <v>3</v>
      </c>
      <c r="HF115" t="s">
        <v>3</v>
      </c>
      <c r="IK115">
        <v>0</v>
      </c>
    </row>
    <row r="116" spans="1:245" x14ac:dyDescent="0.2">
      <c r="A116">
        <v>18</v>
      </c>
      <c r="B116">
        <v>1</v>
      </c>
      <c r="C116">
        <v>325</v>
      </c>
      <c r="E116" t="s">
        <v>401</v>
      </c>
      <c r="F116" t="s">
        <v>402</v>
      </c>
      <c r="G116" t="s">
        <v>403</v>
      </c>
      <c r="H116" t="s">
        <v>395</v>
      </c>
      <c r="I116">
        <f>I113*J116</f>
        <v>4.16</v>
      </c>
      <c r="J116">
        <v>37.81818181818182</v>
      </c>
      <c r="O116">
        <f t="shared" ref="O116:O147" si="139">ROUND(CP116,2)</f>
        <v>8212.92</v>
      </c>
      <c r="P116">
        <f t="shared" ref="P116:P147" si="140">ROUND(CQ116*I116,2)</f>
        <v>8212.92</v>
      </c>
      <c r="Q116">
        <f t="shared" ref="Q116:Q147" si="141">ROUND(CR116*I116,2)</f>
        <v>0</v>
      </c>
      <c r="R116">
        <f t="shared" ref="R116:R147" si="142">ROUND(CS116*I116,2)</f>
        <v>0</v>
      </c>
      <c r="S116">
        <f t="shared" ref="S116:S147" si="143">ROUND(CT116*I116,2)</f>
        <v>0</v>
      </c>
      <c r="T116">
        <f t="shared" ref="T116:T147" si="144">ROUND(CU116*I116,2)</f>
        <v>0</v>
      </c>
      <c r="U116">
        <f t="shared" ref="U116:U147" si="145">CV116*I116</f>
        <v>0</v>
      </c>
      <c r="V116">
        <f t="shared" ref="V116:V147" si="146">CW116*I116</f>
        <v>0</v>
      </c>
      <c r="W116">
        <f t="shared" ref="W116:W147" si="147">ROUND(CX116*I116,2)</f>
        <v>0</v>
      </c>
      <c r="X116">
        <f t="shared" ref="X116:X147" si="148">ROUND(CY116,2)</f>
        <v>0</v>
      </c>
      <c r="Y116">
        <f t="shared" ref="Y116:Y147" si="149">ROUND(CZ116,2)</f>
        <v>0</v>
      </c>
      <c r="AA116">
        <v>68990560</v>
      </c>
      <c r="AB116">
        <f t="shared" ref="AB116:AB147" si="150">ROUND((AC116+AD116+AF116),2)</f>
        <v>353.81</v>
      </c>
      <c r="AC116">
        <f t="shared" si="131"/>
        <v>353.81</v>
      </c>
      <c r="AD116">
        <f t="shared" si="134"/>
        <v>0</v>
      </c>
      <c r="AE116">
        <f t="shared" si="135"/>
        <v>0</v>
      </c>
      <c r="AF116">
        <f t="shared" si="136"/>
        <v>0</v>
      </c>
      <c r="AG116">
        <f t="shared" ref="AG116:AG147" si="151">ROUND((AP116),2)</f>
        <v>0</v>
      </c>
      <c r="AH116">
        <f t="shared" si="137"/>
        <v>0</v>
      </c>
      <c r="AI116">
        <f t="shared" si="138"/>
        <v>0</v>
      </c>
      <c r="AJ116">
        <f t="shared" ref="AJ116:AJ147" si="152">(AS116)</f>
        <v>0</v>
      </c>
      <c r="AK116">
        <v>353.81</v>
      </c>
      <c r="AL116">
        <v>353.81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66</v>
      </c>
      <c r="AU116">
        <v>40</v>
      </c>
      <c r="AV116">
        <v>1</v>
      </c>
      <c r="AW116">
        <v>1</v>
      </c>
      <c r="AZ116">
        <v>1</v>
      </c>
      <c r="BA116">
        <v>1</v>
      </c>
      <c r="BB116">
        <v>1</v>
      </c>
      <c r="BC116">
        <v>5.58</v>
      </c>
      <c r="BD116" t="s">
        <v>3</v>
      </c>
      <c r="BE116" t="s">
        <v>3</v>
      </c>
      <c r="BF116" t="s">
        <v>3</v>
      </c>
      <c r="BG116" t="s">
        <v>3</v>
      </c>
      <c r="BH116">
        <v>3</v>
      </c>
      <c r="BI116">
        <v>2</v>
      </c>
      <c r="BJ116" t="s">
        <v>404</v>
      </c>
      <c r="BM116">
        <v>138001</v>
      </c>
      <c r="BN116">
        <v>0</v>
      </c>
      <c r="BO116" t="s">
        <v>402</v>
      </c>
      <c r="BP116">
        <v>1</v>
      </c>
      <c r="BQ116">
        <v>3</v>
      </c>
      <c r="BR116">
        <v>0</v>
      </c>
      <c r="BS116">
        <v>1</v>
      </c>
      <c r="BT116">
        <v>1</v>
      </c>
      <c r="BU116">
        <v>1</v>
      </c>
      <c r="BV116">
        <v>1</v>
      </c>
      <c r="BW116">
        <v>1</v>
      </c>
      <c r="BX116">
        <v>1</v>
      </c>
      <c r="BY116" t="s">
        <v>3</v>
      </c>
      <c r="BZ116">
        <v>66</v>
      </c>
      <c r="CA116">
        <v>40</v>
      </c>
      <c r="CE116">
        <v>0</v>
      </c>
      <c r="CF116">
        <v>0</v>
      </c>
      <c r="CG116">
        <v>0</v>
      </c>
      <c r="CM116">
        <v>0</v>
      </c>
      <c r="CN116" t="s">
        <v>3</v>
      </c>
      <c r="CO116">
        <v>0</v>
      </c>
      <c r="CP116">
        <f t="shared" ref="CP116:CP147" si="153">(P116+Q116+S116)</f>
        <v>8212.92</v>
      </c>
      <c r="CQ116">
        <f t="shared" ref="CQ116:CQ147" si="154">AC116*BC116</f>
        <v>1974.2598</v>
      </c>
      <c r="CR116">
        <f t="shared" ref="CR116:CR147" si="155">AD116*BB116</f>
        <v>0</v>
      </c>
      <c r="CS116">
        <f t="shared" ref="CS116:CS147" si="156">AE116*BS116</f>
        <v>0</v>
      </c>
      <c r="CT116">
        <f t="shared" ref="CT116:CT147" si="157">AF116*BA116</f>
        <v>0</v>
      </c>
      <c r="CU116">
        <f t="shared" ref="CU116:CU147" si="158">AG116</f>
        <v>0</v>
      </c>
      <c r="CV116">
        <f t="shared" ref="CV116:CV147" si="159">AH116</f>
        <v>0</v>
      </c>
      <c r="CW116">
        <f t="shared" ref="CW116:CW147" si="160">AI116</f>
        <v>0</v>
      </c>
      <c r="CX116">
        <f t="shared" ref="CX116:CX147" si="161">AJ116</f>
        <v>0</v>
      </c>
      <c r="CY116">
        <f t="shared" ref="CY116:CY147" si="162">(((S116+R116)*AT116)/100)</f>
        <v>0</v>
      </c>
      <c r="CZ116">
        <f t="shared" ref="CZ116:CZ147" si="163">(((S116+R116)*AU116)/100)</f>
        <v>0</v>
      </c>
      <c r="DC116" t="s">
        <v>3</v>
      </c>
      <c r="DD116" t="s">
        <v>3</v>
      </c>
      <c r="DE116" t="s">
        <v>3</v>
      </c>
      <c r="DF116" t="s">
        <v>3</v>
      </c>
      <c r="DG116" t="s">
        <v>3</v>
      </c>
      <c r="DH116" t="s">
        <v>3</v>
      </c>
      <c r="DI116" t="s">
        <v>3</v>
      </c>
      <c r="DJ116" t="s">
        <v>3</v>
      </c>
      <c r="DK116" t="s">
        <v>3</v>
      </c>
      <c r="DL116" t="s">
        <v>3</v>
      </c>
      <c r="DM116" t="s">
        <v>3</v>
      </c>
      <c r="DN116">
        <v>0</v>
      </c>
      <c r="DO116">
        <v>0</v>
      </c>
      <c r="DP116">
        <v>1</v>
      </c>
      <c r="DQ116">
        <v>1</v>
      </c>
      <c r="DU116">
        <v>1003</v>
      </c>
      <c r="DV116" t="s">
        <v>395</v>
      </c>
      <c r="DW116" t="s">
        <v>395</v>
      </c>
      <c r="DX116">
        <v>10</v>
      </c>
      <c r="DZ116" t="s">
        <v>3</v>
      </c>
      <c r="EA116" t="s">
        <v>3</v>
      </c>
      <c r="EB116" t="s">
        <v>3</v>
      </c>
      <c r="EC116" t="s">
        <v>3</v>
      </c>
      <c r="EE116">
        <v>64094946</v>
      </c>
      <c r="EF116">
        <v>3</v>
      </c>
      <c r="EG116" t="s">
        <v>22</v>
      </c>
      <c r="EH116">
        <v>0</v>
      </c>
      <c r="EI116" t="s">
        <v>3</v>
      </c>
      <c r="EJ116">
        <v>2</v>
      </c>
      <c r="EK116">
        <v>138001</v>
      </c>
      <c r="EL116" t="s">
        <v>370</v>
      </c>
      <c r="EM116" t="s">
        <v>371</v>
      </c>
      <c r="EO116" t="s">
        <v>3</v>
      </c>
      <c r="EQ116">
        <v>0</v>
      </c>
      <c r="ER116">
        <v>353.81</v>
      </c>
      <c r="ES116">
        <v>353.81</v>
      </c>
      <c r="ET116">
        <v>0</v>
      </c>
      <c r="EU116">
        <v>0</v>
      </c>
      <c r="EV116">
        <v>0</v>
      </c>
      <c r="EW116">
        <v>0</v>
      </c>
      <c r="EX116">
        <v>0</v>
      </c>
      <c r="FQ116">
        <v>0</v>
      </c>
      <c r="FR116">
        <f t="shared" ref="FR116:FR147" si="164">ROUND(IF(AND(BH116=3,BI116=3),P116,0),2)</f>
        <v>0</v>
      </c>
      <c r="FS116">
        <v>0</v>
      </c>
      <c r="FX116">
        <v>66</v>
      </c>
      <c r="FY116">
        <v>40</v>
      </c>
      <c r="GA116" t="s">
        <v>3</v>
      </c>
      <c r="GD116">
        <v>1</v>
      </c>
      <c r="GF116">
        <v>1410241732</v>
      </c>
      <c r="GG116">
        <v>2</v>
      </c>
      <c r="GH116">
        <v>1</v>
      </c>
      <c r="GI116">
        <v>2</v>
      </c>
      <c r="GJ116">
        <v>0</v>
      </c>
      <c r="GK116">
        <v>0</v>
      </c>
      <c r="GL116">
        <f t="shared" ref="GL116:GL147" si="165">ROUND(IF(AND(BH116=3,BI116=3,FS116&lt;&gt;0),P116,0),2)</f>
        <v>0</v>
      </c>
      <c r="GM116">
        <f t="shared" ref="GM116:GM147" si="166">ROUND(O116+X116+Y116,2)+GX116</f>
        <v>8212.92</v>
      </c>
      <c r="GN116">
        <f t="shared" ref="GN116:GN147" si="167">IF(OR(BI116=0,BI116=1),ROUND(O116+X116+Y116,2),0)</f>
        <v>0</v>
      </c>
      <c r="GO116">
        <f t="shared" ref="GO116:GO147" si="168">IF(BI116=2,ROUND(O116+X116+Y116,2),0)</f>
        <v>8212.92</v>
      </c>
      <c r="GP116">
        <f t="shared" ref="GP116:GP147" si="169">IF(BI116=4,ROUND(O116+X116+Y116,2)+GX116,0)</f>
        <v>0</v>
      </c>
      <c r="GR116">
        <v>0</v>
      </c>
      <c r="GS116">
        <v>3</v>
      </c>
      <c r="GT116">
        <v>0</v>
      </c>
      <c r="GU116" t="s">
        <v>3</v>
      </c>
      <c r="GV116">
        <f t="shared" ref="GV116:GV147" si="170">ROUND((GT116),2)</f>
        <v>0</v>
      </c>
      <c r="GW116">
        <v>1</v>
      </c>
      <c r="GX116">
        <f t="shared" ref="GX116:GX147" si="171">ROUND(HC116*I116,2)</f>
        <v>0</v>
      </c>
      <c r="HA116">
        <v>0</v>
      </c>
      <c r="HB116">
        <v>0</v>
      </c>
      <c r="HC116">
        <f t="shared" ref="HC116:HC147" si="172">GV116*GW116</f>
        <v>0</v>
      </c>
      <c r="HE116" t="s">
        <v>3</v>
      </c>
      <c r="HF116" t="s">
        <v>3</v>
      </c>
      <c r="IK116">
        <v>0</v>
      </c>
    </row>
    <row r="117" spans="1:245" x14ac:dyDescent="0.2">
      <c r="A117">
        <v>18</v>
      </c>
      <c r="B117">
        <v>1</v>
      </c>
      <c r="C117">
        <v>324</v>
      </c>
      <c r="E117" t="s">
        <v>405</v>
      </c>
      <c r="F117" t="s">
        <v>406</v>
      </c>
      <c r="G117" t="s">
        <v>407</v>
      </c>
      <c r="H117" t="s">
        <v>29</v>
      </c>
      <c r="I117">
        <f>I113*J117</f>
        <v>12</v>
      </c>
      <c r="J117">
        <v>109.09090909090909</v>
      </c>
      <c r="O117">
        <f t="shared" si="139"/>
        <v>1573.52</v>
      </c>
      <c r="P117">
        <f t="shared" si="140"/>
        <v>1573.52</v>
      </c>
      <c r="Q117">
        <f t="shared" si="141"/>
        <v>0</v>
      </c>
      <c r="R117">
        <f t="shared" si="142"/>
        <v>0</v>
      </c>
      <c r="S117">
        <f t="shared" si="143"/>
        <v>0</v>
      </c>
      <c r="T117">
        <f t="shared" si="144"/>
        <v>0</v>
      </c>
      <c r="U117">
        <f t="shared" si="145"/>
        <v>0</v>
      </c>
      <c r="V117">
        <f t="shared" si="146"/>
        <v>0</v>
      </c>
      <c r="W117">
        <f t="shared" si="147"/>
        <v>0</v>
      </c>
      <c r="X117">
        <f t="shared" si="148"/>
        <v>0</v>
      </c>
      <c r="Y117">
        <f t="shared" si="149"/>
        <v>0</v>
      </c>
      <c r="AA117">
        <v>68990560</v>
      </c>
      <c r="AB117">
        <f t="shared" si="150"/>
        <v>14.13</v>
      </c>
      <c r="AC117">
        <f t="shared" si="131"/>
        <v>14.13</v>
      </c>
      <c r="AD117">
        <f t="shared" si="134"/>
        <v>0</v>
      </c>
      <c r="AE117">
        <f t="shared" si="135"/>
        <v>0</v>
      </c>
      <c r="AF117">
        <f t="shared" si="136"/>
        <v>0</v>
      </c>
      <c r="AG117">
        <f t="shared" si="151"/>
        <v>0</v>
      </c>
      <c r="AH117">
        <f t="shared" si="137"/>
        <v>0</v>
      </c>
      <c r="AI117">
        <f t="shared" si="138"/>
        <v>0</v>
      </c>
      <c r="AJ117">
        <f t="shared" si="152"/>
        <v>0</v>
      </c>
      <c r="AK117">
        <v>14.13</v>
      </c>
      <c r="AL117">
        <v>14.13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66</v>
      </c>
      <c r="AU117">
        <v>40</v>
      </c>
      <c r="AV117">
        <v>1</v>
      </c>
      <c r="AW117">
        <v>1</v>
      </c>
      <c r="AZ117">
        <v>1</v>
      </c>
      <c r="BA117">
        <v>1</v>
      </c>
      <c r="BB117">
        <v>1</v>
      </c>
      <c r="BC117">
        <v>9.2799999999999994</v>
      </c>
      <c r="BD117" t="s">
        <v>3</v>
      </c>
      <c r="BE117" t="s">
        <v>3</v>
      </c>
      <c r="BF117" t="s">
        <v>3</v>
      </c>
      <c r="BG117" t="s">
        <v>3</v>
      </c>
      <c r="BH117">
        <v>3</v>
      </c>
      <c r="BI117">
        <v>2</v>
      </c>
      <c r="BJ117" t="s">
        <v>408</v>
      </c>
      <c r="BM117">
        <v>138001</v>
      </c>
      <c r="BN117">
        <v>0</v>
      </c>
      <c r="BO117" t="s">
        <v>406</v>
      </c>
      <c r="BP117">
        <v>1</v>
      </c>
      <c r="BQ117">
        <v>3</v>
      </c>
      <c r="BR117">
        <v>0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3</v>
      </c>
      <c r="BZ117">
        <v>66</v>
      </c>
      <c r="CA117">
        <v>40</v>
      </c>
      <c r="CE117">
        <v>0</v>
      </c>
      <c r="CF117">
        <v>0</v>
      </c>
      <c r="CG117">
        <v>0</v>
      </c>
      <c r="CM117">
        <v>0</v>
      </c>
      <c r="CN117" t="s">
        <v>3</v>
      </c>
      <c r="CO117">
        <v>0</v>
      </c>
      <c r="CP117">
        <f t="shared" si="153"/>
        <v>1573.52</v>
      </c>
      <c r="CQ117">
        <f t="shared" si="154"/>
        <v>131.12639999999999</v>
      </c>
      <c r="CR117">
        <f t="shared" si="155"/>
        <v>0</v>
      </c>
      <c r="CS117">
        <f t="shared" si="156"/>
        <v>0</v>
      </c>
      <c r="CT117">
        <f t="shared" si="157"/>
        <v>0</v>
      </c>
      <c r="CU117">
        <f t="shared" si="158"/>
        <v>0</v>
      </c>
      <c r="CV117">
        <f t="shared" si="159"/>
        <v>0</v>
      </c>
      <c r="CW117">
        <f t="shared" si="160"/>
        <v>0</v>
      </c>
      <c r="CX117">
        <f t="shared" si="161"/>
        <v>0</v>
      </c>
      <c r="CY117">
        <f t="shared" si="162"/>
        <v>0</v>
      </c>
      <c r="CZ117">
        <f t="shared" si="163"/>
        <v>0</v>
      </c>
      <c r="DC117" t="s">
        <v>3</v>
      </c>
      <c r="DD117" t="s">
        <v>3</v>
      </c>
      <c r="DE117" t="s">
        <v>3</v>
      </c>
      <c r="DF117" t="s">
        <v>3</v>
      </c>
      <c r="DG117" t="s">
        <v>3</v>
      </c>
      <c r="DH117" t="s">
        <v>3</v>
      </c>
      <c r="DI117" t="s">
        <v>3</v>
      </c>
      <c r="DJ117" t="s">
        <v>3</v>
      </c>
      <c r="DK117" t="s">
        <v>3</v>
      </c>
      <c r="DL117" t="s">
        <v>3</v>
      </c>
      <c r="DM117" t="s">
        <v>3</v>
      </c>
      <c r="DN117">
        <v>0</v>
      </c>
      <c r="DO117">
        <v>0</v>
      </c>
      <c r="DP117">
        <v>1</v>
      </c>
      <c r="DQ117">
        <v>1</v>
      </c>
      <c r="DU117">
        <v>1013</v>
      </c>
      <c r="DV117" t="s">
        <v>29</v>
      </c>
      <c r="DW117" t="s">
        <v>29</v>
      </c>
      <c r="DX117">
        <v>1</v>
      </c>
      <c r="DZ117" t="s">
        <v>3</v>
      </c>
      <c r="EA117" t="s">
        <v>3</v>
      </c>
      <c r="EB117" t="s">
        <v>3</v>
      </c>
      <c r="EC117" t="s">
        <v>3</v>
      </c>
      <c r="EE117">
        <v>64094946</v>
      </c>
      <c r="EF117">
        <v>3</v>
      </c>
      <c r="EG117" t="s">
        <v>22</v>
      </c>
      <c r="EH117">
        <v>0</v>
      </c>
      <c r="EI117" t="s">
        <v>3</v>
      </c>
      <c r="EJ117">
        <v>2</v>
      </c>
      <c r="EK117">
        <v>138001</v>
      </c>
      <c r="EL117" t="s">
        <v>370</v>
      </c>
      <c r="EM117" t="s">
        <v>371</v>
      </c>
      <c r="EO117" t="s">
        <v>3</v>
      </c>
      <c r="EQ117">
        <v>0</v>
      </c>
      <c r="ER117">
        <v>14.13</v>
      </c>
      <c r="ES117">
        <v>14.13</v>
      </c>
      <c r="ET117">
        <v>0</v>
      </c>
      <c r="EU117">
        <v>0</v>
      </c>
      <c r="EV117">
        <v>0</v>
      </c>
      <c r="EW117">
        <v>0</v>
      </c>
      <c r="EX117">
        <v>0</v>
      </c>
      <c r="FQ117">
        <v>0</v>
      </c>
      <c r="FR117">
        <f t="shared" si="164"/>
        <v>0</v>
      </c>
      <c r="FS117">
        <v>0</v>
      </c>
      <c r="FX117">
        <v>66</v>
      </c>
      <c r="FY117">
        <v>40</v>
      </c>
      <c r="GA117" t="s">
        <v>3</v>
      </c>
      <c r="GD117">
        <v>1</v>
      </c>
      <c r="GF117">
        <v>-785211630</v>
      </c>
      <c r="GG117">
        <v>2</v>
      </c>
      <c r="GH117">
        <v>1</v>
      </c>
      <c r="GI117">
        <v>2</v>
      </c>
      <c r="GJ117">
        <v>0</v>
      </c>
      <c r="GK117">
        <v>0</v>
      </c>
      <c r="GL117">
        <f t="shared" si="165"/>
        <v>0</v>
      </c>
      <c r="GM117">
        <f t="shared" si="166"/>
        <v>1573.52</v>
      </c>
      <c r="GN117">
        <f t="shared" si="167"/>
        <v>0</v>
      </c>
      <c r="GO117">
        <f t="shared" si="168"/>
        <v>1573.52</v>
      </c>
      <c r="GP117">
        <f t="shared" si="169"/>
        <v>0</v>
      </c>
      <c r="GR117">
        <v>0</v>
      </c>
      <c r="GS117">
        <v>3</v>
      </c>
      <c r="GT117">
        <v>0</v>
      </c>
      <c r="GU117" t="s">
        <v>3</v>
      </c>
      <c r="GV117">
        <f t="shared" si="170"/>
        <v>0</v>
      </c>
      <c r="GW117">
        <v>1</v>
      </c>
      <c r="GX117">
        <f t="shared" si="171"/>
        <v>0</v>
      </c>
      <c r="HA117">
        <v>0</v>
      </c>
      <c r="HB117">
        <v>0</v>
      </c>
      <c r="HC117">
        <f t="shared" si="172"/>
        <v>0</v>
      </c>
      <c r="HE117" t="s">
        <v>3</v>
      </c>
      <c r="HF117" t="s">
        <v>3</v>
      </c>
      <c r="IK117">
        <v>0</v>
      </c>
    </row>
    <row r="118" spans="1:245" x14ac:dyDescent="0.2">
      <c r="A118">
        <v>18</v>
      </c>
      <c r="B118">
        <v>1</v>
      </c>
      <c r="C118">
        <v>323</v>
      </c>
      <c r="E118" t="s">
        <v>409</v>
      </c>
      <c r="F118" t="s">
        <v>406</v>
      </c>
      <c r="G118" t="s">
        <v>410</v>
      </c>
      <c r="H118" t="s">
        <v>29</v>
      </c>
      <c r="I118">
        <f>I113*J118</f>
        <v>25</v>
      </c>
      <c r="J118">
        <v>227.27272727272728</v>
      </c>
      <c r="O118">
        <f t="shared" si="139"/>
        <v>3278.16</v>
      </c>
      <c r="P118">
        <f t="shared" si="140"/>
        <v>3278.16</v>
      </c>
      <c r="Q118">
        <f t="shared" si="141"/>
        <v>0</v>
      </c>
      <c r="R118">
        <f t="shared" si="142"/>
        <v>0</v>
      </c>
      <c r="S118">
        <f t="shared" si="143"/>
        <v>0</v>
      </c>
      <c r="T118">
        <f t="shared" si="144"/>
        <v>0</v>
      </c>
      <c r="U118">
        <f t="shared" si="145"/>
        <v>0</v>
      </c>
      <c r="V118">
        <f t="shared" si="146"/>
        <v>0</v>
      </c>
      <c r="W118">
        <f t="shared" si="147"/>
        <v>0</v>
      </c>
      <c r="X118">
        <f t="shared" si="148"/>
        <v>0</v>
      </c>
      <c r="Y118">
        <f t="shared" si="149"/>
        <v>0</v>
      </c>
      <c r="AA118">
        <v>68990560</v>
      </c>
      <c r="AB118">
        <f t="shared" si="150"/>
        <v>14.13</v>
      </c>
      <c r="AC118">
        <f t="shared" si="131"/>
        <v>14.13</v>
      </c>
      <c r="AD118">
        <f t="shared" si="134"/>
        <v>0</v>
      </c>
      <c r="AE118">
        <f t="shared" si="135"/>
        <v>0</v>
      </c>
      <c r="AF118">
        <f t="shared" si="136"/>
        <v>0</v>
      </c>
      <c r="AG118">
        <f t="shared" si="151"/>
        <v>0</v>
      </c>
      <c r="AH118">
        <f t="shared" si="137"/>
        <v>0</v>
      </c>
      <c r="AI118">
        <f t="shared" si="138"/>
        <v>0</v>
      </c>
      <c r="AJ118">
        <f t="shared" si="152"/>
        <v>0</v>
      </c>
      <c r="AK118">
        <v>14.13</v>
      </c>
      <c r="AL118">
        <v>14.13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66</v>
      </c>
      <c r="AU118">
        <v>40</v>
      </c>
      <c r="AV118">
        <v>1</v>
      </c>
      <c r="AW118">
        <v>1</v>
      </c>
      <c r="AZ118">
        <v>1</v>
      </c>
      <c r="BA118">
        <v>1</v>
      </c>
      <c r="BB118">
        <v>1</v>
      </c>
      <c r="BC118">
        <v>9.2799999999999994</v>
      </c>
      <c r="BD118" t="s">
        <v>3</v>
      </c>
      <c r="BE118" t="s">
        <v>3</v>
      </c>
      <c r="BF118" t="s">
        <v>3</v>
      </c>
      <c r="BG118" t="s">
        <v>3</v>
      </c>
      <c r="BH118">
        <v>3</v>
      </c>
      <c r="BI118">
        <v>2</v>
      </c>
      <c r="BJ118" t="s">
        <v>408</v>
      </c>
      <c r="BM118">
        <v>138001</v>
      </c>
      <c r="BN118">
        <v>0</v>
      </c>
      <c r="BO118" t="s">
        <v>406</v>
      </c>
      <c r="BP118">
        <v>1</v>
      </c>
      <c r="BQ118">
        <v>3</v>
      </c>
      <c r="BR118">
        <v>0</v>
      </c>
      <c r="BS118">
        <v>1</v>
      </c>
      <c r="BT118">
        <v>1</v>
      </c>
      <c r="BU118">
        <v>1</v>
      </c>
      <c r="BV118">
        <v>1</v>
      </c>
      <c r="BW118">
        <v>1</v>
      </c>
      <c r="BX118">
        <v>1</v>
      </c>
      <c r="BY118" t="s">
        <v>3</v>
      </c>
      <c r="BZ118">
        <v>66</v>
      </c>
      <c r="CA118">
        <v>40</v>
      </c>
      <c r="CE118">
        <v>0</v>
      </c>
      <c r="CF118">
        <v>0</v>
      </c>
      <c r="CG118">
        <v>0</v>
      </c>
      <c r="CM118">
        <v>0</v>
      </c>
      <c r="CN118" t="s">
        <v>3</v>
      </c>
      <c r="CO118">
        <v>0</v>
      </c>
      <c r="CP118">
        <f t="shared" si="153"/>
        <v>3278.16</v>
      </c>
      <c r="CQ118">
        <f t="shared" si="154"/>
        <v>131.12639999999999</v>
      </c>
      <c r="CR118">
        <f t="shared" si="155"/>
        <v>0</v>
      </c>
      <c r="CS118">
        <f t="shared" si="156"/>
        <v>0</v>
      </c>
      <c r="CT118">
        <f t="shared" si="157"/>
        <v>0</v>
      </c>
      <c r="CU118">
        <f t="shared" si="158"/>
        <v>0</v>
      </c>
      <c r="CV118">
        <f t="shared" si="159"/>
        <v>0</v>
      </c>
      <c r="CW118">
        <f t="shared" si="160"/>
        <v>0</v>
      </c>
      <c r="CX118">
        <f t="shared" si="161"/>
        <v>0</v>
      </c>
      <c r="CY118">
        <f t="shared" si="162"/>
        <v>0</v>
      </c>
      <c r="CZ118">
        <f t="shared" si="163"/>
        <v>0</v>
      </c>
      <c r="DC118" t="s">
        <v>3</v>
      </c>
      <c r="DD118" t="s">
        <v>3</v>
      </c>
      <c r="DE118" t="s">
        <v>3</v>
      </c>
      <c r="DF118" t="s">
        <v>3</v>
      </c>
      <c r="DG118" t="s">
        <v>3</v>
      </c>
      <c r="DH118" t="s">
        <v>3</v>
      </c>
      <c r="DI118" t="s">
        <v>3</v>
      </c>
      <c r="DJ118" t="s">
        <v>3</v>
      </c>
      <c r="DK118" t="s">
        <v>3</v>
      </c>
      <c r="DL118" t="s">
        <v>3</v>
      </c>
      <c r="DM118" t="s">
        <v>3</v>
      </c>
      <c r="DN118">
        <v>0</v>
      </c>
      <c r="DO118">
        <v>0</v>
      </c>
      <c r="DP118">
        <v>1</v>
      </c>
      <c r="DQ118">
        <v>1</v>
      </c>
      <c r="DU118">
        <v>1013</v>
      </c>
      <c r="DV118" t="s">
        <v>29</v>
      </c>
      <c r="DW118" t="s">
        <v>29</v>
      </c>
      <c r="DX118">
        <v>1</v>
      </c>
      <c r="DZ118" t="s">
        <v>3</v>
      </c>
      <c r="EA118" t="s">
        <v>3</v>
      </c>
      <c r="EB118" t="s">
        <v>3</v>
      </c>
      <c r="EC118" t="s">
        <v>3</v>
      </c>
      <c r="EE118">
        <v>64094946</v>
      </c>
      <c r="EF118">
        <v>3</v>
      </c>
      <c r="EG118" t="s">
        <v>22</v>
      </c>
      <c r="EH118">
        <v>0</v>
      </c>
      <c r="EI118" t="s">
        <v>3</v>
      </c>
      <c r="EJ118">
        <v>2</v>
      </c>
      <c r="EK118">
        <v>138001</v>
      </c>
      <c r="EL118" t="s">
        <v>370</v>
      </c>
      <c r="EM118" t="s">
        <v>371</v>
      </c>
      <c r="EO118" t="s">
        <v>3</v>
      </c>
      <c r="EQ118">
        <v>0</v>
      </c>
      <c r="ER118">
        <v>14.13</v>
      </c>
      <c r="ES118">
        <v>14.13</v>
      </c>
      <c r="ET118">
        <v>0</v>
      </c>
      <c r="EU118">
        <v>0</v>
      </c>
      <c r="EV118">
        <v>0</v>
      </c>
      <c r="EW118">
        <v>0</v>
      </c>
      <c r="EX118">
        <v>0</v>
      </c>
      <c r="FQ118">
        <v>0</v>
      </c>
      <c r="FR118">
        <f t="shared" si="164"/>
        <v>0</v>
      </c>
      <c r="FS118">
        <v>0</v>
      </c>
      <c r="FX118">
        <v>66</v>
      </c>
      <c r="FY118">
        <v>40</v>
      </c>
      <c r="GA118" t="s">
        <v>3</v>
      </c>
      <c r="GD118">
        <v>1</v>
      </c>
      <c r="GF118">
        <v>-873710987</v>
      </c>
      <c r="GG118">
        <v>2</v>
      </c>
      <c r="GH118">
        <v>1</v>
      </c>
      <c r="GI118">
        <v>2</v>
      </c>
      <c r="GJ118">
        <v>0</v>
      </c>
      <c r="GK118">
        <v>0</v>
      </c>
      <c r="GL118">
        <f t="shared" si="165"/>
        <v>0</v>
      </c>
      <c r="GM118">
        <f t="shared" si="166"/>
        <v>3278.16</v>
      </c>
      <c r="GN118">
        <f t="shared" si="167"/>
        <v>0</v>
      </c>
      <c r="GO118">
        <f t="shared" si="168"/>
        <v>3278.16</v>
      </c>
      <c r="GP118">
        <f t="shared" si="169"/>
        <v>0</v>
      </c>
      <c r="GR118">
        <v>0</v>
      </c>
      <c r="GS118">
        <v>3</v>
      </c>
      <c r="GT118">
        <v>0</v>
      </c>
      <c r="GU118" t="s">
        <v>3</v>
      </c>
      <c r="GV118">
        <f t="shared" si="170"/>
        <v>0</v>
      </c>
      <c r="GW118">
        <v>1</v>
      </c>
      <c r="GX118">
        <f t="shared" si="171"/>
        <v>0</v>
      </c>
      <c r="HA118">
        <v>0</v>
      </c>
      <c r="HB118">
        <v>0</v>
      </c>
      <c r="HC118">
        <f t="shared" si="172"/>
        <v>0</v>
      </c>
      <c r="HE118" t="s">
        <v>3</v>
      </c>
      <c r="HF118" t="s">
        <v>3</v>
      </c>
      <c r="IK118">
        <v>0</v>
      </c>
    </row>
    <row r="119" spans="1:245" x14ac:dyDescent="0.2">
      <c r="A119">
        <v>18</v>
      </c>
      <c r="B119">
        <v>1</v>
      </c>
      <c r="C119">
        <v>321</v>
      </c>
      <c r="E119" t="s">
        <v>411</v>
      </c>
      <c r="F119" t="s">
        <v>412</v>
      </c>
      <c r="G119" t="s">
        <v>413</v>
      </c>
      <c r="H119" t="s">
        <v>29</v>
      </c>
      <c r="I119">
        <f>I113*J119</f>
        <v>10</v>
      </c>
      <c r="J119">
        <v>90.909090909090907</v>
      </c>
      <c r="O119">
        <f t="shared" si="139"/>
        <v>902.04</v>
      </c>
      <c r="P119">
        <f t="shared" si="140"/>
        <v>902.04</v>
      </c>
      <c r="Q119">
        <f t="shared" si="141"/>
        <v>0</v>
      </c>
      <c r="R119">
        <f t="shared" si="142"/>
        <v>0</v>
      </c>
      <c r="S119">
        <f t="shared" si="143"/>
        <v>0</v>
      </c>
      <c r="T119">
        <f t="shared" si="144"/>
        <v>0</v>
      </c>
      <c r="U119">
        <f t="shared" si="145"/>
        <v>0</v>
      </c>
      <c r="V119">
        <f t="shared" si="146"/>
        <v>0</v>
      </c>
      <c r="W119">
        <f t="shared" si="147"/>
        <v>0</v>
      </c>
      <c r="X119">
        <f t="shared" si="148"/>
        <v>0</v>
      </c>
      <c r="Y119">
        <f t="shared" si="149"/>
        <v>0</v>
      </c>
      <c r="AA119">
        <v>68990560</v>
      </c>
      <c r="AB119">
        <f t="shared" si="150"/>
        <v>11.15</v>
      </c>
      <c r="AC119">
        <f t="shared" si="131"/>
        <v>11.15</v>
      </c>
      <c r="AD119">
        <f t="shared" si="134"/>
        <v>0</v>
      </c>
      <c r="AE119">
        <f t="shared" si="135"/>
        <v>0</v>
      </c>
      <c r="AF119">
        <f t="shared" si="136"/>
        <v>0</v>
      </c>
      <c r="AG119">
        <f t="shared" si="151"/>
        <v>0</v>
      </c>
      <c r="AH119">
        <f t="shared" si="137"/>
        <v>0</v>
      </c>
      <c r="AI119">
        <f t="shared" si="138"/>
        <v>0</v>
      </c>
      <c r="AJ119">
        <f t="shared" si="152"/>
        <v>0</v>
      </c>
      <c r="AK119">
        <v>11.15</v>
      </c>
      <c r="AL119">
        <v>11.15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66</v>
      </c>
      <c r="AU119">
        <v>40</v>
      </c>
      <c r="AV119">
        <v>1</v>
      </c>
      <c r="AW119">
        <v>1</v>
      </c>
      <c r="AZ119">
        <v>1</v>
      </c>
      <c r="BA119">
        <v>1</v>
      </c>
      <c r="BB119">
        <v>1</v>
      </c>
      <c r="BC119">
        <v>8.09</v>
      </c>
      <c r="BD119" t="s">
        <v>3</v>
      </c>
      <c r="BE119" t="s">
        <v>3</v>
      </c>
      <c r="BF119" t="s">
        <v>3</v>
      </c>
      <c r="BG119" t="s">
        <v>3</v>
      </c>
      <c r="BH119">
        <v>3</v>
      </c>
      <c r="BI119">
        <v>2</v>
      </c>
      <c r="BJ119" t="s">
        <v>414</v>
      </c>
      <c r="BM119">
        <v>138001</v>
      </c>
      <c r="BN119">
        <v>0</v>
      </c>
      <c r="BO119" t="s">
        <v>412</v>
      </c>
      <c r="BP119">
        <v>1</v>
      </c>
      <c r="BQ119">
        <v>3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3</v>
      </c>
      <c r="BZ119">
        <v>66</v>
      </c>
      <c r="CA119">
        <v>40</v>
      </c>
      <c r="CE119">
        <v>0</v>
      </c>
      <c r="CF119">
        <v>0</v>
      </c>
      <c r="CG119">
        <v>0</v>
      </c>
      <c r="CM119">
        <v>0</v>
      </c>
      <c r="CN119" t="s">
        <v>3</v>
      </c>
      <c r="CO119">
        <v>0</v>
      </c>
      <c r="CP119">
        <f t="shared" si="153"/>
        <v>902.04</v>
      </c>
      <c r="CQ119">
        <f t="shared" si="154"/>
        <v>90.203500000000005</v>
      </c>
      <c r="CR119">
        <f t="shared" si="155"/>
        <v>0</v>
      </c>
      <c r="CS119">
        <f t="shared" si="156"/>
        <v>0</v>
      </c>
      <c r="CT119">
        <f t="shared" si="157"/>
        <v>0</v>
      </c>
      <c r="CU119">
        <f t="shared" si="158"/>
        <v>0</v>
      </c>
      <c r="CV119">
        <f t="shared" si="159"/>
        <v>0</v>
      </c>
      <c r="CW119">
        <f t="shared" si="160"/>
        <v>0</v>
      </c>
      <c r="CX119">
        <f t="shared" si="161"/>
        <v>0</v>
      </c>
      <c r="CY119">
        <f t="shared" si="162"/>
        <v>0</v>
      </c>
      <c r="CZ119">
        <f t="shared" si="163"/>
        <v>0</v>
      </c>
      <c r="DC119" t="s">
        <v>3</v>
      </c>
      <c r="DD119" t="s">
        <v>3</v>
      </c>
      <c r="DE119" t="s">
        <v>3</v>
      </c>
      <c r="DF119" t="s">
        <v>3</v>
      </c>
      <c r="DG119" t="s">
        <v>3</v>
      </c>
      <c r="DH119" t="s">
        <v>3</v>
      </c>
      <c r="DI119" t="s">
        <v>3</v>
      </c>
      <c r="DJ119" t="s">
        <v>3</v>
      </c>
      <c r="DK119" t="s">
        <v>3</v>
      </c>
      <c r="DL119" t="s">
        <v>3</v>
      </c>
      <c r="DM119" t="s">
        <v>3</v>
      </c>
      <c r="DN119">
        <v>0</v>
      </c>
      <c r="DO119">
        <v>0</v>
      </c>
      <c r="DP119">
        <v>1</v>
      </c>
      <c r="DQ119">
        <v>1</v>
      </c>
      <c r="DU119">
        <v>1013</v>
      </c>
      <c r="DV119" t="s">
        <v>29</v>
      </c>
      <c r="DW119" t="s">
        <v>29</v>
      </c>
      <c r="DX119">
        <v>1</v>
      </c>
      <c r="DZ119" t="s">
        <v>3</v>
      </c>
      <c r="EA119" t="s">
        <v>3</v>
      </c>
      <c r="EB119" t="s">
        <v>3</v>
      </c>
      <c r="EC119" t="s">
        <v>3</v>
      </c>
      <c r="EE119">
        <v>64094946</v>
      </c>
      <c r="EF119">
        <v>3</v>
      </c>
      <c r="EG119" t="s">
        <v>22</v>
      </c>
      <c r="EH119">
        <v>0</v>
      </c>
      <c r="EI119" t="s">
        <v>3</v>
      </c>
      <c r="EJ119">
        <v>2</v>
      </c>
      <c r="EK119">
        <v>138001</v>
      </c>
      <c r="EL119" t="s">
        <v>370</v>
      </c>
      <c r="EM119" t="s">
        <v>371</v>
      </c>
      <c r="EO119" t="s">
        <v>3</v>
      </c>
      <c r="EQ119">
        <v>0</v>
      </c>
      <c r="ER119">
        <v>11.15</v>
      </c>
      <c r="ES119">
        <v>11.15</v>
      </c>
      <c r="ET119">
        <v>0</v>
      </c>
      <c r="EU119">
        <v>0</v>
      </c>
      <c r="EV119">
        <v>0</v>
      </c>
      <c r="EW119">
        <v>0</v>
      </c>
      <c r="EX119">
        <v>0</v>
      </c>
      <c r="FQ119">
        <v>0</v>
      </c>
      <c r="FR119">
        <f t="shared" si="164"/>
        <v>0</v>
      </c>
      <c r="FS119">
        <v>0</v>
      </c>
      <c r="FX119">
        <v>66</v>
      </c>
      <c r="FY119">
        <v>40</v>
      </c>
      <c r="GA119" t="s">
        <v>3</v>
      </c>
      <c r="GD119">
        <v>1</v>
      </c>
      <c r="GF119">
        <v>-1307845563</v>
      </c>
      <c r="GG119">
        <v>2</v>
      </c>
      <c r="GH119">
        <v>1</v>
      </c>
      <c r="GI119">
        <v>2</v>
      </c>
      <c r="GJ119">
        <v>0</v>
      </c>
      <c r="GK119">
        <v>0</v>
      </c>
      <c r="GL119">
        <f t="shared" si="165"/>
        <v>0</v>
      </c>
      <c r="GM119">
        <f t="shared" si="166"/>
        <v>902.04</v>
      </c>
      <c r="GN119">
        <f t="shared" si="167"/>
        <v>0</v>
      </c>
      <c r="GO119">
        <f t="shared" si="168"/>
        <v>902.04</v>
      </c>
      <c r="GP119">
        <f t="shared" si="169"/>
        <v>0</v>
      </c>
      <c r="GR119">
        <v>0</v>
      </c>
      <c r="GS119">
        <v>3</v>
      </c>
      <c r="GT119">
        <v>0</v>
      </c>
      <c r="GU119" t="s">
        <v>3</v>
      </c>
      <c r="GV119">
        <f t="shared" si="170"/>
        <v>0</v>
      </c>
      <c r="GW119">
        <v>1</v>
      </c>
      <c r="GX119">
        <f t="shared" si="171"/>
        <v>0</v>
      </c>
      <c r="HA119">
        <v>0</v>
      </c>
      <c r="HB119">
        <v>0</v>
      </c>
      <c r="HC119">
        <f t="shared" si="172"/>
        <v>0</v>
      </c>
      <c r="HE119" t="s">
        <v>3</v>
      </c>
      <c r="HF119" t="s">
        <v>3</v>
      </c>
      <c r="IK119">
        <v>0</v>
      </c>
    </row>
    <row r="120" spans="1:245" x14ac:dyDescent="0.2">
      <c r="A120">
        <v>18</v>
      </c>
      <c r="B120">
        <v>1</v>
      </c>
      <c r="C120">
        <v>322</v>
      </c>
      <c r="E120" t="s">
        <v>415</v>
      </c>
      <c r="F120" t="s">
        <v>412</v>
      </c>
      <c r="G120" t="s">
        <v>416</v>
      </c>
      <c r="H120" t="s">
        <v>29</v>
      </c>
      <c r="I120">
        <f>I113*J120</f>
        <v>100</v>
      </c>
      <c r="J120">
        <v>909.09090909090912</v>
      </c>
      <c r="O120">
        <f t="shared" si="139"/>
        <v>9020.35</v>
      </c>
      <c r="P120">
        <f t="shared" si="140"/>
        <v>9020.35</v>
      </c>
      <c r="Q120">
        <f t="shared" si="141"/>
        <v>0</v>
      </c>
      <c r="R120">
        <f t="shared" si="142"/>
        <v>0</v>
      </c>
      <c r="S120">
        <f t="shared" si="143"/>
        <v>0</v>
      </c>
      <c r="T120">
        <f t="shared" si="144"/>
        <v>0</v>
      </c>
      <c r="U120">
        <f t="shared" si="145"/>
        <v>0</v>
      </c>
      <c r="V120">
        <f t="shared" si="146"/>
        <v>0</v>
      </c>
      <c r="W120">
        <f t="shared" si="147"/>
        <v>0</v>
      </c>
      <c r="X120">
        <f t="shared" si="148"/>
        <v>0</v>
      </c>
      <c r="Y120">
        <f t="shared" si="149"/>
        <v>0</v>
      </c>
      <c r="AA120">
        <v>68990560</v>
      </c>
      <c r="AB120">
        <f t="shared" si="150"/>
        <v>11.15</v>
      </c>
      <c r="AC120">
        <f t="shared" si="131"/>
        <v>11.15</v>
      </c>
      <c r="AD120">
        <f t="shared" si="134"/>
        <v>0</v>
      </c>
      <c r="AE120">
        <f t="shared" si="135"/>
        <v>0</v>
      </c>
      <c r="AF120">
        <f t="shared" si="136"/>
        <v>0</v>
      </c>
      <c r="AG120">
        <f t="shared" si="151"/>
        <v>0</v>
      </c>
      <c r="AH120">
        <f t="shared" si="137"/>
        <v>0</v>
      </c>
      <c r="AI120">
        <f t="shared" si="138"/>
        <v>0</v>
      </c>
      <c r="AJ120">
        <f t="shared" si="152"/>
        <v>0</v>
      </c>
      <c r="AK120">
        <v>11.15</v>
      </c>
      <c r="AL120">
        <v>11.15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66</v>
      </c>
      <c r="AU120">
        <v>40</v>
      </c>
      <c r="AV120">
        <v>1</v>
      </c>
      <c r="AW120">
        <v>1</v>
      </c>
      <c r="AZ120">
        <v>1</v>
      </c>
      <c r="BA120">
        <v>1</v>
      </c>
      <c r="BB120">
        <v>1</v>
      </c>
      <c r="BC120">
        <v>8.09</v>
      </c>
      <c r="BD120" t="s">
        <v>3</v>
      </c>
      <c r="BE120" t="s">
        <v>3</v>
      </c>
      <c r="BF120" t="s">
        <v>3</v>
      </c>
      <c r="BG120" t="s">
        <v>3</v>
      </c>
      <c r="BH120">
        <v>3</v>
      </c>
      <c r="BI120">
        <v>2</v>
      </c>
      <c r="BJ120" t="s">
        <v>414</v>
      </c>
      <c r="BM120">
        <v>138001</v>
      </c>
      <c r="BN120">
        <v>0</v>
      </c>
      <c r="BO120" t="s">
        <v>412</v>
      </c>
      <c r="BP120">
        <v>1</v>
      </c>
      <c r="BQ120">
        <v>3</v>
      </c>
      <c r="BR120">
        <v>0</v>
      </c>
      <c r="BS120">
        <v>1</v>
      </c>
      <c r="BT120">
        <v>1</v>
      </c>
      <c r="BU120">
        <v>1</v>
      </c>
      <c r="BV120">
        <v>1</v>
      </c>
      <c r="BW120">
        <v>1</v>
      </c>
      <c r="BX120">
        <v>1</v>
      </c>
      <c r="BY120" t="s">
        <v>3</v>
      </c>
      <c r="BZ120">
        <v>66</v>
      </c>
      <c r="CA120">
        <v>40</v>
      </c>
      <c r="CE120">
        <v>0</v>
      </c>
      <c r="CF120">
        <v>0</v>
      </c>
      <c r="CG120">
        <v>0</v>
      </c>
      <c r="CM120">
        <v>0</v>
      </c>
      <c r="CN120" t="s">
        <v>3</v>
      </c>
      <c r="CO120">
        <v>0</v>
      </c>
      <c r="CP120">
        <f t="shared" si="153"/>
        <v>9020.35</v>
      </c>
      <c r="CQ120">
        <f t="shared" si="154"/>
        <v>90.203500000000005</v>
      </c>
      <c r="CR120">
        <f t="shared" si="155"/>
        <v>0</v>
      </c>
      <c r="CS120">
        <f t="shared" si="156"/>
        <v>0</v>
      </c>
      <c r="CT120">
        <f t="shared" si="157"/>
        <v>0</v>
      </c>
      <c r="CU120">
        <f t="shared" si="158"/>
        <v>0</v>
      </c>
      <c r="CV120">
        <f t="shared" si="159"/>
        <v>0</v>
      </c>
      <c r="CW120">
        <f t="shared" si="160"/>
        <v>0</v>
      </c>
      <c r="CX120">
        <f t="shared" si="161"/>
        <v>0</v>
      </c>
      <c r="CY120">
        <f t="shared" si="162"/>
        <v>0</v>
      </c>
      <c r="CZ120">
        <f t="shared" si="163"/>
        <v>0</v>
      </c>
      <c r="DC120" t="s">
        <v>3</v>
      </c>
      <c r="DD120" t="s">
        <v>3</v>
      </c>
      <c r="DE120" t="s">
        <v>3</v>
      </c>
      <c r="DF120" t="s">
        <v>3</v>
      </c>
      <c r="DG120" t="s">
        <v>3</v>
      </c>
      <c r="DH120" t="s">
        <v>3</v>
      </c>
      <c r="DI120" t="s">
        <v>3</v>
      </c>
      <c r="DJ120" t="s">
        <v>3</v>
      </c>
      <c r="DK120" t="s">
        <v>3</v>
      </c>
      <c r="DL120" t="s">
        <v>3</v>
      </c>
      <c r="DM120" t="s">
        <v>3</v>
      </c>
      <c r="DN120">
        <v>0</v>
      </c>
      <c r="DO120">
        <v>0</v>
      </c>
      <c r="DP120">
        <v>1</v>
      </c>
      <c r="DQ120">
        <v>1</v>
      </c>
      <c r="DU120">
        <v>1013</v>
      </c>
      <c r="DV120" t="s">
        <v>29</v>
      </c>
      <c r="DW120" t="s">
        <v>29</v>
      </c>
      <c r="DX120">
        <v>1</v>
      </c>
      <c r="DZ120" t="s">
        <v>3</v>
      </c>
      <c r="EA120" t="s">
        <v>3</v>
      </c>
      <c r="EB120" t="s">
        <v>3</v>
      </c>
      <c r="EC120" t="s">
        <v>3</v>
      </c>
      <c r="EE120">
        <v>64094946</v>
      </c>
      <c r="EF120">
        <v>3</v>
      </c>
      <c r="EG120" t="s">
        <v>22</v>
      </c>
      <c r="EH120">
        <v>0</v>
      </c>
      <c r="EI120" t="s">
        <v>3</v>
      </c>
      <c r="EJ120">
        <v>2</v>
      </c>
      <c r="EK120">
        <v>138001</v>
      </c>
      <c r="EL120" t="s">
        <v>370</v>
      </c>
      <c r="EM120" t="s">
        <v>371</v>
      </c>
      <c r="EO120" t="s">
        <v>3</v>
      </c>
      <c r="EQ120">
        <v>0</v>
      </c>
      <c r="ER120">
        <v>11.15</v>
      </c>
      <c r="ES120">
        <v>11.15</v>
      </c>
      <c r="ET120">
        <v>0</v>
      </c>
      <c r="EU120">
        <v>0</v>
      </c>
      <c r="EV120">
        <v>0</v>
      </c>
      <c r="EW120">
        <v>0</v>
      </c>
      <c r="EX120">
        <v>0</v>
      </c>
      <c r="FQ120">
        <v>0</v>
      </c>
      <c r="FR120">
        <f t="shared" si="164"/>
        <v>0</v>
      </c>
      <c r="FS120">
        <v>0</v>
      </c>
      <c r="FX120">
        <v>66</v>
      </c>
      <c r="FY120">
        <v>40</v>
      </c>
      <c r="GA120" t="s">
        <v>3</v>
      </c>
      <c r="GD120">
        <v>1</v>
      </c>
      <c r="GF120">
        <v>245450258</v>
      </c>
      <c r="GG120">
        <v>2</v>
      </c>
      <c r="GH120">
        <v>1</v>
      </c>
      <c r="GI120">
        <v>2</v>
      </c>
      <c r="GJ120">
        <v>0</v>
      </c>
      <c r="GK120">
        <v>0</v>
      </c>
      <c r="GL120">
        <f t="shared" si="165"/>
        <v>0</v>
      </c>
      <c r="GM120">
        <f t="shared" si="166"/>
        <v>9020.35</v>
      </c>
      <c r="GN120">
        <f t="shared" si="167"/>
        <v>0</v>
      </c>
      <c r="GO120">
        <f t="shared" si="168"/>
        <v>9020.35</v>
      </c>
      <c r="GP120">
        <f t="shared" si="169"/>
        <v>0</v>
      </c>
      <c r="GR120">
        <v>0</v>
      </c>
      <c r="GS120">
        <v>3</v>
      </c>
      <c r="GT120">
        <v>0</v>
      </c>
      <c r="GU120" t="s">
        <v>3</v>
      </c>
      <c r="GV120">
        <f t="shared" si="170"/>
        <v>0</v>
      </c>
      <c r="GW120">
        <v>1</v>
      </c>
      <c r="GX120">
        <f t="shared" si="171"/>
        <v>0</v>
      </c>
      <c r="HA120">
        <v>0</v>
      </c>
      <c r="HB120">
        <v>0</v>
      </c>
      <c r="HC120">
        <f t="shared" si="172"/>
        <v>0</v>
      </c>
      <c r="HE120" t="s">
        <v>3</v>
      </c>
      <c r="HF120" t="s">
        <v>3</v>
      </c>
      <c r="IK120">
        <v>0</v>
      </c>
    </row>
    <row r="121" spans="1:245" x14ac:dyDescent="0.2">
      <c r="A121">
        <v>18</v>
      </c>
      <c r="B121">
        <v>1</v>
      </c>
      <c r="C121">
        <v>318</v>
      </c>
      <c r="E121" t="s">
        <v>417</v>
      </c>
      <c r="F121" t="s">
        <v>418</v>
      </c>
      <c r="G121" t="s">
        <v>419</v>
      </c>
      <c r="H121" t="s">
        <v>29</v>
      </c>
      <c r="I121">
        <f>I113*J121</f>
        <v>50</v>
      </c>
      <c r="J121">
        <v>454.54545454545456</v>
      </c>
      <c r="O121">
        <f t="shared" si="139"/>
        <v>6443.01</v>
      </c>
      <c r="P121">
        <f t="shared" si="140"/>
        <v>6443.01</v>
      </c>
      <c r="Q121">
        <f t="shared" si="141"/>
        <v>0</v>
      </c>
      <c r="R121">
        <f t="shared" si="142"/>
        <v>0</v>
      </c>
      <c r="S121">
        <f t="shared" si="143"/>
        <v>0</v>
      </c>
      <c r="T121">
        <f t="shared" si="144"/>
        <v>0</v>
      </c>
      <c r="U121">
        <f t="shared" si="145"/>
        <v>0</v>
      </c>
      <c r="V121">
        <f t="shared" si="146"/>
        <v>0</v>
      </c>
      <c r="W121">
        <f t="shared" si="147"/>
        <v>0</v>
      </c>
      <c r="X121">
        <f t="shared" si="148"/>
        <v>0</v>
      </c>
      <c r="Y121">
        <f t="shared" si="149"/>
        <v>0</v>
      </c>
      <c r="AA121">
        <v>68990560</v>
      </c>
      <c r="AB121">
        <f t="shared" si="150"/>
        <v>9.74</v>
      </c>
      <c r="AC121">
        <f t="shared" si="131"/>
        <v>9.74</v>
      </c>
      <c r="AD121">
        <f t="shared" si="134"/>
        <v>0</v>
      </c>
      <c r="AE121">
        <f t="shared" si="135"/>
        <v>0</v>
      </c>
      <c r="AF121">
        <f t="shared" si="136"/>
        <v>0</v>
      </c>
      <c r="AG121">
        <f t="shared" si="151"/>
        <v>0</v>
      </c>
      <c r="AH121">
        <f t="shared" si="137"/>
        <v>0</v>
      </c>
      <c r="AI121">
        <f t="shared" si="138"/>
        <v>0</v>
      </c>
      <c r="AJ121">
        <f t="shared" si="152"/>
        <v>0</v>
      </c>
      <c r="AK121">
        <v>9.74</v>
      </c>
      <c r="AL121">
        <v>9.74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66</v>
      </c>
      <c r="AU121">
        <v>40</v>
      </c>
      <c r="AV121">
        <v>1</v>
      </c>
      <c r="AW121">
        <v>1</v>
      </c>
      <c r="AZ121">
        <v>1</v>
      </c>
      <c r="BA121">
        <v>1</v>
      </c>
      <c r="BB121">
        <v>1</v>
      </c>
      <c r="BC121">
        <v>13.23</v>
      </c>
      <c r="BD121" t="s">
        <v>3</v>
      </c>
      <c r="BE121" t="s">
        <v>3</v>
      </c>
      <c r="BF121" t="s">
        <v>3</v>
      </c>
      <c r="BG121" t="s">
        <v>3</v>
      </c>
      <c r="BH121">
        <v>3</v>
      </c>
      <c r="BI121">
        <v>2</v>
      </c>
      <c r="BJ121" t="s">
        <v>420</v>
      </c>
      <c r="BM121">
        <v>138001</v>
      </c>
      <c r="BN121">
        <v>0</v>
      </c>
      <c r="BO121" t="s">
        <v>418</v>
      </c>
      <c r="BP121">
        <v>1</v>
      </c>
      <c r="BQ121">
        <v>3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3</v>
      </c>
      <c r="BZ121">
        <v>66</v>
      </c>
      <c r="CA121">
        <v>40</v>
      </c>
      <c r="CE121">
        <v>0</v>
      </c>
      <c r="CF121">
        <v>0</v>
      </c>
      <c r="CG121">
        <v>0</v>
      </c>
      <c r="CM121">
        <v>0</v>
      </c>
      <c r="CN121" t="s">
        <v>3</v>
      </c>
      <c r="CO121">
        <v>0</v>
      </c>
      <c r="CP121">
        <f t="shared" si="153"/>
        <v>6443.01</v>
      </c>
      <c r="CQ121">
        <f t="shared" si="154"/>
        <v>128.86020000000002</v>
      </c>
      <c r="CR121">
        <f t="shared" si="155"/>
        <v>0</v>
      </c>
      <c r="CS121">
        <f t="shared" si="156"/>
        <v>0</v>
      </c>
      <c r="CT121">
        <f t="shared" si="157"/>
        <v>0</v>
      </c>
      <c r="CU121">
        <f t="shared" si="158"/>
        <v>0</v>
      </c>
      <c r="CV121">
        <f t="shared" si="159"/>
        <v>0</v>
      </c>
      <c r="CW121">
        <f t="shared" si="160"/>
        <v>0</v>
      </c>
      <c r="CX121">
        <f t="shared" si="161"/>
        <v>0</v>
      </c>
      <c r="CY121">
        <f t="shared" si="162"/>
        <v>0</v>
      </c>
      <c r="CZ121">
        <f t="shared" si="163"/>
        <v>0</v>
      </c>
      <c r="DC121" t="s">
        <v>3</v>
      </c>
      <c r="DD121" t="s">
        <v>3</v>
      </c>
      <c r="DE121" t="s">
        <v>3</v>
      </c>
      <c r="DF121" t="s">
        <v>3</v>
      </c>
      <c r="DG121" t="s">
        <v>3</v>
      </c>
      <c r="DH121" t="s">
        <v>3</v>
      </c>
      <c r="DI121" t="s">
        <v>3</v>
      </c>
      <c r="DJ121" t="s">
        <v>3</v>
      </c>
      <c r="DK121" t="s">
        <v>3</v>
      </c>
      <c r="DL121" t="s">
        <v>3</v>
      </c>
      <c r="DM121" t="s">
        <v>3</v>
      </c>
      <c r="DN121">
        <v>0</v>
      </c>
      <c r="DO121">
        <v>0</v>
      </c>
      <c r="DP121">
        <v>1</v>
      </c>
      <c r="DQ121">
        <v>1</v>
      </c>
      <c r="DU121">
        <v>1013</v>
      </c>
      <c r="DV121" t="s">
        <v>29</v>
      </c>
      <c r="DW121" t="s">
        <v>29</v>
      </c>
      <c r="DX121">
        <v>1</v>
      </c>
      <c r="DZ121" t="s">
        <v>3</v>
      </c>
      <c r="EA121" t="s">
        <v>3</v>
      </c>
      <c r="EB121" t="s">
        <v>3</v>
      </c>
      <c r="EC121" t="s">
        <v>3</v>
      </c>
      <c r="EE121">
        <v>64094946</v>
      </c>
      <c r="EF121">
        <v>3</v>
      </c>
      <c r="EG121" t="s">
        <v>22</v>
      </c>
      <c r="EH121">
        <v>0</v>
      </c>
      <c r="EI121" t="s">
        <v>3</v>
      </c>
      <c r="EJ121">
        <v>2</v>
      </c>
      <c r="EK121">
        <v>138001</v>
      </c>
      <c r="EL121" t="s">
        <v>370</v>
      </c>
      <c r="EM121" t="s">
        <v>371</v>
      </c>
      <c r="EO121" t="s">
        <v>3</v>
      </c>
      <c r="EQ121">
        <v>0</v>
      </c>
      <c r="ER121">
        <v>9.74</v>
      </c>
      <c r="ES121">
        <v>9.74</v>
      </c>
      <c r="ET121">
        <v>0</v>
      </c>
      <c r="EU121">
        <v>0</v>
      </c>
      <c r="EV121">
        <v>0</v>
      </c>
      <c r="EW121">
        <v>0</v>
      </c>
      <c r="EX121">
        <v>0</v>
      </c>
      <c r="FQ121">
        <v>0</v>
      </c>
      <c r="FR121">
        <f t="shared" si="164"/>
        <v>0</v>
      </c>
      <c r="FS121">
        <v>0</v>
      </c>
      <c r="FX121">
        <v>66</v>
      </c>
      <c r="FY121">
        <v>40</v>
      </c>
      <c r="GA121" t="s">
        <v>3</v>
      </c>
      <c r="GD121">
        <v>1</v>
      </c>
      <c r="GF121">
        <v>-635800500</v>
      </c>
      <c r="GG121">
        <v>2</v>
      </c>
      <c r="GH121">
        <v>1</v>
      </c>
      <c r="GI121">
        <v>2</v>
      </c>
      <c r="GJ121">
        <v>0</v>
      </c>
      <c r="GK121">
        <v>0</v>
      </c>
      <c r="GL121">
        <f t="shared" si="165"/>
        <v>0</v>
      </c>
      <c r="GM121">
        <f t="shared" si="166"/>
        <v>6443.01</v>
      </c>
      <c r="GN121">
        <f t="shared" si="167"/>
        <v>0</v>
      </c>
      <c r="GO121">
        <f t="shared" si="168"/>
        <v>6443.01</v>
      </c>
      <c r="GP121">
        <f t="shared" si="169"/>
        <v>0</v>
      </c>
      <c r="GR121">
        <v>0</v>
      </c>
      <c r="GS121">
        <v>3</v>
      </c>
      <c r="GT121">
        <v>0</v>
      </c>
      <c r="GU121" t="s">
        <v>3</v>
      </c>
      <c r="GV121">
        <f t="shared" si="170"/>
        <v>0</v>
      </c>
      <c r="GW121">
        <v>1</v>
      </c>
      <c r="GX121">
        <f t="shared" si="171"/>
        <v>0</v>
      </c>
      <c r="HA121">
        <v>0</v>
      </c>
      <c r="HB121">
        <v>0</v>
      </c>
      <c r="HC121">
        <f t="shared" si="172"/>
        <v>0</v>
      </c>
      <c r="HE121" t="s">
        <v>3</v>
      </c>
      <c r="HF121" t="s">
        <v>3</v>
      </c>
      <c r="IK121">
        <v>0</v>
      </c>
    </row>
    <row r="122" spans="1:245" x14ac:dyDescent="0.2">
      <c r="A122">
        <v>18</v>
      </c>
      <c r="B122">
        <v>1</v>
      </c>
      <c r="C122">
        <v>320</v>
      </c>
      <c r="E122" t="s">
        <v>421</v>
      </c>
      <c r="F122" t="s">
        <v>422</v>
      </c>
      <c r="G122" t="s">
        <v>423</v>
      </c>
      <c r="H122" t="s">
        <v>29</v>
      </c>
      <c r="I122">
        <f>I113*J122</f>
        <v>25</v>
      </c>
      <c r="J122">
        <v>227.27272727272728</v>
      </c>
      <c r="O122">
        <f t="shared" si="139"/>
        <v>781.06</v>
      </c>
      <c r="P122">
        <f t="shared" si="140"/>
        <v>781.06</v>
      </c>
      <c r="Q122">
        <f t="shared" si="141"/>
        <v>0</v>
      </c>
      <c r="R122">
        <f t="shared" si="142"/>
        <v>0</v>
      </c>
      <c r="S122">
        <f t="shared" si="143"/>
        <v>0</v>
      </c>
      <c r="T122">
        <f t="shared" si="144"/>
        <v>0</v>
      </c>
      <c r="U122">
        <f t="shared" si="145"/>
        <v>0</v>
      </c>
      <c r="V122">
        <f t="shared" si="146"/>
        <v>0</v>
      </c>
      <c r="W122">
        <f t="shared" si="147"/>
        <v>0</v>
      </c>
      <c r="X122">
        <f t="shared" si="148"/>
        <v>0</v>
      </c>
      <c r="Y122">
        <f t="shared" si="149"/>
        <v>0</v>
      </c>
      <c r="AA122">
        <v>68990560</v>
      </c>
      <c r="AB122">
        <f t="shared" si="150"/>
        <v>3.92</v>
      </c>
      <c r="AC122">
        <f t="shared" si="131"/>
        <v>3.92</v>
      </c>
      <c r="AD122">
        <f t="shared" si="134"/>
        <v>0</v>
      </c>
      <c r="AE122">
        <f t="shared" si="135"/>
        <v>0</v>
      </c>
      <c r="AF122">
        <f t="shared" si="136"/>
        <v>0</v>
      </c>
      <c r="AG122">
        <f t="shared" si="151"/>
        <v>0</v>
      </c>
      <c r="AH122">
        <f t="shared" si="137"/>
        <v>0</v>
      </c>
      <c r="AI122">
        <f t="shared" si="138"/>
        <v>0</v>
      </c>
      <c r="AJ122">
        <f t="shared" si="152"/>
        <v>0</v>
      </c>
      <c r="AK122">
        <v>3.92</v>
      </c>
      <c r="AL122">
        <v>3.92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66</v>
      </c>
      <c r="AU122">
        <v>40</v>
      </c>
      <c r="AV122">
        <v>1</v>
      </c>
      <c r="AW122">
        <v>1</v>
      </c>
      <c r="AZ122">
        <v>1</v>
      </c>
      <c r="BA122">
        <v>1</v>
      </c>
      <c r="BB122">
        <v>1</v>
      </c>
      <c r="BC122">
        <v>7.97</v>
      </c>
      <c r="BD122" t="s">
        <v>3</v>
      </c>
      <c r="BE122" t="s">
        <v>3</v>
      </c>
      <c r="BF122" t="s">
        <v>3</v>
      </c>
      <c r="BG122" t="s">
        <v>3</v>
      </c>
      <c r="BH122">
        <v>3</v>
      </c>
      <c r="BI122">
        <v>2</v>
      </c>
      <c r="BJ122" t="s">
        <v>424</v>
      </c>
      <c r="BM122">
        <v>138001</v>
      </c>
      <c r="BN122">
        <v>0</v>
      </c>
      <c r="BO122" t="s">
        <v>422</v>
      </c>
      <c r="BP122">
        <v>1</v>
      </c>
      <c r="BQ122">
        <v>3</v>
      </c>
      <c r="BR122">
        <v>0</v>
      </c>
      <c r="BS122">
        <v>1</v>
      </c>
      <c r="BT122">
        <v>1</v>
      </c>
      <c r="BU122">
        <v>1</v>
      </c>
      <c r="BV122">
        <v>1</v>
      </c>
      <c r="BW122">
        <v>1</v>
      </c>
      <c r="BX122">
        <v>1</v>
      </c>
      <c r="BY122" t="s">
        <v>3</v>
      </c>
      <c r="BZ122">
        <v>66</v>
      </c>
      <c r="CA122">
        <v>40</v>
      </c>
      <c r="CE122">
        <v>0</v>
      </c>
      <c r="CF122">
        <v>0</v>
      </c>
      <c r="CG122">
        <v>0</v>
      </c>
      <c r="CM122">
        <v>0</v>
      </c>
      <c r="CN122" t="s">
        <v>3</v>
      </c>
      <c r="CO122">
        <v>0</v>
      </c>
      <c r="CP122">
        <f t="shared" si="153"/>
        <v>781.06</v>
      </c>
      <c r="CQ122">
        <f t="shared" si="154"/>
        <v>31.2424</v>
      </c>
      <c r="CR122">
        <f t="shared" si="155"/>
        <v>0</v>
      </c>
      <c r="CS122">
        <f t="shared" si="156"/>
        <v>0</v>
      </c>
      <c r="CT122">
        <f t="shared" si="157"/>
        <v>0</v>
      </c>
      <c r="CU122">
        <f t="shared" si="158"/>
        <v>0</v>
      </c>
      <c r="CV122">
        <f t="shared" si="159"/>
        <v>0</v>
      </c>
      <c r="CW122">
        <f t="shared" si="160"/>
        <v>0</v>
      </c>
      <c r="CX122">
        <f t="shared" si="161"/>
        <v>0</v>
      </c>
      <c r="CY122">
        <f t="shared" si="162"/>
        <v>0</v>
      </c>
      <c r="CZ122">
        <f t="shared" si="163"/>
        <v>0</v>
      </c>
      <c r="DC122" t="s">
        <v>3</v>
      </c>
      <c r="DD122" t="s">
        <v>3</v>
      </c>
      <c r="DE122" t="s">
        <v>3</v>
      </c>
      <c r="DF122" t="s">
        <v>3</v>
      </c>
      <c r="DG122" t="s">
        <v>3</v>
      </c>
      <c r="DH122" t="s">
        <v>3</v>
      </c>
      <c r="DI122" t="s">
        <v>3</v>
      </c>
      <c r="DJ122" t="s">
        <v>3</v>
      </c>
      <c r="DK122" t="s">
        <v>3</v>
      </c>
      <c r="DL122" t="s">
        <v>3</v>
      </c>
      <c r="DM122" t="s">
        <v>3</v>
      </c>
      <c r="DN122">
        <v>0</v>
      </c>
      <c r="DO122">
        <v>0</v>
      </c>
      <c r="DP122">
        <v>1</v>
      </c>
      <c r="DQ122">
        <v>1</v>
      </c>
      <c r="DU122">
        <v>1013</v>
      </c>
      <c r="DV122" t="s">
        <v>29</v>
      </c>
      <c r="DW122" t="s">
        <v>29</v>
      </c>
      <c r="DX122">
        <v>1</v>
      </c>
      <c r="DZ122" t="s">
        <v>3</v>
      </c>
      <c r="EA122" t="s">
        <v>3</v>
      </c>
      <c r="EB122" t="s">
        <v>3</v>
      </c>
      <c r="EC122" t="s">
        <v>3</v>
      </c>
      <c r="EE122">
        <v>64094946</v>
      </c>
      <c r="EF122">
        <v>3</v>
      </c>
      <c r="EG122" t="s">
        <v>22</v>
      </c>
      <c r="EH122">
        <v>0</v>
      </c>
      <c r="EI122" t="s">
        <v>3</v>
      </c>
      <c r="EJ122">
        <v>2</v>
      </c>
      <c r="EK122">
        <v>138001</v>
      </c>
      <c r="EL122" t="s">
        <v>370</v>
      </c>
      <c r="EM122" t="s">
        <v>371</v>
      </c>
      <c r="EO122" t="s">
        <v>3</v>
      </c>
      <c r="EQ122">
        <v>0</v>
      </c>
      <c r="ER122">
        <v>3.92</v>
      </c>
      <c r="ES122">
        <v>3.92</v>
      </c>
      <c r="ET122">
        <v>0</v>
      </c>
      <c r="EU122">
        <v>0</v>
      </c>
      <c r="EV122">
        <v>0</v>
      </c>
      <c r="EW122">
        <v>0</v>
      </c>
      <c r="EX122">
        <v>0</v>
      </c>
      <c r="FQ122">
        <v>0</v>
      </c>
      <c r="FR122">
        <f t="shared" si="164"/>
        <v>0</v>
      </c>
      <c r="FS122">
        <v>0</v>
      </c>
      <c r="FX122">
        <v>66</v>
      </c>
      <c r="FY122">
        <v>40</v>
      </c>
      <c r="GA122" t="s">
        <v>3</v>
      </c>
      <c r="GD122">
        <v>1</v>
      </c>
      <c r="GF122">
        <v>-1473316350</v>
      </c>
      <c r="GG122">
        <v>2</v>
      </c>
      <c r="GH122">
        <v>1</v>
      </c>
      <c r="GI122">
        <v>2</v>
      </c>
      <c r="GJ122">
        <v>0</v>
      </c>
      <c r="GK122">
        <v>0</v>
      </c>
      <c r="GL122">
        <f t="shared" si="165"/>
        <v>0</v>
      </c>
      <c r="GM122">
        <f t="shared" si="166"/>
        <v>781.06</v>
      </c>
      <c r="GN122">
        <f t="shared" si="167"/>
        <v>0</v>
      </c>
      <c r="GO122">
        <f t="shared" si="168"/>
        <v>781.06</v>
      </c>
      <c r="GP122">
        <f t="shared" si="169"/>
        <v>0</v>
      </c>
      <c r="GR122">
        <v>0</v>
      </c>
      <c r="GS122">
        <v>3</v>
      </c>
      <c r="GT122">
        <v>0</v>
      </c>
      <c r="GU122" t="s">
        <v>3</v>
      </c>
      <c r="GV122">
        <f t="shared" si="170"/>
        <v>0</v>
      </c>
      <c r="GW122">
        <v>1</v>
      </c>
      <c r="GX122">
        <f t="shared" si="171"/>
        <v>0</v>
      </c>
      <c r="HA122">
        <v>0</v>
      </c>
      <c r="HB122">
        <v>0</v>
      </c>
      <c r="HC122">
        <f t="shared" si="172"/>
        <v>0</v>
      </c>
      <c r="HE122" t="s">
        <v>3</v>
      </c>
      <c r="HF122" t="s">
        <v>3</v>
      </c>
      <c r="IK122">
        <v>0</v>
      </c>
    </row>
    <row r="123" spans="1:245" x14ac:dyDescent="0.2">
      <c r="A123">
        <v>18</v>
      </c>
      <c r="B123">
        <v>1</v>
      </c>
      <c r="C123">
        <v>319</v>
      </c>
      <c r="E123" t="s">
        <v>425</v>
      </c>
      <c r="F123" t="s">
        <v>418</v>
      </c>
      <c r="G123" t="s">
        <v>426</v>
      </c>
      <c r="H123" t="s">
        <v>29</v>
      </c>
      <c r="I123">
        <f>I113*J123</f>
        <v>4</v>
      </c>
      <c r="J123">
        <v>36.363636363636367</v>
      </c>
      <c r="O123">
        <f t="shared" si="139"/>
        <v>515.44000000000005</v>
      </c>
      <c r="P123">
        <f t="shared" si="140"/>
        <v>515.44000000000005</v>
      </c>
      <c r="Q123">
        <f t="shared" si="141"/>
        <v>0</v>
      </c>
      <c r="R123">
        <f t="shared" si="142"/>
        <v>0</v>
      </c>
      <c r="S123">
        <f t="shared" si="143"/>
        <v>0</v>
      </c>
      <c r="T123">
        <f t="shared" si="144"/>
        <v>0</v>
      </c>
      <c r="U123">
        <f t="shared" si="145"/>
        <v>0</v>
      </c>
      <c r="V123">
        <f t="shared" si="146"/>
        <v>0</v>
      </c>
      <c r="W123">
        <f t="shared" si="147"/>
        <v>0</v>
      </c>
      <c r="X123">
        <f t="shared" si="148"/>
        <v>0</v>
      </c>
      <c r="Y123">
        <f t="shared" si="149"/>
        <v>0</v>
      </c>
      <c r="AA123">
        <v>68990560</v>
      </c>
      <c r="AB123">
        <f t="shared" si="150"/>
        <v>9.74</v>
      </c>
      <c r="AC123">
        <f t="shared" ref="AC123:AC141" si="173">ROUND((ES123),2)</f>
        <v>9.74</v>
      </c>
      <c r="AD123">
        <f t="shared" si="134"/>
        <v>0</v>
      </c>
      <c r="AE123">
        <f t="shared" si="135"/>
        <v>0</v>
      </c>
      <c r="AF123">
        <f t="shared" si="136"/>
        <v>0</v>
      </c>
      <c r="AG123">
        <f t="shared" si="151"/>
        <v>0</v>
      </c>
      <c r="AH123">
        <f t="shared" si="137"/>
        <v>0</v>
      </c>
      <c r="AI123">
        <f t="shared" si="138"/>
        <v>0</v>
      </c>
      <c r="AJ123">
        <f t="shared" si="152"/>
        <v>0</v>
      </c>
      <c r="AK123">
        <v>9.74</v>
      </c>
      <c r="AL123">
        <v>9.74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66</v>
      </c>
      <c r="AU123">
        <v>40</v>
      </c>
      <c r="AV123">
        <v>1</v>
      </c>
      <c r="AW123">
        <v>1</v>
      </c>
      <c r="AZ123">
        <v>1</v>
      </c>
      <c r="BA123">
        <v>1</v>
      </c>
      <c r="BB123">
        <v>1</v>
      </c>
      <c r="BC123">
        <v>13.23</v>
      </c>
      <c r="BD123" t="s">
        <v>3</v>
      </c>
      <c r="BE123" t="s">
        <v>3</v>
      </c>
      <c r="BF123" t="s">
        <v>3</v>
      </c>
      <c r="BG123" t="s">
        <v>3</v>
      </c>
      <c r="BH123">
        <v>3</v>
      </c>
      <c r="BI123">
        <v>2</v>
      </c>
      <c r="BJ123" t="s">
        <v>420</v>
      </c>
      <c r="BM123">
        <v>138001</v>
      </c>
      <c r="BN123">
        <v>0</v>
      </c>
      <c r="BO123" t="s">
        <v>418</v>
      </c>
      <c r="BP123">
        <v>1</v>
      </c>
      <c r="BQ123">
        <v>3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3</v>
      </c>
      <c r="BZ123">
        <v>66</v>
      </c>
      <c r="CA123">
        <v>40</v>
      </c>
      <c r="CE123">
        <v>0</v>
      </c>
      <c r="CF123">
        <v>0</v>
      </c>
      <c r="CG123">
        <v>0</v>
      </c>
      <c r="CM123">
        <v>0</v>
      </c>
      <c r="CN123" t="s">
        <v>3</v>
      </c>
      <c r="CO123">
        <v>0</v>
      </c>
      <c r="CP123">
        <f t="shared" si="153"/>
        <v>515.44000000000005</v>
      </c>
      <c r="CQ123">
        <f t="shared" si="154"/>
        <v>128.86020000000002</v>
      </c>
      <c r="CR123">
        <f t="shared" si="155"/>
        <v>0</v>
      </c>
      <c r="CS123">
        <f t="shared" si="156"/>
        <v>0</v>
      </c>
      <c r="CT123">
        <f t="shared" si="157"/>
        <v>0</v>
      </c>
      <c r="CU123">
        <f t="shared" si="158"/>
        <v>0</v>
      </c>
      <c r="CV123">
        <f t="shared" si="159"/>
        <v>0</v>
      </c>
      <c r="CW123">
        <f t="shared" si="160"/>
        <v>0</v>
      </c>
      <c r="CX123">
        <f t="shared" si="161"/>
        <v>0</v>
      </c>
      <c r="CY123">
        <f t="shared" si="162"/>
        <v>0</v>
      </c>
      <c r="CZ123">
        <f t="shared" si="163"/>
        <v>0</v>
      </c>
      <c r="DC123" t="s">
        <v>3</v>
      </c>
      <c r="DD123" t="s">
        <v>3</v>
      </c>
      <c r="DE123" t="s">
        <v>3</v>
      </c>
      <c r="DF123" t="s">
        <v>3</v>
      </c>
      <c r="DG123" t="s">
        <v>3</v>
      </c>
      <c r="DH123" t="s">
        <v>3</v>
      </c>
      <c r="DI123" t="s">
        <v>3</v>
      </c>
      <c r="DJ123" t="s">
        <v>3</v>
      </c>
      <c r="DK123" t="s">
        <v>3</v>
      </c>
      <c r="DL123" t="s">
        <v>3</v>
      </c>
      <c r="DM123" t="s">
        <v>3</v>
      </c>
      <c r="DN123">
        <v>0</v>
      </c>
      <c r="DO123">
        <v>0</v>
      </c>
      <c r="DP123">
        <v>1</v>
      </c>
      <c r="DQ123">
        <v>1</v>
      </c>
      <c r="DU123">
        <v>1013</v>
      </c>
      <c r="DV123" t="s">
        <v>29</v>
      </c>
      <c r="DW123" t="s">
        <v>29</v>
      </c>
      <c r="DX123">
        <v>1</v>
      </c>
      <c r="DZ123" t="s">
        <v>3</v>
      </c>
      <c r="EA123" t="s">
        <v>3</v>
      </c>
      <c r="EB123" t="s">
        <v>3</v>
      </c>
      <c r="EC123" t="s">
        <v>3</v>
      </c>
      <c r="EE123">
        <v>64094946</v>
      </c>
      <c r="EF123">
        <v>3</v>
      </c>
      <c r="EG123" t="s">
        <v>22</v>
      </c>
      <c r="EH123">
        <v>0</v>
      </c>
      <c r="EI123" t="s">
        <v>3</v>
      </c>
      <c r="EJ123">
        <v>2</v>
      </c>
      <c r="EK123">
        <v>138001</v>
      </c>
      <c r="EL123" t="s">
        <v>370</v>
      </c>
      <c r="EM123" t="s">
        <v>371</v>
      </c>
      <c r="EO123" t="s">
        <v>3</v>
      </c>
      <c r="EQ123">
        <v>0</v>
      </c>
      <c r="ER123">
        <v>9.74</v>
      </c>
      <c r="ES123">
        <v>9.74</v>
      </c>
      <c r="ET123">
        <v>0</v>
      </c>
      <c r="EU123">
        <v>0</v>
      </c>
      <c r="EV123">
        <v>0</v>
      </c>
      <c r="EW123">
        <v>0</v>
      </c>
      <c r="EX123">
        <v>0</v>
      </c>
      <c r="FQ123">
        <v>0</v>
      </c>
      <c r="FR123">
        <f t="shared" si="164"/>
        <v>0</v>
      </c>
      <c r="FS123">
        <v>0</v>
      </c>
      <c r="FX123">
        <v>66</v>
      </c>
      <c r="FY123">
        <v>40</v>
      </c>
      <c r="GA123" t="s">
        <v>3</v>
      </c>
      <c r="GD123">
        <v>1</v>
      </c>
      <c r="GF123">
        <v>1629691848</v>
      </c>
      <c r="GG123">
        <v>2</v>
      </c>
      <c r="GH123">
        <v>1</v>
      </c>
      <c r="GI123">
        <v>2</v>
      </c>
      <c r="GJ123">
        <v>0</v>
      </c>
      <c r="GK123">
        <v>0</v>
      </c>
      <c r="GL123">
        <f t="shared" si="165"/>
        <v>0</v>
      </c>
      <c r="GM123">
        <f t="shared" si="166"/>
        <v>515.44000000000005</v>
      </c>
      <c r="GN123">
        <f t="shared" si="167"/>
        <v>0</v>
      </c>
      <c r="GO123">
        <f t="shared" si="168"/>
        <v>515.44000000000005</v>
      </c>
      <c r="GP123">
        <f t="shared" si="169"/>
        <v>0</v>
      </c>
      <c r="GR123">
        <v>0</v>
      </c>
      <c r="GS123">
        <v>3</v>
      </c>
      <c r="GT123">
        <v>0</v>
      </c>
      <c r="GU123" t="s">
        <v>3</v>
      </c>
      <c r="GV123">
        <f t="shared" si="170"/>
        <v>0</v>
      </c>
      <c r="GW123">
        <v>1</v>
      </c>
      <c r="GX123">
        <f t="shared" si="171"/>
        <v>0</v>
      </c>
      <c r="HA123">
        <v>0</v>
      </c>
      <c r="HB123">
        <v>0</v>
      </c>
      <c r="HC123">
        <f t="shared" si="172"/>
        <v>0</v>
      </c>
      <c r="HE123" t="s">
        <v>3</v>
      </c>
      <c r="HF123" t="s">
        <v>3</v>
      </c>
      <c r="IK123">
        <v>0</v>
      </c>
    </row>
    <row r="124" spans="1:245" x14ac:dyDescent="0.2">
      <c r="A124">
        <v>17</v>
      </c>
      <c r="B124">
        <v>1</v>
      </c>
      <c r="C124">
        <f>ROW(SmtRes!A336)</f>
        <v>336</v>
      </c>
      <c r="D124">
        <f>ROW(EtalonRes!A333)</f>
        <v>333</v>
      </c>
      <c r="E124" t="s">
        <v>427</v>
      </c>
      <c r="F124" t="s">
        <v>428</v>
      </c>
      <c r="G124" t="s">
        <v>429</v>
      </c>
      <c r="H124" t="s">
        <v>36</v>
      </c>
      <c r="I124">
        <f>ROUND(6.5/100,5)</f>
        <v>6.5000000000000002E-2</v>
      </c>
      <c r="J124">
        <v>0</v>
      </c>
      <c r="O124">
        <f t="shared" si="139"/>
        <v>257.11</v>
      </c>
      <c r="P124">
        <f t="shared" si="140"/>
        <v>58.9</v>
      </c>
      <c r="Q124">
        <f t="shared" si="141"/>
        <v>6.19</v>
      </c>
      <c r="R124">
        <f t="shared" si="142"/>
        <v>0.81</v>
      </c>
      <c r="S124">
        <f t="shared" si="143"/>
        <v>192.02</v>
      </c>
      <c r="T124">
        <f t="shared" si="144"/>
        <v>0</v>
      </c>
      <c r="U124">
        <f t="shared" si="145"/>
        <v>0.53584537499999996</v>
      </c>
      <c r="V124">
        <f t="shared" si="146"/>
        <v>2.1937500000000004E-3</v>
      </c>
      <c r="W124">
        <f t="shared" si="147"/>
        <v>0</v>
      </c>
      <c r="X124">
        <f t="shared" si="148"/>
        <v>156.19</v>
      </c>
      <c r="Y124">
        <f t="shared" si="149"/>
        <v>115.7</v>
      </c>
      <c r="AA124">
        <v>68990560</v>
      </c>
      <c r="AB124">
        <f t="shared" si="150"/>
        <v>255.39</v>
      </c>
      <c r="AC124">
        <f t="shared" si="173"/>
        <v>152.04</v>
      </c>
      <c r="AD124">
        <f>ROUND((((((ET124*1.25)*1.35))-(((EU124*1.25)*1.35)))+AE124),2)</f>
        <v>15.56</v>
      </c>
      <c r="AE124">
        <f>ROUND((((EU124*1.25)*1.35)),2)</f>
        <v>0.37</v>
      </c>
      <c r="AF124">
        <f>ROUND((((EV124*1.15)*1.35)),2)</f>
        <v>87.79</v>
      </c>
      <c r="AG124">
        <f t="shared" si="151"/>
        <v>0</v>
      </c>
      <c r="AH124">
        <f>(((EW124*1.15)*1.35))</f>
        <v>8.2437749999999994</v>
      </c>
      <c r="AI124">
        <f>(((EX124*1.25)*1.35))</f>
        <v>3.3750000000000002E-2</v>
      </c>
      <c r="AJ124">
        <f t="shared" si="152"/>
        <v>0</v>
      </c>
      <c r="AK124">
        <v>217.81</v>
      </c>
      <c r="AL124">
        <v>152.04</v>
      </c>
      <c r="AM124">
        <v>9.2200000000000006</v>
      </c>
      <c r="AN124">
        <v>0.22</v>
      </c>
      <c r="AO124">
        <v>56.55</v>
      </c>
      <c r="AP124">
        <v>0</v>
      </c>
      <c r="AQ124">
        <v>5.31</v>
      </c>
      <c r="AR124">
        <v>0.02</v>
      </c>
      <c r="AS124">
        <v>0</v>
      </c>
      <c r="AT124">
        <v>81</v>
      </c>
      <c r="AU124">
        <v>60</v>
      </c>
      <c r="AV124">
        <v>1</v>
      </c>
      <c r="AW124">
        <v>1</v>
      </c>
      <c r="AZ124">
        <v>1</v>
      </c>
      <c r="BA124">
        <v>33.65</v>
      </c>
      <c r="BB124">
        <v>6.12</v>
      </c>
      <c r="BC124">
        <v>5.96</v>
      </c>
      <c r="BD124" t="s">
        <v>3</v>
      </c>
      <c r="BE124" t="s">
        <v>3</v>
      </c>
      <c r="BF124" t="s">
        <v>3</v>
      </c>
      <c r="BG124" t="s">
        <v>3</v>
      </c>
      <c r="BH124">
        <v>0</v>
      </c>
      <c r="BI124">
        <v>1</v>
      </c>
      <c r="BJ124" t="s">
        <v>430</v>
      </c>
      <c r="BM124">
        <v>13001</v>
      </c>
      <c r="BN124">
        <v>0</v>
      </c>
      <c r="BO124" t="s">
        <v>428</v>
      </c>
      <c r="BP124">
        <v>1</v>
      </c>
      <c r="BQ124">
        <v>2</v>
      </c>
      <c r="BR124">
        <v>0</v>
      </c>
      <c r="BS124">
        <v>33.65</v>
      </c>
      <c r="BT124">
        <v>1</v>
      </c>
      <c r="BU124">
        <v>1</v>
      </c>
      <c r="BV124">
        <v>1</v>
      </c>
      <c r="BW124">
        <v>1</v>
      </c>
      <c r="BX124">
        <v>1</v>
      </c>
      <c r="BY124" t="s">
        <v>3</v>
      </c>
      <c r="BZ124">
        <v>90</v>
      </c>
      <c r="CA124">
        <v>70</v>
      </c>
      <c r="CE124">
        <v>0</v>
      </c>
      <c r="CF124">
        <v>0</v>
      </c>
      <c r="CG124">
        <v>0</v>
      </c>
      <c r="CM124">
        <v>0</v>
      </c>
      <c r="CN124" t="s">
        <v>1332</v>
      </c>
      <c r="CO124">
        <v>0</v>
      </c>
      <c r="CP124">
        <f t="shared" si="153"/>
        <v>257.11</v>
      </c>
      <c r="CQ124">
        <f t="shared" si="154"/>
        <v>906.15839999999992</v>
      </c>
      <c r="CR124">
        <f t="shared" si="155"/>
        <v>95.227200000000011</v>
      </c>
      <c r="CS124">
        <f t="shared" si="156"/>
        <v>12.4505</v>
      </c>
      <c r="CT124">
        <f t="shared" si="157"/>
        <v>2954.1334999999999</v>
      </c>
      <c r="CU124">
        <f t="shared" si="158"/>
        <v>0</v>
      </c>
      <c r="CV124">
        <f t="shared" si="159"/>
        <v>8.2437749999999994</v>
      </c>
      <c r="CW124">
        <f t="shared" si="160"/>
        <v>3.3750000000000002E-2</v>
      </c>
      <c r="CX124">
        <f t="shared" si="161"/>
        <v>0</v>
      </c>
      <c r="CY124">
        <f t="shared" si="162"/>
        <v>156.19230000000002</v>
      </c>
      <c r="CZ124">
        <f t="shared" si="163"/>
        <v>115.69800000000001</v>
      </c>
      <c r="DC124" t="s">
        <v>3</v>
      </c>
      <c r="DD124" t="s">
        <v>3</v>
      </c>
      <c r="DE124" t="s">
        <v>146</v>
      </c>
      <c r="DF124" t="s">
        <v>146</v>
      </c>
      <c r="DG124" t="s">
        <v>147</v>
      </c>
      <c r="DH124" t="s">
        <v>3</v>
      </c>
      <c r="DI124" t="s">
        <v>147</v>
      </c>
      <c r="DJ124" t="s">
        <v>146</v>
      </c>
      <c r="DK124" t="s">
        <v>3</v>
      </c>
      <c r="DL124" t="s">
        <v>3</v>
      </c>
      <c r="DM124" t="s">
        <v>3</v>
      </c>
      <c r="DN124">
        <v>0</v>
      </c>
      <c r="DO124">
        <v>0</v>
      </c>
      <c r="DP124">
        <v>1</v>
      </c>
      <c r="DQ124">
        <v>1</v>
      </c>
      <c r="DU124">
        <v>1005</v>
      </c>
      <c r="DV124" t="s">
        <v>36</v>
      </c>
      <c r="DW124" t="s">
        <v>36</v>
      </c>
      <c r="DX124">
        <v>100</v>
      </c>
      <c r="DZ124" t="s">
        <v>3</v>
      </c>
      <c r="EA124" t="s">
        <v>3</v>
      </c>
      <c r="EB124" t="s">
        <v>3</v>
      </c>
      <c r="EC124" t="s">
        <v>3</v>
      </c>
      <c r="EE124">
        <v>64095029</v>
      </c>
      <c r="EF124">
        <v>2</v>
      </c>
      <c r="EG124" t="s">
        <v>13</v>
      </c>
      <c r="EH124">
        <v>0</v>
      </c>
      <c r="EI124" t="s">
        <v>3</v>
      </c>
      <c r="EJ124">
        <v>1</v>
      </c>
      <c r="EK124">
        <v>13001</v>
      </c>
      <c r="EL124" t="s">
        <v>337</v>
      </c>
      <c r="EM124" t="s">
        <v>338</v>
      </c>
      <c r="EO124" t="s">
        <v>150</v>
      </c>
      <c r="EQ124">
        <v>0</v>
      </c>
      <c r="ER124">
        <v>217.81</v>
      </c>
      <c r="ES124">
        <v>152.04</v>
      </c>
      <c r="ET124">
        <v>9.2200000000000006</v>
      </c>
      <c r="EU124">
        <v>0.22</v>
      </c>
      <c r="EV124">
        <v>56.55</v>
      </c>
      <c r="EW124">
        <v>5.31</v>
      </c>
      <c r="EX124">
        <v>0.02</v>
      </c>
      <c r="EY124">
        <v>0</v>
      </c>
      <c r="FQ124">
        <v>0</v>
      </c>
      <c r="FR124">
        <f t="shared" si="164"/>
        <v>0</v>
      </c>
      <c r="FS124">
        <v>0</v>
      </c>
      <c r="FT124" t="s">
        <v>52</v>
      </c>
      <c r="FU124" t="s">
        <v>53</v>
      </c>
      <c r="FX124">
        <v>81</v>
      </c>
      <c r="FY124">
        <v>59.5</v>
      </c>
      <c r="GA124" t="s">
        <v>3</v>
      </c>
      <c r="GD124">
        <v>1</v>
      </c>
      <c r="GF124">
        <v>-1987405072</v>
      </c>
      <c r="GG124">
        <v>2</v>
      </c>
      <c r="GH124">
        <v>1</v>
      </c>
      <c r="GI124">
        <v>2</v>
      </c>
      <c r="GJ124">
        <v>0</v>
      </c>
      <c r="GK124">
        <v>0</v>
      </c>
      <c r="GL124">
        <f t="shared" si="165"/>
        <v>0</v>
      </c>
      <c r="GM124">
        <f t="shared" si="166"/>
        <v>529</v>
      </c>
      <c r="GN124">
        <f t="shared" si="167"/>
        <v>529</v>
      </c>
      <c r="GO124">
        <f t="shared" si="168"/>
        <v>0</v>
      </c>
      <c r="GP124">
        <f t="shared" si="169"/>
        <v>0</v>
      </c>
      <c r="GR124">
        <v>0</v>
      </c>
      <c r="GS124">
        <v>3</v>
      </c>
      <c r="GT124">
        <v>0</v>
      </c>
      <c r="GU124" t="s">
        <v>3</v>
      </c>
      <c r="GV124">
        <f t="shared" si="170"/>
        <v>0</v>
      </c>
      <c r="GW124">
        <v>1</v>
      </c>
      <c r="GX124">
        <f t="shared" si="171"/>
        <v>0</v>
      </c>
      <c r="HA124">
        <v>0</v>
      </c>
      <c r="HB124">
        <v>0</v>
      </c>
      <c r="HC124">
        <f t="shared" si="172"/>
        <v>0</v>
      </c>
      <c r="HE124" t="s">
        <v>3</v>
      </c>
      <c r="HF124" t="s">
        <v>3</v>
      </c>
      <c r="IK124">
        <v>0</v>
      </c>
    </row>
    <row r="125" spans="1:245" x14ac:dyDescent="0.2">
      <c r="A125">
        <v>17</v>
      </c>
      <c r="B125">
        <v>1</v>
      </c>
      <c r="C125">
        <f>ROW(SmtRes!A343)</f>
        <v>343</v>
      </c>
      <c r="D125">
        <f>ROW(EtalonRes!A340)</f>
        <v>340</v>
      </c>
      <c r="E125" t="s">
        <v>431</v>
      </c>
      <c r="F125" t="s">
        <v>432</v>
      </c>
      <c r="G125" t="s">
        <v>433</v>
      </c>
      <c r="H125" t="s">
        <v>36</v>
      </c>
      <c r="I125">
        <f>ROUND(6.5/100,5)</f>
        <v>6.5000000000000002E-2</v>
      </c>
      <c r="J125">
        <v>0</v>
      </c>
      <c r="O125">
        <f t="shared" si="139"/>
        <v>1151.0999999999999</v>
      </c>
      <c r="P125">
        <f t="shared" si="140"/>
        <v>37.880000000000003</v>
      </c>
      <c r="Q125">
        <f t="shared" si="141"/>
        <v>3.06</v>
      </c>
      <c r="R125">
        <f t="shared" si="142"/>
        <v>1.82</v>
      </c>
      <c r="S125">
        <f t="shared" si="143"/>
        <v>1110.1600000000001</v>
      </c>
      <c r="T125">
        <f t="shared" si="144"/>
        <v>0</v>
      </c>
      <c r="U125">
        <f t="shared" si="145"/>
        <v>3.7236712500000002</v>
      </c>
      <c r="V125">
        <f t="shared" si="146"/>
        <v>4.3875000000000008E-3</v>
      </c>
      <c r="W125">
        <f t="shared" si="147"/>
        <v>0</v>
      </c>
      <c r="X125">
        <f t="shared" si="148"/>
        <v>1056.3800000000001</v>
      </c>
      <c r="Y125">
        <f t="shared" si="149"/>
        <v>522.63</v>
      </c>
      <c r="AA125">
        <v>68990560</v>
      </c>
      <c r="AB125">
        <f t="shared" si="150"/>
        <v>599.98</v>
      </c>
      <c r="AC125">
        <f t="shared" si="173"/>
        <v>88.57</v>
      </c>
      <c r="AD125">
        <f>ROUND((((((ET125*1.25)*1.35))-(((EU125*1.25)*1.35)))+AE125),2)</f>
        <v>3.85</v>
      </c>
      <c r="AE125">
        <f>ROUND((((EU125*1.25)*1.35)),2)</f>
        <v>0.83</v>
      </c>
      <c r="AF125">
        <f>ROUND((((EV125*1.15)*1.35)),2)</f>
        <v>507.56</v>
      </c>
      <c r="AG125">
        <f t="shared" si="151"/>
        <v>0</v>
      </c>
      <c r="AH125">
        <f>(((EW125*1.15)*1.35))</f>
        <v>57.28725</v>
      </c>
      <c r="AI125">
        <f>(((EX125*1.25)*1.35))</f>
        <v>6.7500000000000004E-2</v>
      </c>
      <c r="AJ125">
        <f t="shared" si="152"/>
        <v>0</v>
      </c>
      <c r="AK125">
        <v>417.78</v>
      </c>
      <c r="AL125">
        <v>88.57</v>
      </c>
      <c r="AM125">
        <v>2.2799999999999998</v>
      </c>
      <c r="AN125">
        <v>0.49</v>
      </c>
      <c r="AO125">
        <v>326.93</v>
      </c>
      <c r="AP125">
        <v>0</v>
      </c>
      <c r="AQ125">
        <v>36.9</v>
      </c>
      <c r="AR125">
        <v>0.04</v>
      </c>
      <c r="AS125">
        <v>0</v>
      </c>
      <c r="AT125">
        <v>95</v>
      </c>
      <c r="AU125">
        <v>47</v>
      </c>
      <c r="AV125">
        <v>1</v>
      </c>
      <c r="AW125">
        <v>1</v>
      </c>
      <c r="AZ125">
        <v>1</v>
      </c>
      <c r="BA125">
        <v>33.65</v>
      </c>
      <c r="BB125">
        <v>12.23</v>
      </c>
      <c r="BC125">
        <v>6.58</v>
      </c>
      <c r="BD125" t="s">
        <v>3</v>
      </c>
      <c r="BE125" t="s">
        <v>3</v>
      </c>
      <c r="BF125" t="s">
        <v>3</v>
      </c>
      <c r="BG125" t="s">
        <v>3</v>
      </c>
      <c r="BH125">
        <v>0</v>
      </c>
      <c r="BI125">
        <v>1</v>
      </c>
      <c r="BJ125" t="s">
        <v>434</v>
      </c>
      <c r="BM125">
        <v>15001</v>
      </c>
      <c r="BN125">
        <v>0</v>
      </c>
      <c r="BO125" t="s">
        <v>432</v>
      </c>
      <c r="BP125">
        <v>1</v>
      </c>
      <c r="BQ125">
        <v>2</v>
      </c>
      <c r="BR125">
        <v>0</v>
      </c>
      <c r="BS125">
        <v>33.65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3</v>
      </c>
      <c r="BZ125">
        <v>105</v>
      </c>
      <c r="CA125">
        <v>55</v>
      </c>
      <c r="CE125">
        <v>0</v>
      </c>
      <c r="CF125">
        <v>0</v>
      </c>
      <c r="CG125">
        <v>0</v>
      </c>
      <c r="CM125">
        <v>0</v>
      </c>
      <c r="CN125" t="s">
        <v>1332</v>
      </c>
      <c r="CO125">
        <v>0</v>
      </c>
      <c r="CP125">
        <f t="shared" si="153"/>
        <v>1151.1000000000001</v>
      </c>
      <c r="CQ125">
        <f t="shared" si="154"/>
        <v>582.79059999999993</v>
      </c>
      <c r="CR125">
        <f t="shared" si="155"/>
        <v>47.085500000000003</v>
      </c>
      <c r="CS125">
        <f t="shared" si="156"/>
        <v>27.929499999999997</v>
      </c>
      <c r="CT125">
        <f t="shared" si="157"/>
        <v>17079.394</v>
      </c>
      <c r="CU125">
        <f t="shared" si="158"/>
        <v>0</v>
      </c>
      <c r="CV125">
        <f t="shared" si="159"/>
        <v>57.28725</v>
      </c>
      <c r="CW125">
        <f t="shared" si="160"/>
        <v>6.7500000000000004E-2</v>
      </c>
      <c r="CX125">
        <f t="shared" si="161"/>
        <v>0</v>
      </c>
      <c r="CY125">
        <f t="shared" si="162"/>
        <v>1056.3810000000001</v>
      </c>
      <c r="CZ125">
        <f t="shared" si="163"/>
        <v>522.63059999999996</v>
      </c>
      <c r="DC125" t="s">
        <v>3</v>
      </c>
      <c r="DD125" t="s">
        <v>3</v>
      </c>
      <c r="DE125" t="s">
        <v>146</v>
      </c>
      <c r="DF125" t="s">
        <v>146</v>
      </c>
      <c r="DG125" t="s">
        <v>147</v>
      </c>
      <c r="DH125" t="s">
        <v>3</v>
      </c>
      <c r="DI125" t="s">
        <v>147</v>
      </c>
      <c r="DJ125" t="s">
        <v>146</v>
      </c>
      <c r="DK125" t="s">
        <v>3</v>
      </c>
      <c r="DL125" t="s">
        <v>3</v>
      </c>
      <c r="DM125" t="s">
        <v>3</v>
      </c>
      <c r="DN125">
        <v>0</v>
      </c>
      <c r="DO125">
        <v>0</v>
      </c>
      <c r="DP125">
        <v>1</v>
      </c>
      <c r="DQ125">
        <v>1</v>
      </c>
      <c r="DU125">
        <v>1005</v>
      </c>
      <c r="DV125" t="s">
        <v>36</v>
      </c>
      <c r="DW125" t="s">
        <v>36</v>
      </c>
      <c r="DX125">
        <v>100</v>
      </c>
      <c r="DZ125" t="s">
        <v>3</v>
      </c>
      <c r="EA125" t="s">
        <v>3</v>
      </c>
      <c r="EB125" t="s">
        <v>3</v>
      </c>
      <c r="EC125" t="s">
        <v>3</v>
      </c>
      <c r="EE125">
        <v>64095052</v>
      </c>
      <c r="EF125">
        <v>2</v>
      </c>
      <c r="EG125" t="s">
        <v>13</v>
      </c>
      <c r="EH125">
        <v>0</v>
      </c>
      <c r="EI125" t="s">
        <v>3</v>
      </c>
      <c r="EJ125">
        <v>1</v>
      </c>
      <c r="EK125">
        <v>15001</v>
      </c>
      <c r="EL125" t="s">
        <v>165</v>
      </c>
      <c r="EM125" t="s">
        <v>166</v>
      </c>
      <c r="EO125" t="s">
        <v>150</v>
      </c>
      <c r="EQ125">
        <v>0</v>
      </c>
      <c r="ER125">
        <v>417.78</v>
      </c>
      <c r="ES125">
        <v>88.57</v>
      </c>
      <c r="ET125">
        <v>2.2799999999999998</v>
      </c>
      <c r="EU125">
        <v>0.49</v>
      </c>
      <c r="EV125">
        <v>326.93</v>
      </c>
      <c r="EW125">
        <v>36.9</v>
      </c>
      <c r="EX125">
        <v>0.04</v>
      </c>
      <c r="EY125">
        <v>0</v>
      </c>
      <c r="FQ125">
        <v>0</v>
      </c>
      <c r="FR125">
        <f t="shared" si="164"/>
        <v>0</v>
      </c>
      <c r="FS125">
        <v>0</v>
      </c>
      <c r="FT125" t="s">
        <v>52</v>
      </c>
      <c r="FU125" t="s">
        <v>53</v>
      </c>
      <c r="FX125">
        <v>94.5</v>
      </c>
      <c r="FY125">
        <v>46.75</v>
      </c>
      <c r="GA125" t="s">
        <v>3</v>
      </c>
      <c r="GD125">
        <v>1</v>
      </c>
      <c r="GF125">
        <v>1602324340</v>
      </c>
      <c r="GG125">
        <v>2</v>
      </c>
      <c r="GH125">
        <v>1</v>
      </c>
      <c r="GI125">
        <v>2</v>
      </c>
      <c r="GJ125">
        <v>0</v>
      </c>
      <c r="GK125">
        <v>0</v>
      </c>
      <c r="GL125">
        <f t="shared" si="165"/>
        <v>0</v>
      </c>
      <c r="GM125">
        <f t="shared" si="166"/>
        <v>2730.11</v>
      </c>
      <c r="GN125">
        <f t="shared" si="167"/>
        <v>2730.11</v>
      </c>
      <c r="GO125">
        <f t="shared" si="168"/>
        <v>0</v>
      </c>
      <c r="GP125">
        <f t="shared" si="169"/>
        <v>0</v>
      </c>
      <c r="GR125">
        <v>0</v>
      </c>
      <c r="GS125">
        <v>3</v>
      </c>
      <c r="GT125">
        <v>0</v>
      </c>
      <c r="GU125" t="s">
        <v>3</v>
      </c>
      <c r="GV125">
        <f t="shared" si="170"/>
        <v>0</v>
      </c>
      <c r="GW125">
        <v>1</v>
      </c>
      <c r="GX125">
        <f t="shared" si="171"/>
        <v>0</v>
      </c>
      <c r="HA125">
        <v>0</v>
      </c>
      <c r="HB125">
        <v>0</v>
      </c>
      <c r="HC125">
        <f t="shared" si="172"/>
        <v>0</v>
      </c>
      <c r="HE125" t="s">
        <v>3</v>
      </c>
      <c r="HF125" t="s">
        <v>3</v>
      </c>
      <c r="IK125">
        <v>0</v>
      </c>
    </row>
    <row r="126" spans="1:245" x14ac:dyDescent="0.2">
      <c r="A126">
        <v>18</v>
      </c>
      <c r="B126">
        <v>1</v>
      </c>
      <c r="C126">
        <v>342</v>
      </c>
      <c r="E126" t="s">
        <v>435</v>
      </c>
      <c r="F126" t="s">
        <v>436</v>
      </c>
      <c r="G126" t="s">
        <v>437</v>
      </c>
      <c r="H126" t="s">
        <v>174</v>
      </c>
      <c r="I126">
        <f>I125*J126</f>
        <v>1.625</v>
      </c>
      <c r="J126">
        <v>25</v>
      </c>
      <c r="O126">
        <f t="shared" si="139"/>
        <v>903.79</v>
      </c>
      <c r="P126">
        <f t="shared" si="140"/>
        <v>903.79</v>
      </c>
      <c r="Q126">
        <f t="shared" si="141"/>
        <v>0</v>
      </c>
      <c r="R126">
        <f t="shared" si="142"/>
        <v>0</v>
      </c>
      <c r="S126">
        <f t="shared" si="143"/>
        <v>0</v>
      </c>
      <c r="T126">
        <f t="shared" si="144"/>
        <v>0</v>
      </c>
      <c r="U126">
        <f t="shared" si="145"/>
        <v>0</v>
      </c>
      <c r="V126">
        <f t="shared" si="146"/>
        <v>0</v>
      </c>
      <c r="W126">
        <f t="shared" si="147"/>
        <v>0</v>
      </c>
      <c r="X126">
        <f t="shared" si="148"/>
        <v>0</v>
      </c>
      <c r="Y126">
        <f t="shared" si="149"/>
        <v>0</v>
      </c>
      <c r="AA126">
        <v>68990560</v>
      </c>
      <c r="AB126">
        <f t="shared" si="150"/>
        <v>149.51</v>
      </c>
      <c r="AC126">
        <f t="shared" si="173"/>
        <v>149.51</v>
      </c>
      <c r="AD126">
        <f>ROUND((((ET126)-(EU126))+AE126),2)</f>
        <v>0</v>
      </c>
      <c r="AE126">
        <f>ROUND((EU126),2)</f>
        <v>0</v>
      </c>
      <c r="AF126">
        <f>ROUND((EV126),2)</f>
        <v>0</v>
      </c>
      <c r="AG126">
        <f t="shared" si="151"/>
        <v>0</v>
      </c>
      <c r="AH126">
        <f>(EW126)</f>
        <v>0</v>
      </c>
      <c r="AI126">
        <f>(EX126)</f>
        <v>0</v>
      </c>
      <c r="AJ126">
        <f t="shared" si="152"/>
        <v>0</v>
      </c>
      <c r="AK126">
        <v>149.51</v>
      </c>
      <c r="AL126">
        <v>149.51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95</v>
      </c>
      <c r="AU126">
        <v>47</v>
      </c>
      <c r="AV126">
        <v>1</v>
      </c>
      <c r="AW126">
        <v>1</v>
      </c>
      <c r="AZ126">
        <v>1</v>
      </c>
      <c r="BA126">
        <v>1</v>
      </c>
      <c r="BB126">
        <v>1</v>
      </c>
      <c r="BC126">
        <v>3.72</v>
      </c>
      <c r="BD126" t="s">
        <v>3</v>
      </c>
      <c r="BE126" t="s">
        <v>3</v>
      </c>
      <c r="BF126" t="s">
        <v>3</v>
      </c>
      <c r="BG126" t="s">
        <v>3</v>
      </c>
      <c r="BH126">
        <v>3</v>
      </c>
      <c r="BI126">
        <v>1</v>
      </c>
      <c r="BJ126" t="s">
        <v>438</v>
      </c>
      <c r="BM126">
        <v>15001</v>
      </c>
      <c r="BN126">
        <v>0</v>
      </c>
      <c r="BO126" t="s">
        <v>436</v>
      </c>
      <c r="BP126">
        <v>1</v>
      </c>
      <c r="BQ126">
        <v>2</v>
      </c>
      <c r="BR126">
        <v>0</v>
      </c>
      <c r="BS126">
        <v>1</v>
      </c>
      <c r="BT126">
        <v>1</v>
      </c>
      <c r="BU126">
        <v>1</v>
      </c>
      <c r="BV126">
        <v>1</v>
      </c>
      <c r="BW126">
        <v>1</v>
      </c>
      <c r="BX126">
        <v>1</v>
      </c>
      <c r="BY126" t="s">
        <v>3</v>
      </c>
      <c r="BZ126">
        <v>105</v>
      </c>
      <c r="CA126">
        <v>55</v>
      </c>
      <c r="CE126">
        <v>0</v>
      </c>
      <c r="CF126">
        <v>0</v>
      </c>
      <c r="CG126">
        <v>0</v>
      </c>
      <c r="CM126">
        <v>0</v>
      </c>
      <c r="CN126" t="s">
        <v>3</v>
      </c>
      <c r="CO126">
        <v>0</v>
      </c>
      <c r="CP126">
        <f t="shared" si="153"/>
        <v>903.79</v>
      </c>
      <c r="CQ126">
        <f t="shared" si="154"/>
        <v>556.17719999999997</v>
      </c>
      <c r="CR126">
        <f t="shared" si="155"/>
        <v>0</v>
      </c>
      <c r="CS126">
        <f t="shared" si="156"/>
        <v>0</v>
      </c>
      <c r="CT126">
        <f t="shared" si="157"/>
        <v>0</v>
      </c>
      <c r="CU126">
        <f t="shared" si="158"/>
        <v>0</v>
      </c>
      <c r="CV126">
        <f t="shared" si="159"/>
        <v>0</v>
      </c>
      <c r="CW126">
        <f t="shared" si="160"/>
        <v>0</v>
      </c>
      <c r="CX126">
        <f t="shared" si="161"/>
        <v>0</v>
      </c>
      <c r="CY126">
        <f t="shared" si="162"/>
        <v>0</v>
      </c>
      <c r="CZ126">
        <f t="shared" si="163"/>
        <v>0</v>
      </c>
      <c r="DC126" t="s">
        <v>3</v>
      </c>
      <c r="DD126" t="s">
        <v>3</v>
      </c>
      <c r="DE126" t="s">
        <v>3</v>
      </c>
      <c r="DF126" t="s">
        <v>3</v>
      </c>
      <c r="DG126" t="s">
        <v>3</v>
      </c>
      <c r="DH126" t="s">
        <v>3</v>
      </c>
      <c r="DI126" t="s">
        <v>3</v>
      </c>
      <c r="DJ126" t="s">
        <v>3</v>
      </c>
      <c r="DK126" t="s">
        <v>3</v>
      </c>
      <c r="DL126" t="s">
        <v>3</v>
      </c>
      <c r="DM126" t="s">
        <v>3</v>
      </c>
      <c r="DN126">
        <v>0</v>
      </c>
      <c r="DO126">
        <v>0</v>
      </c>
      <c r="DP126">
        <v>1</v>
      </c>
      <c r="DQ126">
        <v>1</v>
      </c>
      <c r="DU126">
        <v>1002</v>
      </c>
      <c r="DV126" t="s">
        <v>174</v>
      </c>
      <c r="DW126" t="s">
        <v>174</v>
      </c>
      <c r="DX126">
        <v>1</v>
      </c>
      <c r="DZ126" t="s">
        <v>3</v>
      </c>
      <c r="EA126" t="s">
        <v>3</v>
      </c>
      <c r="EB126" t="s">
        <v>3</v>
      </c>
      <c r="EC126" t="s">
        <v>3</v>
      </c>
      <c r="EE126">
        <v>64095052</v>
      </c>
      <c r="EF126">
        <v>2</v>
      </c>
      <c r="EG126" t="s">
        <v>13</v>
      </c>
      <c r="EH126">
        <v>0</v>
      </c>
      <c r="EI126" t="s">
        <v>3</v>
      </c>
      <c r="EJ126">
        <v>1</v>
      </c>
      <c r="EK126">
        <v>15001</v>
      </c>
      <c r="EL126" t="s">
        <v>165</v>
      </c>
      <c r="EM126" t="s">
        <v>166</v>
      </c>
      <c r="EO126" t="s">
        <v>3</v>
      </c>
      <c r="EQ126">
        <v>0</v>
      </c>
      <c r="ER126">
        <v>149.51</v>
      </c>
      <c r="ES126">
        <v>149.51</v>
      </c>
      <c r="ET126">
        <v>0</v>
      </c>
      <c r="EU126">
        <v>0</v>
      </c>
      <c r="EV126">
        <v>0</v>
      </c>
      <c r="EW126">
        <v>0</v>
      </c>
      <c r="EX126">
        <v>0</v>
      </c>
      <c r="FQ126">
        <v>0</v>
      </c>
      <c r="FR126">
        <f t="shared" si="164"/>
        <v>0</v>
      </c>
      <c r="FS126">
        <v>0</v>
      </c>
      <c r="FT126" t="s">
        <v>52</v>
      </c>
      <c r="FU126" t="s">
        <v>53</v>
      </c>
      <c r="FX126">
        <v>94.5</v>
      </c>
      <c r="FY126">
        <v>46.75</v>
      </c>
      <c r="GA126" t="s">
        <v>3</v>
      </c>
      <c r="GD126">
        <v>1</v>
      </c>
      <c r="GF126">
        <v>-914527566</v>
      </c>
      <c r="GG126">
        <v>2</v>
      </c>
      <c r="GH126">
        <v>1</v>
      </c>
      <c r="GI126">
        <v>2</v>
      </c>
      <c r="GJ126">
        <v>0</v>
      </c>
      <c r="GK126">
        <v>0</v>
      </c>
      <c r="GL126">
        <f t="shared" si="165"/>
        <v>0</v>
      </c>
      <c r="GM126">
        <f t="shared" si="166"/>
        <v>903.79</v>
      </c>
      <c r="GN126">
        <f t="shared" si="167"/>
        <v>903.79</v>
      </c>
      <c r="GO126">
        <f t="shared" si="168"/>
        <v>0</v>
      </c>
      <c r="GP126">
        <f t="shared" si="169"/>
        <v>0</v>
      </c>
      <c r="GR126">
        <v>0</v>
      </c>
      <c r="GS126">
        <v>3</v>
      </c>
      <c r="GT126">
        <v>0</v>
      </c>
      <c r="GU126" t="s">
        <v>3</v>
      </c>
      <c r="GV126">
        <f t="shared" si="170"/>
        <v>0</v>
      </c>
      <c r="GW126">
        <v>1</v>
      </c>
      <c r="GX126">
        <f t="shared" si="171"/>
        <v>0</v>
      </c>
      <c r="HA126">
        <v>0</v>
      </c>
      <c r="HB126">
        <v>0</v>
      </c>
      <c r="HC126">
        <f t="shared" si="172"/>
        <v>0</v>
      </c>
      <c r="HE126" t="s">
        <v>3</v>
      </c>
      <c r="HF126" t="s">
        <v>3</v>
      </c>
      <c r="IK126">
        <v>0</v>
      </c>
    </row>
    <row r="127" spans="1:245" x14ac:dyDescent="0.2">
      <c r="A127">
        <v>17</v>
      </c>
      <c r="B127">
        <v>1</v>
      </c>
      <c r="C127">
        <f>ROW(SmtRes!A356)</f>
        <v>356</v>
      </c>
      <c r="D127">
        <f>ROW(EtalonRes!A352)</f>
        <v>352</v>
      </c>
      <c r="E127" t="s">
        <v>439</v>
      </c>
      <c r="F127" t="s">
        <v>440</v>
      </c>
      <c r="G127" t="s">
        <v>441</v>
      </c>
      <c r="H127" t="s">
        <v>36</v>
      </c>
      <c r="I127">
        <f>ROUND(34.9/100,5)</f>
        <v>0.34899999999999998</v>
      </c>
      <c r="J127">
        <v>0</v>
      </c>
      <c r="O127">
        <f t="shared" si="139"/>
        <v>36817.03</v>
      </c>
      <c r="P127">
        <f t="shared" si="140"/>
        <v>18703.68</v>
      </c>
      <c r="Q127">
        <f t="shared" si="141"/>
        <v>340.09</v>
      </c>
      <c r="R127">
        <f t="shared" si="142"/>
        <v>157.37</v>
      </c>
      <c r="S127">
        <f t="shared" si="143"/>
        <v>17773.259999999998</v>
      </c>
      <c r="T127">
        <f t="shared" si="144"/>
        <v>0</v>
      </c>
      <c r="U127">
        <f t="shared" si="145"/>
        <v>57.536131274999995</v>
      </c>
      <c r="V127">
        <f t="shared" si="146"/>
        <v>0.37691999999999998</v>
      </c>
      <c r="W127">
        <f t="shared" si="147"/>
        <v>0</v>
      </c>
      <c r="X127">
        <f t="shared" si="148"/>
        <v>17034.099999999999</v>
      </c>
      <c r="Y127">
        <f t="shared" si="149"/>
        <v>8427.4</v>
      </c>
      <c r="AA127">
        <v>68990560</v>
      </c>
      <c r="AB127">
        <f t="shared" si="150"/>
        <v>12325.46</v>
      </c>
      <c r="AC127">
        <f t="shared" si="173"/>
        <v>10718.44</v>
      </c>
      <c r="AD127">
        <f>ROUND((((((ET127*1.25)*1.35))-(((EU127*1.25)*1.35)))+AE127),2)</f>
        <v>93.61</v>
      </c>
      <c r="AE127">
        <f>ROUND((((EU127*1.25)*1.35)),2)</f>
        <v>13.4</v>
      </c>
      <c r="AF127">
        <f>ROUND((((EV127*1.15)*1.35)),2)</f>
        <v>1513.41</v>
      </c>
      <c r="AG127">
        <f t="shared" si="151"/>
        <v>0</v>
      </c>
      <c r="AH127">
        <f>(((EW127*1.15)*1.35))</f>
        <v>164.85997499999999</v>
      </c>
      <c r="AI127">
        <f>(((EX127*1.25)*1.35))</f>
        <v>1.08</v>
      </c>
      <c r="AJ127">
        <f t="shared" si="152"/>
        <v>0</v>
      </c>
      <c r="AK127">
        <v>11748.73</v>
      </c>
      <c r="AL127">
        <v>10718.44</v>
      </c>
      <c r="AM127">
        <v>55.47</v>
      </c>
      <c r="AN127">
        <v>7.94</v>
      </c>
      <c r="AO127">
        <v>974.82</v>
      </c>
      <c r="AP127">
        <v>0</v>
      </c>
      <c r="AQ127">
        <v>106.19</v>
      </c>
      <c r="AR127">
        <v>0.64</v>
      </c>
      <c r="AS127">
        <v>0</v>
      </c>
      <c r="AT127">
        <v>95</v>
      </c>
      <c r="AU127">
        <v>47</v>
      </c>
      <c r="AV127">
        <v>1</v>
      </c>
      <c r="AW127">
        <v>1</v>
      </c>
      <c r="AZ127">
        <v>1</v>
      </c>
      <c r="BA127">
        <v>33.65</v>
      </c>
      <c r="BB127">
        <v>10.41</v>
      </c>
      <c r="BC127">
        <v>5</v>
      </c>
      <c r="BD127" t="s">
        <v>3</v>
      </c>
      <c r="BE127" t="s">
        <v>3</v>
      </c>
      <c r="BF127" t="s">
        <v>3</v>
      </c>
      <c r="BG127" t="s">
        <v>3</v>
      </c>
      <c r="BH127">
        <v>0</v>
      </c>
      <c r="BI127">
        <v>1</v>
      </c>
      <c r="BJ127" t="s">
        <v>442</v>
      </c>
      <c r="BM127">
        <v>15001</v>
      </c>
      <c r="BN127">
        <v>0</v>
      </c>
      <c r="BO127" t="s">
        <v>440</v>
      </c>
      <c r="BP127">
        <v>1</v>
      </c>
      <c r="BQ127">
        <v>2</v>
      </c>
      <c r="BR127">
        <v>0</v>
      </c>
      <c r="BS127">
        <v>33.65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3</v>
      </c>
      <c r="BZ127">
        <v>105</v>
      </c>
      <c r="CA127">
        <v>55</v>
      </c>
      <c r="CE127">
        <v>0</v>
      </c>
      <c r="CF127">
        <v>0</v>
      </c>
      <c r="CG127">
        <v>0</v>
      </c>
      <c r="CM127">
        <v>0</v>
      </c>
      <c r="CN127" t="s">
        <v>1332</v>
      </c>
      <c r="CO127">
        <v>0</v>
      </c>
      <c r="CP127">
        <f t="shared" si="153"/>
        <v>36817.03</v>
      </c>
      <c r="CQ127">
        <f t="shared" si="154"/>
        <v>53592.200000000004</v>
      </c>
      <c r="CR127">
        <f t="shared" si="155"/>
        <v>974.48009999999999</v>
      </c>
      <c r="CS127">
        <f t="shared" si="156"/>
        <v>450.90999999999997</v>
      </c>
      <c r="CT127">
        <f t="shared" si="157"/>
        <v>50926.246500000001</v>
      </c>
      <c r="CU127">
        <f t="shared" si="158"/>
        <v>0</v>
      </c>
      <c r="CV127">
        <f t="shared" si="159"/>
        <v>164.85997499999999</v>
      </c>
      <c r="CW127">
        <f t="shared" si="160"/>
        <v>1.08</v>
      </c>
      <c r="CX127">
        <f t="shared" si="161"/>
        <v>0</v>
      </c>
      <c r="CY127">
        <f t="shared" si="162"/>
        <v>17034.0985</v>
      </c>
      <c r="CZ127">
        <f t="shared" si="163"/>
        <v>8427.3960999999981</v>
      </c>
      <c r="DC127" t="s">
        <v>3</v>
      </c>
      <c r="DD127" t="s">
        <v>3</v>
      </c>
      <c r="DE127" t="s">
        <v>146</v>
      </c>
      <c r="DF127" t="s">
        <v>146</v>
      </c>
      <c r="DG127" t="s">
        <v>147</v>
      </c>
      <c r="DH127" t="s">
        <v>3</v>
      </c>
      <c r="DI127" t="s">
        <v>147</v>
      </c>
      <c r="DJ127" t="s">
        <v>146</v>
      </c>
      <c r="DK127" t="s">
        <v>3</v>
      </c>
      <c r="DL127" t="s">
        <v>3</v>
      </c>
      <c r="DM127" t="s">
        <v>3</v>
      </c>
      <c r="DN127">
        <v>0</v>
      </c>
      <c r="DO127">
        <v>0</v>
      </c>
      <c r="DP127">
        <v>1</v>
      </c>
      <c r="DQ127">
        <v>1</v>
      </c>
      <c r="DU127">
        <v>1005</v>
      </c>
      <c r="DV127" t="s">
        <v>36</v>
      </c>
      <c r="DW127" t="s">
        <v>36</v>
      </c>
      <c r="DX127">
        <v>100</v>
      </c>
      <c r="DZ127" t="s">
        <v>3</v>
      </c>
      <c r="EA127" t="s">
        <v>3</v>
      </c>
      <c r="EB127" t="s">
        <v>3</v>
      </c>
      <c r="EC127" t="s">
        <v>3</v>
      </c>
      <c r="EE127">
        <v>64095052</v>
      </c>
      <c r="EF127">
        <v>2</v>
      </c>
      <c r="EG127" t="s">
        <v>13</v>
      </c>
      <c r="EH127">
        <v>0</v>
      </c>
      <c r="EI127" t="s">
        <v>3</v>
      </c>
      <c r="EJ127">
        <v>1</v>
      </c>
      <c r="EK127">
        <v>15001</v>
      </c>
      <c r="EL127" t="s">
        <v>165</v>
      </c>
      <c r="EM127" t="s">
        <v>166</v>
      </c>
      <c r="EO127" t="s">
        <v>150</v>
      </c>
      <c r="EQ127">
        <v>0</v>
      </c>
      <c r="ER127">
        <v>11748.73</v>
      </c>
      <c r="ES127">
        <v>10718.44</v>
      </c>
      <c r="ET127">
        <v>55.47</v>
      </c>
      <c r="EU127">
        <v>7.94</v>
      </c>
      <c r="EV127">
        <v>974.82</v>
      </c>
      <c r="EW127">
        <v>106.19</v>
      </c>
      <c r="EX127">
        <v>0.64</v>
      </c>
      <c r="EY127">
        <v>0</v>
      </c>
      <c r="FQ127">
        <v>0</v>
      </c>
      <c r="FR127">
        <f t="shared" si="164"/>
        <v>0</v>
      </c>
      <c r="FS127">
        <v>0</v>
      </c>
      <c r="FT127" t="s">
        <v>52</v>
      </c>
      <c r="FU127" t="s">
        <v>53</v>
      </c>
      <c r="FX127">
        <v>94.5</v>
      </c>
      <c r="FY127">
        <v>46.75</v>
      </c>
      <c r="GA127" t="s">
        <v>3</v>
      </c>
      <c r="GD127">
        <v>1</v>
      </c>
      <c r="GF127">
        <v>186648798</v>
      </c>
      <c r="GG127">
        <v>2</v>
      </c>
      <c r="GH127">
        <v>1</v>
      </c>
      <c r="GI127">
        <v>2</v>
      </c>
      <c r="GJ127">
        <v>0</v>
      </c>
      <c r="GK127">
        <v>0</v>
      </c>
      <c r="GL127">
        <f t="shared" si="165"/>
        <v>0</v>
      </c>
      <c r="GM127">
        <f t="shared" si="166"/>
        <v>62278.53</v>
      </c>
      <c r="GN127">
        <f t="shared" si="167"/>
        <v>62278.53</v>
      </c>
      <c r="GO127">
        <f t="shared" si="168"/>
        <v>0</v>
      </c>
      <c r="GP127">
        <f t="shared" si="169"/>
        <v>0</v>
      </c>
      <c r="GR127">
        <v>0</v>
      </c>
      <c r="GS127">
        <v>3</v>
      </c>
      <c r="GT127">
        <v>0</v>
      </c>
      <c r="GU127" t="s">
        <v>3</v>
      </c>
      <c r="GV127">
        <f t="shared" si="170"/>
        <v>0</v>
      </c>
      <c r="GW127">
        <v>1</v>
      </c>
      <c r="GX127">
        <f t="shared" si="171"/>
        <v>0</v>
      </c>
      <c r="HA127">
        <v>0</v>
      </c>
      <c r="HB127">
        <v>0</v>
      </c>
      <c r="HC127">
        <f t="shared" si="172"/>
        <v>0</v>
      </c>
      <c r="HE127" t="s">
        <v>3</v>
      </c>
      <c r="HF127" t="s">
        <v>3</v>
      </c>
      <c r="IK127">
        <v>0</v>
      </c>
    </row>
    <row r="128" spans="1:245" x14ac:dyDescent="0.2">
      <c r="A128">
        <v>18</v>
      </c>
      <c r="B128">
        <v>1</v>
      </c>
      <c r="C128">
        <v>355</v>
      </c>
      <c r="E128" t="s">
        <v>443</v>
      </c>
      <c r="F128" t="s">
        <v>444</v>
      </c>
      <c r="G128" t="s">
        <v>445</v>
      </c>
      <c r="H128" t="s">
        <v>46</v>
      </c>
      <c r="I128">
        <f>I127*J128</f>
        <v>41.182000000000002</v>
      </c>
      <c r="J128">
        <v>118.00000000000001</v>
      </c>
      <c r="O128">
        <f t="shared" si="139"/>
        <v>11332.7</v>
      </c>
      <c r="P128">
        <f t="shared" si="140"/>
        <v>11332.7</v>
      </c>
      <c r="Q128">
        <f t="shared" si="141"/>
        <v>0</v>
      </c>
      <c r="R128">
        <f t="shared" si="142"/>
        <v>0</v>
      </c>
      <c r="S128">
        <f t="shared" si="143"/>
        <v>0</v>
      </c>
      <c r="T128">
        <f t="shared" si="144"/>
        <v>0</v>
      </c>
      <c r="U128">
        <f t="shared" si="145"/>
        <v>0</v>
      </c>
      <c r="V128">
        <f t="shared" si="146"/>
        <v>0</v>
      </c>
      <c r="W128">
        <f t="shared" si="147"/>
        <v>0</v>
      </c>
      <c r="X128">
        <f t="shared" si="148"/>
        <v>0</v>
      </c>
      <c r="Y128">
        <f t="shared" si="149"/>
        <v>0</v>
      </c>
      <c r="AA128">
        <v>68990560</v>
      </c>
      <c r="AB128">
        <f t="shared" si="150"/>
        <v>132.94</v>
      </c>
      <c r="AC128">
        <f t="shared" si="173"/>
        <v>132.94</v>
      </c>
      <c r="AD128">
        <f>ROUND((((ET128)-(EU128))+AE128),2)</f>
        <v>0</v>
      </c>
      <c r="AE128">
        <f>ROUND((EU128),2)</f>
        <v>0</v>
      </c>
      <c r="AF128">
        <f>ROUND((EV128),2)</f>
        <v>0</v>
      </c>
      <c r="AG128">
        <f t="shared" si="151"/>
        <v>0</v>
      </c>
      <c r="AH128">
        <f>(EW128)</f>
        <v>0</v>
      </c>
      <c r="AI128">
        <f>(EX128)</f>
        <v>0</v>
      </c>
      <c r="AJ128">
        <f t="shared" si="152"/>
        <v>0</v>
      </c>
      <c r="AK128">
        <v>132.94</v>
      </c>
      <c r="AL128">
        <v>132.94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95</v>
      </c>
      <c r="AU128">
        <v>47</v>
      </c>
      <c r="AV128">
        <v>1</v>
      </c>
      <c r="AW128">
        <v>1</v>
      </c>
      <c r="AZ128">
        <v>1</v>
      </c>
      <c r="BA128">
        <v>1</v>
      </c>
      <c r="BB128">
        <v>1</v>
      </c>
      <c r="BC128">
        <v>2.0699999999999998</v>
      </c>
      <c r="BD128" t="s">
        <v>3</v>
      </c>
      <c r="BE128" t="s">
        <v>3</v>
      </c>
      <c r="BF128" t="s">
        <v>3</v>
      </c>
      <c r="BG128" t="s">
        <v>3</v>
      </c>
      <c r="BH128">
        <v>3</v>
      </c>
      <c r="BI128">
        <v>1</v>
      </c>
      <c r="BJ128" t="s">
        <v>446</v>
      </c>
      <c r="BM128">
        <v>15001</v>
      </c>
      <c r="BN128">
        <v>0</v>
      </c>
      <c r="BO128" t="s">
        <v>444</v>
      </c>
      <c r="BP128">
        <v>1</v>
      </c>
      <c r="BQ128">
        <v>2</v>
      </c>
      <c r="BR128">
        <v>0</v>
      </c>
      <c r="BS128">
        <v>1</v>
      </c>
      <c r="BT128">
        <v>1</v>
      </c>
      <c r="BU128">
        <v>1</v>
      </c>
      <c r="BV128">
        <v>1</v>
      </c>
      <c r="BW128">
        <v>1</v>
      </c>
      <c r="BX128">
        <v>1</v>
      </c>
      <c r="BY128" t="s">
        <v>3</v>
      </c>
      <c r="BZ128">
        <v>105</v>
      </c>
      <c r="CA128">
        <v>55</v>
      </c>
      <c r="CE128">
        <v>0</v>
      </c>
      <c r="CF128">
        <v>0</v>
      </c>
      <c r="CG128">
        <v>0</v>
      </c>
      <c r="CM128">
        <v>0</v>
      </c>
      <c r="CN128" t="s">
        <v>3</v>
      </c>
      <c r="CO128">
        <v>0</v>
      </c>
      <c r="CP128">
        <f t="shared" si="153"/>
        <v>11332.7</v>
      </c>
      <c r="CQ128">
        <f t="shared" si="154"/>
        <v>275.18579999999997</v>
      </c>
      <c r="CR128">
        <f t="shared" si="155"/>
        <v>0</v>
      </c>
      <c r="CS128">
        <f t="shared" si="156"/>
        <v>0</v>
      </c>
      <c r="CT128">
        <f t="shared" si="157"/>
        <v>0</v>
      </c>
      <c r="CU128">
        <f t="shared" si="158"/>
        <v>0</v>
      </c>
      <c r="CV128">
        <f t="shared" si="159"/>
        <v>0</v>
      </c>
      <c r="CW128">
        <f t="shared" si="160"/>
        <v>0</v>
      </c>
      <c r="CX128">
        <f t="shared" si="161"/>
        <v>0</v>
      </c>
      <c r="CY128">
        <f t="shared" si="162"/>
        <v>0</v>
      </c>
      <c r="CZ128">
        <f t="shared" si="163"/>
        <v>0</v>
      </c>
      <c r="DC128" t="s">
        <v>3</v>
      </c>
      <c r="DD128" t="s">
        <v>3</v>
      </c>
      <c r="DE128" t="s">
        <v>3</v>
      </c>
      <c r="DF128" t="s">
        <v>3</v>
      </c>
      <c r="DG128" t="s">
        <v>3</v>
      </c>
      <c r="DH128" t="s">
        <v>3</v>
      </c>
      <c r="DI128" t="s">
        <v>3</v>
      </c>
      <c r="DJ128" t="s">
        <v>3</v>
      </c>
      <c r="DK128" t="s">
        <v>3</v>
      </c>
      <c r="DL128" t="s">
        <v>3</v>
      </c>
      <c r="DM128" t="s">
        <v>3</v>
      </c>
      <c r="DN128">
        <v>0</v>
      </c>
      <c r="DO128">
        <v>0</v>
      </c>
      <c r="DP128">
        <v>1</v>
      </c>
      <c r="DQ128">
        <v>1</v>
      </c>
      <c r="DU128">
        <v>1005</v>
      </c>
      <c r="DV128" t="s">
        <v>46</v>
      </c>
      <c r="DW128" t="s">
        <v>46</v>
      </c>
      <c r="DX128">
        <v>1</v>
      </c>
      <c r="DZ128" t="s">
        <v>3</v>
      </c>
      <c r="EA128" t="s">
        <v>3</v>
      </c>
      <c r="EB128" t="s">
        <v>3</v>
      </c>
      <c r="EC128" t="s">
        <v>3</v>
      </c>
      <c r="EE128">
        <v>64095052</v>
      </c>
      <c r="EF128">
        <v>2</v>
      </c>
      <c r="EG128" t="s">
        <v>13</v>
      </c>
      <c r="EH128">
        <v>0</v>
      </c>
      <c r="EI128" t="s">
        <v>3</v>
      </c>
      <c r="EJ128">
        <v>1</v>
      </c>
      <c r="EK128">
        <v>15001</v>
      </c>
      <c r="EL128" t="s">
        <v>165</v>
      </c>
      <c r="EM128" t="s">
        <v>166</v>
      </c>
      <c r="EO128" t="s">
        <v>3</v>
      </c>
      <c r="EQ128">
        <v>0</v>
      </c>
      <c r="ER128">
        <v>132.94</v>
      </c>
      <c r="ES128">
        <v>132.94</v>
      </c>
      <c r="ET128">
        <v>0</v>
      </c>
      <c r="EU128">
        <v>0</v>
      </c>
      <c r="EV128">
        <v>0</v>
      </c>
      <c r="EW128">
        <v>0</v>
      </c>
      <c r="EX128">
        <v>0</v>
      </c>
      <c r="FQ128">
        <v>0</v>
      </c>
      <c r="FR128">
        <f t="shared" si="164"/>
        <v>0</v>
      </c>
      <c r="FS128">
        <v>0</v>
      </c>
      <c r="FT128" t="s">
        <v>52</v>
      </c>
      <c r="FU128" t="s">
        <v>53</v>
      </c>
      <c r="FX128">
        <v>94.5</v>
      </c>
      <c r="FY128">
        <v>46.75</v>
      </c>
      <c r="GA128" t="s">
        <v>3</v>
      </c>
      <c r="GD128">
        <v>1</v>
      </c>
      <c r="GF128">
        <v>530766575</v>
      </c>
      <c r="GG128">
        <v>2</v>
      </c>
      <c r="GH128">
        <v>1</v>
      </c>
      <c r="GI128">
        <v>2</v>
      </c>
      <c r="GJ128">
        <v>0</v>
      </c>
      <c r="GK128">
        <v>0</v>
      </c>
      <c r="GL128">
        <f t="shared" si="165"/>
        <v>0</v>
      </c>
      <c r="GM128">
        <f t="shared" si="166"/>
        <v>11332.7</v>
      </c>
      <c r="GN128">
        <f t="shared" si="167"/>
        <v>11332.7</v>
      </c>
      <c r="GO128">
        <f t="shared" si="168"/>
        <v>0</v>
      </c>
      <c r="GP128">
        <f t="shared" si="169"/>
        <v>0</v>
      </c>
      <c r="GR128">
        <v>0</v>
      </c>
      <c r="GS128">
        <v>3</v>
      </c>
      <c r="GT128">
        <v>0</v>
      </c>
      <c r="GU128" t="s">
        <v>3</v>
      </c>
      <c r="GV128">
        <f t="shared" si="170"/>
        <v>0</v>
      </c>
      <c r="GW128">
        <v>1</v>
      </c>
      <c r="GX128">
        <f t="shared" si="171"/>
        <v>0</v>
      </c>
      <c r="HA128">
        <v>0</v>
      </c>
      <c r="HB128">
        <v>0</v>
      </c>
      <c r="HC128">
        <f t="shared" si="172"/>
        <v>0</v>
      </c>
      <c r="HE128" t="s">
        <v>3</v>
      </c>
      <c r="HF128" t="s">
        <v>3</v>
      </c>
      <c r="IK128">
        <v>0</v>
      </c>
    </row>
    <row r="129" spans="1:245" x14ac:dyDescent="0.2">
      <c r="A129">
        <v>18</v>
      </c>
      <c r="B129">
        <v>1</v>
      </c>
      <c r="C129">
        <v>356</v>
      </c>
      <c r="E129" t="s">
        <v>447</v>
      </c>
      <c r="F129" t="s">
        <v>448</v>
      </c>
      <c r="G129" t="s">
        <v>449</v>
      </c>
      <c r="H129" t="s">
        <v>379</v>
      </c>
      <c r="I129">
        <f>I127*J129</f>
        <v>24.2</v>
      </c>
      <c r="J129">
        <v>69.340974212034382</v>
      </c>
      <c r="O129">
        <f t="shared" si="139"/>
        <v>3727.12</v>
      </c>
      <c r="P129">
        <f t="shared" si="140"/>
        <v>3727.12</v>
      </c>
      <c r="Q129">
        <f t="shared" si="141"/>
        <v>0</v>
      </c>
      <c r="R129">
        <f t="shared" si="142"/>
        <v>0</v>
      </c>
      <c r="S129">
        <f t="shared" si="143"/>
        <v>0</v>
      </c>
      <c r="T129">
        <f t="shared" si="144"/>
        <v>0</v>
      </c>
      <c r="U129">
        <f t="shared" si="145"/>
        <v>0</v>
      </c>
      <c r="V129">
        <f t="shared" si="146"/>
        <v>0</v>
      </c>
      <c r="W129">
        <f t="shared" si="147"/>
        <v>0</v>
      </c>
      <c r="X129">
        <f t="shared" si="148"/>
        <v>0</v>
      </c>
      <c r="Y129">
        <f t="shared" si="149"/>
        <v>0</v>
      </c>
      <c r="AA129">
        <v>68990560</v>
      </c>
      <c r="AB129">
        <f t="shared" si="150"/>
        <v>15.62</v>
      </c>
      <c r="AC129">
        <f t="shared" si="173"/>
        <v>15.62</v>
      </c>
      <c r="AD129">
        <f>ROUND((((ET129)-(EU129))+AE129),2)</f>
        <v>0</v>
      </c>
      <c r="AE129">
        <f>ROUND((EU129),2)</f>
        <v>0</v>
      </c>
      <c r="AF129">
        <f>ROUND((EV129),2)</f>
        <v>0</v>
      </c>
      <c r="AG129">
        <f t="shared" si="151"/>
        <v>0</v>
      </c>
      <c r="AH129">
        <f>(EW129)</f>
        <v>0</v>
      </c>
      <c r="AI129">
        <f>(EX129)</f>
        <v>0</v>
      </c>
      <c r="AJ129">
        <f t="shared" si="152"/>
        <v>0</v>
      </c>
      <c r="AK129">
        <v>15.62</v>
      </c>
      <c r="AL129">
        <v>15.62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95</v>
      </c>
      <c r="AU129">
        <v>47</v>
      </c>
      <c r="AV129">
        <v>1</v>
      </c>
      <c r="AW129">
        <v>1</v>
      </c>
      <c r="AZ129">
        <v>1</v>
      </c>
      <c r="BA129">
        <v>1</v>
      </c>
      <c r="BB129">
        <v>1</v>
      </c>
      <c r="BC129">
        <v>9.86</v>
      </c>
      <c r="BD129" t="s">
        <v>3</v>
      </c>
      <c r="BE129" t="s">
        <v>3</v>
      </c>
      <c r="BF129" t="s">
        <v>3</v>
      </c>
      <c r="BG129" t="s">
        <v>3</v>
      </c>
      <c r="BH129">
        <v>3</v>
      </c>
      <c r="BI129">
        <v>1</v>
      </c>
      <c r="BJ129" t="s">
        <v>450</v>
      </c>
      <c r="BM129">
        <v>15001</v>
      </c>
      <c r="BN129">
        <v>0</v>
      </c>
      <c r="BO129" t="s">
        <v>448</v>
      </c>
      <c r="BP129">
        <v>1</v>
      </c>
      <c r="BQ129">
        <v>2</v>
      </c>
      <c r="BR129">
        <v>0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3</v>
      </c>
      <c r="BZ129">
        <v>105</v>
      </c>
      <c r="CA129">
        <v>55</v>
      </c>
      <c r="CE129">
        <v>0</v>
      </c>
      <c r="CF129">
        <v>0</v>
      </c>
      <c r="CG129">
        <v>0</v>
      </c>
      <c r="CM129">
        <v>0</v>
      </c>
      <c r="CN129" t="s">
        <v>3</v>
      </c>
      <c r="CO129">
        <v>0</v>
      </c>
      <c r="CP129">
        <f t="shared" si="153"/>
        <v>3727.12</v>
      </c>
      <c r="CQ129">
        <f t="shared" si="154"/>
        <v>154.01319999999998</v>
      </c>
      <c r="CR129">
        <f t="shared" si="155"/>
        <v>0</v>
      </c>
      <c r="CS129">
        <f t="shared" si="156"/>
        <v>0</v>
      </c>
      <c r="CT129">
        <f t="shared" si="157"/>
        <v>0</v>
      </c>
      <c r="CU129">
        <f t="shared" si="158"/>
        <v>0</v>
      </c>
      <c r="CV129">
        <f t="shared" si="159"/>
        <v>0</v>
      </c>
      <c r="CW129">
        <f t="shared" si="160"/>
        <v>0</v>
      </c>
      <c r="CX129">
        <f t="shared" si="161"/>
        <v>0</v>
      </c>
      <c r="CY129">
        <f t="shared" si="162"/>
        <v>0</v>
      </c>
      <c r="CZ129">
        <f t="shared" si="163"/>
        <v>0</v>
      </c>
      <c r="DC129" t="s">
        <v>3</v>
      </c>
      <c r="DD129" t="s">
        <v>3</v>
      </c>
      <c r="DE129" t="s">
        <v>3</v>
      </c>
      <c r="DF129" t="s">
        <v>3</v>
      </c>
      <c r="DG129" t="s">
        <v>3</v>
      </c>
      <c r="DH129" t="s">
        <v>3</v>
      </c>
      <c r="DI129" t="s">
        <v>3</v>
      </c>
      <c r="DJ129" t="s">
        <v>3</v>
      </c>
      <c r="DK129" t="s">
        <v>3</v>
      </c>
      <c r="DL129" t="s">
        <v>3</v>
      </c>
      <c r="DM129" t="s">
        <v>3</v>
      </c>
      <c r="DN129">
        <v>0</v>
      </c>
      <c r="DO129">
        <v>0</v>
      </c>
      <c r="DP129">
        <v>1</v>
      </c>
      <c r="DQ129">
        <v>1</v>
      </c>
      <c r="DU129">
        <v>1003</v>
      </c>
      <c r="DV129" t="s">
        <v>379</v>
      </c>
      <c r="DW129" t="s">
        <v>379</v>
      </c>
      <c r="DX129">
        <v>1</v>
      </c>
      <c r="DZ129" t="s">
        <v>3</v>
      </c>
      <c r="EA129" t="s">
        <v>3</v>
      </c>
      <c r="EB129" t="s">
        <v>3</v>
      </c>
      <c r="EC129" t="s">
        <v>3</v>
      </c>
      <c r="EE129">
        <v>64095052</v>
      </c>
      <c r="EF129">
        <v>2</v>
      </c>
      <c r="EG129" t="s">
        <v>13</v>
      </c>
      <c r="EH129">
        <v>0</v>
      </c>
      <c r="EI129" t="s">
        <v>3</v>
      </c>
      <c r="EJ129">
        <v>1</v>
      </c>
      <c r="EK129">
        <v>15001</v>
      </c>
      <c r="EL129" t="s">
        <v>165</v>
      </c>
      <c r="EM129" t="s">
        <v>166</v>
      </c>
      <c r="EO129" t="s">
        <v>3</v>
      </c>
      <c r="EQ129">
        <v>0</v>
      </c>
      <c r="ER129">
        <v>15.62</v>
      </c>
      <c r="ES129">
        <v>15.62</v>
      </c>
      <c r="ET129">
        <v>0</v>
      </c>
      <c r="EU129">
        <v>0</v>
      </c>
      <c r="EV129">
        <v>0</v>
      </c>
      <c r="EW129">
        <v>0</v>
      </c>
      <c r="EX129">
        <v>0</v>
      </c>
      <c r="FQ129">
        <v>0</v>
      </c>
      <c r="FR129">
        <f t="shared" si="164"/>
        <v>0</v>
      </c>
      <c r="FS129">
        <v>0</v>
      </c>
      <c r="FT129" t="s">
        <v>52</v>
      </c>
      <c r="FU129" t="s">
        <v>53</v>
      </c>
      <c r="FX129">
        <v>94.5</v>
      </c>
      <c r="FY129">
        <v>46.75</v>
      </c>
      <c r="GA129" t="s">
        <v>3</v>
      </c>
      <c r="GD129">
        <v>1</v>
      </c>
      <c r="GF129">
        <v>2075019590</v>
      </c>
      <c r="GG129">
        <v>2</v>
      </c>
      <c r="GH129">
        <v>1</v>
      </c>
      <c r="GI129">
        <v>2</v>
      </c>
      <c r="GJ129">
        <v>0</v>
      </c>
      <c r="GK129">
        <v>0</v>
      </c>
      <c r="GL129">
        <f t="shared" si="165"/>
        <v>0</v>
      </c>
      <c r="GM129">
        <f t="shared" si="166"/>
        <v>3727.12</v>
      </c>
      <c r="GN129">
        <f t="shared" si="167"/>
        <v>3727.12</v>
      </c>
      <c r="GO129">
        <f t="shared" si="168"/>
        <v>0</v>
      </c>
      <c r="GP129">
        <f t="shared" si="169"/>
        <v>0</v>
      </c>
      <c r="GR129">
        <v>0</v>
      </c>
      <c r="GS129">
        <v>3</v>
      </c>
      <c r="GT129">
        <v>0</v>
      </c>
      <c r="GU129" t="s">
        <v>3</v>
      </c>
      <c r="GV129">
        <f t="shared" si="170"/>
        <v>0</v>
      </c>
      <c r="GW129">
        <v>1</v>
      </c>
      <c r="GX129">
        <f t="shared" si="171"/>
        <v>0</v>
      </c>
      <c r="HA129">
        <v>0</v>
      </c>
      <c r="HB129">
        <v>0</v>
      </c>
      <c r="HC129">
        <f t="shared" si="172"/>
        <v>0</v>
      </c>
      <c r="HE129" t="s">
        <v>3</v>
      </c>
      <c r="HF129" t="s">
        <v>3</v>
      </c>
      <c r="IK129">
        <v>0</v>
      </c>
    </row>
    <row r="130" spans="1:245" x14ac:dyDescent="0.2">
      <c r="A130">
        <v>17</v>
      </c>
      <c r="B130">
        <v>1</v>
      </c>
      <c r="C130">
        <f>ROW(SmtRes!A368)</f>
        <v>368</v>
      </c>
      <c r="D130">
        <f>ROW(EtalonRes!A364)</f>
        <v>364</v>
      </c>
      <c r="E130" t="s">
        <v>451</v>
      </c>
      <c r="F130" t="s">
        <v>452</v>
      </c>
      <c r="G130" t="s">
        <v>453</v>
      </c>
      <c r="H130" t="s">
        <v>90</v>
      </c>
      <c r="I130">
        <f>ROUND(13.6/100,5)</f>
        <v>0.13600000000000001</v>
      </c>
      <c r="J130">
        <v>0</v>
      </c>
      <c r="O130">
        <f t="shared" si="139"/>
        <v>586.65</v>
      </c>
      <c r="P130">
        <f t="shared" si="140"/>
        <v>145.09</v>
      </c>
      <c r="Q130">
        <f t="shared" si="141"/>
        <v>5.89</v>
      </c>
      <c r="R130">
        <f t="shared" si="142"/>
        <v>3.25</v>
      </c>
      <c r="S130">
        <f t="shared" si="143"/>
        <v>435.67</v>
      </c>
      <c r="T130">
        <f t="shared" si="144"/>
        <v>0</v>
      </c>
      <c r="U130">
        <f t="shared" si="145"/>
        <v>1.4104152000000001</v>
      </c>
      <c r="V130">
        <f t="shared" si="146"/>
        <v>9.1800000000000007E-3</v>
      </c>
      <c r="W130">
        <f t="shared" si="147"/>
        <v>0</v>
      </c>
      <c r="X130">
        <f t="shared" si="148"/>
        <v>487.2</v>
      </c>
      <c r="Y130">
        <f t="shared" si="149"/>
        <v>280.91000000000003</v>
      </c>
      <c r="AA130">
        <v>68990560</v>
      </c>
      <c r="AB130">
        <f t="shared" si="150"/>
        <v>251.64</v>
      </c>
      <c r="AC130">
        <f t="shared" si="173"/>
        <v>152.84</v>
      </c>
      <c r="AD130">
        <f>ROUND((((((ET130*1.35)*1.25))-(((EU130*1.35)*1.25)))+AE130),2)</f>
        <v>3.6</v>
      </c>
      <c r="AE130">
        <f>ROUND((((EU130*1.35)*1.25)),2)</f>
        <v>0.71</v>
      </c>
      <c r="AF130">
        <f>ROUND((((EV130*1.35)*1.15)),2)</f>
        <v>95.2</v>
      </c>
      <c r="AG130">
        <f t="shared" si="151"/>
        <v>0</v>
      </c>
      <c r="AH130">
        <f>(((EW130*1.35)*1.15))</f>
        <v>10.370699999999999</v>
      </c>
      <c r="AI130">
        <f>(((EX130*1.35)*1.25))</f>
        <v>6.7500000000000004E-2</v>
      </c>
      <c r="AJ130">
        <f t="shared" si="152"/>
        <v>0</v>
      </c>
      <c r="AK130">
        <v>216.29</v>
      </c>
      <c r="AL130">
        <v>152.84</v>
      </c>
      <c r="AM130">
        <v>2.13</v>
      </c>
      <c r="AN130">
        <v>0.42</v>
      </c>
      <c r="AO130">
        <v>61.32</v>
      </c>
      <c r="AP130">
        <v>0</v>
      </c>
      <c r="AQ130">
        <v>6.68</v>
      </c>
      <c r="AR130">
        <v>0.04</v>
      </c>
      <c r="AS130">
        <v>0</v>
      </c>
      <c r="AT130">
        <v>111</v>
      </c>
      <c r="AU130">
        <v>64</v>
      </c>
      <c r="AV130">
        <v>1</v>
      </c>
      <c r="AW130">
        <v>1</v>
      </c>
      <c r="AZ130">
        <v>1</v>
      </c>
      <c r="BA130">
        <v>33.65</v>
      </c>
      <c r="BB130">
        <v>12.04</v>
      </c>
      <c r="BC130">
        <v>6.98</v>
      </c>
      <c r="BD130" t="s">
        <v>3</v>
      </c>
      <c r="BE130" t="s">
        <v>3</v>
      </c>
      <c r="BF130" t="s">
        <v>3</v>
      </c>
      <c r="BG130" t="s">
        <v>3</v>
      </c>
      <c r="BH130">
        <v>0</v>
      </c>
      <c r="BI130">
        <v>1</v>
      </c>
      <c r="BJ130" t="s">
        <v>454</v>
      </c>
      <c r="BM130">
        <v>11001</v>
      </c>
      <c r="BN130">
        <v>0</v>
      </c>
      <c r="BO130" t="s">
        <v>452</v>
      </c>
      <c r="BP130">
        <v>1</v>
      </c>
      <c r="BQ130">
        <v>2</v>
      </c>
      <c r="BR130">
        <v>0</v>
      </c>
      <c r="BS130">
        <v>33.65</v>
      </c>
      <c r="BT130">
        <v>1</v>
      </c>
      <c r="BU130">
        <v>1</v>
      </c>
      <c r="BV130">
        <v>1</v>
      </c>
      <c r="BW130">
        <v>1</v>
      </c>
      <c r="BX130">
        <v>1</v>
      </c>
      <c r="BY130" t="s">
        <v>3</v>
      </c>
      <c r="BZ130">
        <v>123</v>
      </c>
      <c r="CA130">
        <v>75</v>
      </c>
      <c r="CE130">
        <v>0</v>
      </c>
      <c r="CF130">
        <v>0</v>
      </c>
      <c r="CG130">
        <v>0</v>
      </c>
      <c r="CM130">
        <v>0</v>
      </c>
      <c r="CN130" t="s">
        <v>1337</v>
      </c>
      <c r="CO130">
        <v>0</v>
      </c>
      <c r="CP130">
        <f t="shared" si="153"/>
        <v>586.65</v>
      </c>
      <c r="CQ130">
        <f t="shared" si="154"/>
        <v>1066.8232</v>
      </c>
      <c r="CR130">
        <f t="shared" si="155"/>
        <v>43.344000000000001</v>
      </c>
      <c r="CS130">
        <f t="shared" si="156"/>
        <v>23.891499999999997</v>
      </c>
      <c r="CT130">
        <f t="shared" si="157"/>
        <v>3203.48</v>
      </c>
      <c r="CU130">
        <f t="shared" si="158"/>
        <v>0</v>
      </c>
      <c r="CV130">
        <f t="shared" si="159"/>
        <v>10.370699999999999</v>
      </c>
      <c r="CW130">
        <f t="shared" si="160"/>
        <v>6.7500000000000004E-2</v>
      </c>
      <c r="CX130">
        <f t="shared" si="161"/>
        <v>0</v>
      </c>
      <c r="CY130">
        <f t="shared" si="162"/>
        <v>487.20120000000003</v>
      </c>
      <c r="CZ130">
        <f t="shared" si="163"/>
        <v>280.90879999999999</v>
      </c>
      <c r="DC130" t="s">
        <v>3</v>
      </c>
      <c r="DD130" t="s">
        <v>3</v>
      </c>
      <c r="DE130" t="s">
        <v>455</v>
      </c>
      <c r="DF130" t="s">
        <v>455</v>
      </c>
      <c r="DG130" t="s">
        <v>456</v>
      </c>
      <c r="DH130" t="s">
        <v>3</v>
      </c>
      <c r="DI130" t="s">
        <v>456</v>
      </c>
      <c r="DJ130" t="s">
        <v>455</v>
      </c>
      <c r="DK130" t="s">
        <v>3</v>
      </c>
      <c r="DL130" t="s">
        <v>3</v>
      </c>
      <c r="DM130" t="s">
        <v>3</v>
      </c>
      <c r="DN130">
        <v>0</v>
      </c>
      <c r="DO130">
        <v>0</v>
      </c>
      <c r="DP130">
        <v>1</v>
      </c>
      <c r="DQ130">
        <v>1</v>
      </c>
      <c r="DU130">
        <v>1003</v>
      </c>
      <c r="DV130" t="s">
        <v>90</v>
      </c>
      <c r="DW130" t="s">
        <v>90</v>
      </c>
      <c r="DX130">
        <v>100</v>
      </c>
      <c r="DZ130" t="s">
        <v>3</v>
      </c>
      <c r="EA130" t="s">
        <v>3</v>
      </c>
      <c r="EB130" t="s">
        <v>3</v>
      </c>
      <c r="EC130" t="s">
        <v>3</v>
      </c>
      <c r="EE130">
        <v>64095027</v>
      </c>
      <c r="EF130">
        <v>2</v>
      </c>
      <c r="EG130" t="s">
        <v>13</v>
      </c>
      <c r="EH130">
        <v>0</v>
      </c>
      <c r="EI130" t="s">
        <v>3</v>
      </c>
      <c r="EJ130">
        <v>1</v>
      </c>
      <c r="EK130">
        <v>11001</v>
      </c>
      <c r="EL130" t="s">
        <v>92</v>
      </c>
      <c r="EM130" t="s">
        <v>222</v>
      </c>
      <c r="EO130" t="s">
        <v>457</v>
      </c>
      <c r="EQ130">
        <v>0</v>
      </c>
      <c r="ER130">
        <v>216.29</v>
      </c>
      <c r="ES130">
        <v>152.84</v>
      </c>
      <c r="ET130">
        <v>2.13</v>
      </c>
      <c r="EU130">
        <v>0.42</v>
      </c>
      <c r="EV130">
        <v>61.32</v>
      </c>
      <c r="EW130">
        <v>6.68</v>
      </c>
      <c r="EX130">
        <v>0.04</v>
      </c>
      <c r="EY130">
        <v>0</v>
      </c>
      <c r="FQ130">
        <v>0</v>
      </c>
      <c r="FR130">
        <f t="shared" si="164"/>
        <v>0</v>
      </c>
      <c r="FS130">
        <v>0</v>
      </c>
      <c r="FT130" t="s">
        <v>52</v>
      </c>
      <c r="FU130" t="s">
        <v>53</v>
      </c>
      <c r="FX130">
        <v>110.7</v>
      </c>
      <c r="FY130">
        <v>63.75</v>
      </c>
      <c r="GA130" t="s">
        <v>3</v>
      </c>
      <c r="GD130">
        <v>1</v>
      </c>
      <c r="GF130">
        <v>1495650627</v>
      </c>
      <c r="GG130">
        <v>2</v>
      </c>
      <c r="GH130">
        <v>1</v>
      </c>
      <c r="GI130">
        <v>2</v>
      </c>
      <c r="GJ130">
        <v>0</v>
      </c>
      <c r="GK130">
        <v>0</v>
      </c>
      <c r="GL130">
        <f t="shared" si="165"/>
        <v>0</v>
      </c>
      <c r="GM130">
        <f t="shared" si="166"/>
        <v>1354.76</v>
      </c>
      <c r="GN130">
        <f t="shared" si="167"/>
        <v>1354.76</v>
      </c>
      <c r="GO130">
        <f t="shared" si="168"/>
        <v>0</v>
      </c>
      <c r="GP130">
        <f t="shared" si="169"/>
        <v>0</v>
      </c>
      <c r="GR130">
        <v>0</v>
      </c>
      <c r="GS130">
        <v>3</v>
      </c>
      <c r="GT130">
        <v>0</v>
      </c>
      <c r="GU130" t="s">
        <v>3</v>
      </c>
      <c r="GV130">
        <f t="shared" si="170"/>
        <v>0</v>
      </c>
      <c r="GW130">
        <v>1</v>
      </c>
      <c r="GX130">
        <f t="shared" si="171"/>
        <v>0</v>
      </c>
      <c r="HA130">
        <v>0</v>
      </c>
      <c r="HB130">
        <v>0</v>
      </c>
      <c r="HC130">
        <f t="shared" si="172"/>
        <v>0</v>
      </c>
      <c r="HE130" t="s">
        <v>3</v>
      </c>
      <c r="HF130" t="s">
        <v>3</v>
      </c>
      <c r="IK130">
        <v>0</v>
      </c>
    </row>
    <row r="131" spans="1:245" x14ac:dyDescent="0.2">
      <c r="A131">
        <v>18</v>
      </c>
      <c r="B131">
        <v>1</v>
      </c>
      <c r="C131">
        <v>363</v>
      </c>
      <c r="E131" t="s">
        <v>458</v>
      </c>
      <c r="F131" t="s">
        <v>459</v>
      </c>
      <c r="G131" t="s">
        <v>460</v>
      </c>
      <c r="H131" t="s">
        <v>379</v>
      </c>
      <c r="I131">
        <f>I130*J131</f>
        <v>13.736000000000001</v>
      </c>
      <c r="J131">
        <v>101</v>
      </c>
      <c r="O131">
        <f t="shared" si="139"/>
        <v>657.23</v>
      </c>
      <c r="P131">
        <f t="shared" si="140"/>
        <v>657.23</v>
      </c>
      <c r="Q131">
        <f t="shared" si="141"/>
        <v>0</v>
      </c>
      <c r="R131">
        <f t="shared" si="142"/>
        <v>0</v>
      </c>
      <c r="S131">
        <f t="shared" si="143"/>
        <v>0</v>
      </c>
      <c r="T131">
        <f t="shared" si="144"/>
        <v>0</v>
      </c>
      <c r="U131">
        <f t="shared" si="145"/>
        <v>0</v>
      </c>
      <c r="V131">
        <f t="shared" si="146"/>
        <v>0</v>
      </c>
      <c r="W131">
        <f t="shared" si="147"/>
        <v>0</v>
      </c>
      <c r="X131">
        <f t="shared" si="148"/>
        <v>0</v>
      </c>
      <c r="Y131">
        <f t="shared" si="149"/>
        <v>0</v>
      </c>
      <c r="AA131">
        <v>68990560</v>
      </c>
      <c r="AB131">
        <f t="shared" si="150"/>
        <v>12.3</v>
      </c>
      <c r="AC131">
        <f t="shared" si="173"/>
        <v>12.3</v>
      </c>
      <c r="AD131">
        <f>ROUND((((ET131)-(EU131))+AE131),2)</f>
        <v>0</v>
      </c>
      <c r="AE131">
        <f>ROUND((EU131),2)</f>
        <v>0</v>
      </c>
      <c r="AF131">
        <f>ROUND((EV131),2)</f>
        <v>0</v>
      </c>
      <c r="AG131">
        <f t="shared" si="151"/>
        <v>0</v>
      </c>
      <c r="AH131">
        <f>(EW131)</f>
        <v>0</v>
      </c>
      <c r="AI131">
        <f>(EX131)</f>
        <v>0</v>
      </c>
      <c r="AJ131">
        <f t="shared" si="152"/>
        <v>0</v>
      </c>
      <c r="AK131">
        <v>12.3</v>
      </c>
      <c r="AL131">
        <v>12.3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111</v>
      </c>
      <c r="AU131">
        <v>64</v>
      </c>
      <c r="AV131">
        <v>1</v>
      </c>
      <c r="AW131">
        <v>1</v>
      </c>
      <c r="AZ131">
        <v>1</v>
      </c>
      <c r="BA131">
        <v>1</v>
      </c>
      <c r="BB131">
        <v>1</v>
      </c>
      <c r="BC131">
        <v>3.89</v>
      </c>
      <c r="BD131" t="s">
        <v>3</v>
      </c>
      <c r="BE131" t="s">
        <v>3</v>
      </c>
      <c r="BF131" t="s">
        <v>3</v>
      </c>
      <c r="BG131" t="s">
        <v>3</v>
      </c>
      <c r="BH131">
        <v>3</v>
      </c>
      <c r="BI131">
        <v>1</v>
      </c>
      <c r="BJ131" t="s">
        <v>461</v>
      </c>
      <c r="BM131">
        <v>11001</v>
      </c>
      <c r="BN131">
        <v>0</v>
      </c>
      <c r="BO131" t="s">
        <v>459</v>
      </c>
      <c r="BP131">
        <v>1</v>
      </c>
      <c r="BQ131">
        <v>2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3</v>
      </c>
      <c r="BZ131">
        <v>123</v>
      </c>
      <c r="CA131">
        <v>75</v>
      </c>
      <c r="CE131">
        <v>0</v>
      </c>
      <c r="CF131">
        <v>0</v>
      </c>
      <c r="CG131">
        <v>0</v>
      </c>
      <c r="CM131">
        <v>0</v>
      </c>
      <c r="CN131" t="s">
        <v>3</v>
      </c>
      <c r="CO131">
        <v>0</v>
      </c>
      <c r="CP131">
        <f t="shared" si="153"/>
        <v>657.23</v>
      </c>
      <c r="CQ131">
        <f t="shared" si="154"/>
        <v>47.847000000000001</v>
      </c>
      <c r="CR131">
        <f t="shared" si="155"/>
        <v>0</v>
      </c>
      <c r="CS131">
        <f t="shared" si="156"/>
        <v>0</v>
      </c>
      <c r="CT131">
        <f t="shared" si="157"/>
        <v>0</v>
      </c>
      <c r="CU131">
        <f t="shared" si="158"/>
        <v>0</v>
      </c>
      <c r="CV131">
        <f t="shared" si="159"/>
        <v>0</v>
      </c>
      <c r="CW131">
        <f t="shared" si="160"/>
        <v>0</v>
      </c>
      <c r="CX131">
        <f t="shared" si="161"/>
        <v>0</v>
      </c>
      <c r="CY131">
        <f t="shared" si="162"/>
        <v>0</v>
      </c>
      <c r="CZ131">
        <f t="shared" si="163"/>
        <v>0</v>
      </c>
      <c r="DC131" t="s">
        <v>3</v>
      </c>
      <c r="DD131" t="s">
        <v>3</v>
      </c>
      <c r="DE131" t="s">
        <v>3</v>
      </c>
      <c r="DF131" t="s">
        <v>3</v>
      </c>
      <c r="DG131" t="s">
        <v>3</v>
      </c>
      <c r="DH131" t="s">
        <v>3</v>
      </c>
      <c r="DI131" t="s">
        <v>3</v>
      </c>
      <c r="DJ131" t="s">
        <v>3</v>
      </c>
      <c r="DK131" t="s">
        <v>3</v>
      </c>
      <c r="DL131" t="s">
        <v>3</v>
      </c>
      <c r="DM131" t="s">
        <v>3</v>
      </c>
      <c r="DN131">
        <v>0</v>
      </c>
      <c r="DO131">
        <v>0</v>
      </c>
      <c r="DP131">
        <v>1</v>
      </c>
      <c r="DQ131">
        <v>1</v>
      </c>
      <c r="DU131">
        <v>1003</v>
      </c>
      <c r="DV131" t="s">
        <v>379</v>
      </c>
      <c r="DW131" t="s">
        <v>379</v>
      </c>
      <c r="DX131">
        <v>1</v>
      </c>
      <c r="DZ131" t="s">
        <v>3</v>
      </c>
      <c r="EA131" t="s">
        <v>3</v>
      </c>
      <c r="EB131" t="s">
        <v>3</v>
      </c>
      <c r="EC131" t="s">
        <v>3</v>
      </c>
      <c r="EE131">
        <v>64095027</v>
      </c>
      <c r="EF131">
        <v>2</v>
      </c>
      <c r="EG131" t="s">
        <v>13</v>
      </c>
      <c r="EH131">
        <v>0</v>
      </c>
      <c r="EI131" t="s">
        <v>3</v>
      </c>
      <c r="EJ131">
        <v>1</v>
      </c>
      <c r="EK131">
        <v>11001</v>
      </c>
      <c r="EL131" t="s">
        <v>92</v>
      </c>
      <c r="EM131" t="s">
        <v>222</v>
      </c>
      <c r="EO131" t="s">
        <v>3</v>
      </c>
      <c r="EQ131">
        <v>0</v>
      </c>
      <c r="ER131">
        <v>12.3</v>
      </c>
      <c r="ES131">
        <v>12.3</v>
      </c>
      <c r="ET131">
        <v>0</v>
      </c>
      <c r="EU131">
        <v>0</v>
      </c>
      <c r="EV131">
        <v>0</v>
      </c>
      <c r="EW131">
        <v>0</v>
      </c>
      <c r="EX131">
        <v>0</v>
      </c>
      <c r="FQ131">
        <v>0</v>
      </c>
      <c r="FR131">
        <f t="shared" si="164"/>
        <v>0</v>
      </c>
      <c r="FS131">
        <v>0</v>
      </c>
      <c r="FT131" t="s">
        <v>52</v>
      </c>
      <c r="FU131" t="s">
        <v>53</v>
      </c>
      <c r="FX131">
        <v>110.7</v>
      </c>
      <c r="FY131">
        <v>63.75</v>
      </c>
      <c r="GA131" t="s">
        <v>3</v>
      </c>
      <c r="GD131">
        <v>1</v>
      </c>
      <c r="GF131">
        <v>806595545</v>
      </c>
      <c r="GG131">
        <v>2</v>
      </c>
      <c r="GH131">
        <v>1</v>
      </c>
      <c r="GI131">
        <v>2</v>
      </c>
      <c r="GJ131">
        <v>0</v>
      </c>
      <c r="GK131">
        <v>0</v>
      </c>
      <c r="GL131">
        <f t="shared" si="165"/>
        <v>0</v>
      </c>
      <c r="GM131">
        <f t="shared" si="166"/>
        <v>657.23</v>
      </c>
      <c r="GN131">
        <f t="shared" si="167"/>
        <v>657.23</v>
      </c>
      <c r="GO131">
        <f t="shared" si="168"/>
        <v>0</v>
      </c>
      <c r="GP131">
        <f t="shared" si="169"/>
        <v>0</v>
      </c>
      <c r="GR131">
        <v>0</v>
      </c>
      <c r="GS131">
        <v>3</v>
      </c>
      <c r="GT131">
        <v>0</v>
      </c>
      <c r="GU131" t="s">
        <v>3</v>
      </c>
      <c r="GV131">
        <f t="shared" si="170"/>
        <v>0</v>
      </c>
      <c r="GW131">
        <v>1</v>
      </c>
      <c r="GX131">
        <f t="shared" si="171"/>
        <v>0</v>
      </c>
      <c r="HA131">
        <v>0</v>
      </c>
      <c r="HB131">
        <v>0</v>
      </c>
      <c r="HC131">
        <f t="shared" si="172"/>
        <v>0</v>
      </c>
      <c r="HE131" t="s">
        <v>3</v>
      </c>
      <c r="HF131" t="s">
        <v>3</v>
      </c>
      <c r="IK131">
        <v>0</v>
      </c>
    </row>
    <row r="132" spans="1:245" x14ac:dyDescent="0.2">
      <c r="A132">
        <v>17</v>
      </c>
      <c r="B132">
        <v>1</v>
      </c>
      <c r="C132">
        <f>ROW(SmtRes!A378)</f>
        <v>378</v>
      </c>
      <c r="D132">
        <f>ROW(EtalonRes!A373)</f>
        <v>373</v>
      </c>
      <c r="E132" t="s">
        <v>462</v>
      </c>
      <c r="F132" t="s">
        <v>463</v>
      </c>
      <c r="G132" t="s">
        <v>1338</v>
      </c>
      <c r="H132" t="s">
        <v>36</v>
      </c>
      <c r="I132">
        <f>ROUND(4.4/100,5)</f>
        <v>4.3999999999999997E-2</v>
      </c>
      <c r="J132">
        <v>0</v>
      </c>
      <c r="O132">
        <f t="shared" si="139"/>
        <v>8162.78</v>
      </c>
      <c r="P132">
        <f t="shared" si="140"/>
        <v>4.13</v>
      </c>
      <c r="Q132">
        <f t="shared" si="141"/>
        <v>799.62</v>
      </c>
      <c r="R132">
        <f t="shared" si="142"/>
        <v>670.3</v>
      </c>
      <c r="S132">
        <f t="shared" si="143"/>
        <v>7359.03</v>
      </c>
      <c r="T132">
        <f t="shared" si="144"/>
        <v>0</v>
      </c>
      <c r="U132">
        <f t="shared" si="145"/>
        <v>22.0456863</v>
      </c>
      <c r="V132">
        <f t="shared" si="146"/>
        <v>1.4812875000000001</v>
      </c>
      <c r="W132">
        <f t="shared" si="147"/>
        <v>0</v>
      </c>
      <c r="X132">
        <f t="shared" si="148"/>
        <v>6503.76</v>
      </c>
      <c r="Y132">
        <f t="shared" si="149"/>
        <v>5781.12</v>
      </c>
      <c r="AA132">
        <v>68990560</v>
      </c>
      <c r="AB132">
        <f t="shared" si="150"/>
        <v>6329.51</v>
      </c>
      <c r="AC132">
        <f t="shared" si="173"/>
        <v>9.0399999999999991</v>
      </c>
      <c r="AD132">
        <f>ROUND((((((ET132*1.25)*1.35))-(((EU132*1.25)*1.35)))+AE132),2)</f>
        <v>1350.17</v>
      </c>
      <c r="AE132">
        <f>ROUND((((EU132*1.25)*1.35)),2)</f>
        <v>452.72</v>
      </c>
      <c r="AF132">
        <f>ROUND((((EV132*1.15)*1.35)),2)</f>
        <v>4970.3</v>
      </c>
      <c r="AG132">
        <f t="shared" si="151"/>
        <v>0</v>
      </c>
      <c r="AH132">
        <f>(((EW132*1.15)*1.35))</f>
        <v>501.03832500000004</v>
      </c>
      <c r="AI132">
        <f>(((EX132*1.25)*1.35))</f>
        <v>33.665625000000006</v>
      </c>
      <c r="AJ132">
        <f t="shared" si="152"/>
        <v>0</v>
      </c>
      <c r="AK132">
        <v>4010.62</v>
      </c>
      <c r="AL132">
        <v>9.0399999999999991</v>
      </c>
      <c r="AM132">
        <v>800.1</v>
      </c>
      <c r="AN132">
        <v>268.27999999999997</v>
      </c>
      <c r="AO132">
        <v>3201.48</v>
      </c>
      <c r="AP132">
        <v>0</v>
      </c>
      <c r="AQ132">
        <v>322.73</v>
      </c>
      <c r="AR132">
        <v>19.95</v>
      </c>
      <c r="AS132">
        <v>0</v>
      </c>
      <c r="AT132">
        <v>81</v>
      </c>
      <c r="AU132">
        <v>72</v>
      </c>
      <c r="AV132">
        <v>1</v>
      </c>
      <c r="AW132">
        <v>1</v>
      </c>
      <c r="AZ132">
        <v>1</v>
      </c>
      <c r="BA132">
        <v>33.65</v>
      </c>
      <c r="BB132">
        <v>13.46</v>
      </c>
      <c r="BC132">
        <v>10.39</v>
      </c>
      <c r="BD132" t="s">
        <v>3</v>
      </c>
      <c r="BE132" t="s">
        <v>3</v>
      </c>
      <c r="BF132" t="s">
        <v>3</v>
      </c>
      <c r="BG132" t="s">
        <v>3</v>
      </c>
      <c r="BH132">
        <v>0</v>
      </c>
      <c r="BI132">
        <v>1</v>
      </c>
      <c r="BJ132" t="s">
        <v>464</v>
      </c>
      <c r="BM132">
        <v>9001</v>
      </c>
      <c r="BN132">
        <v>0</v>
      </c>
      <c r="BO132" t="s">
        <v>463</v>
      </c>
      <c r="BP132">
        <v>1</v>
      </c>
      <c r="BQ132">
        <v>2</v>
      </c>
      <c r="BR132">
        <v>0</v>
      </c>
      <c r="BS132">
        <v>33.65</v>
      </c>
      <c r="BT132">
        <v>1</v>
      </c>
      <c r="BU132">
        <v>1</v>
      </c>
      <c r="BV132">
        <v>1</v>
      </c>
      <c r="BW132">
        <v>1</v>
      </c>
      <c r="BX132">
        <v>1</v>
      </c>
      <c r="BY132" t="s">
        <v>3</v>
      </c>
      <c r="BZ132">
        <v>90</v>
      </c>
      <c r="CA132">
        <v>85</v>
      </c>
      <c r="CE132">
        <v>0</v>
      </c>
      <c r="CF132">
        <v>0</v>
      </c>
      <c r="CG132">
        <v>0</v>
      </c>
      <c r="CM132">
        <v>0</v>
      </c>
      <c r="CN132" t="s">
        <v>1332</v>
      </c>
      <c r="CO132">
        <v>0</v>
      </c>
      <c r="CP132">
        <f t="shared" si="153"/>
        <v>8162.78</v>
      </c>
      <c r="CQ132">
        <f t="shared" si="154"/>
        <v>93.925600000000003</v>
      </c>
      <c r="CR132">
        <f t="shared" si="155"/>
        <v>18173.288200000003</v>
      </c>
      <c r="CS132">
        <f t="shared" si="156"/>
        <v>15234.028</v>
      </c>
      <c r="CT132">
        <f t="shared" si="157"/>
        <v>167250.595</v>
      </c>
      <c r="CU132">
        <f t="shared" si="158"/>
        <v>0</v>
      </c>
      <c r="CV132">
        <f t="shared" si="159"/>
        <v>501.03832500000004</v>
      </c>
      <c r="CW132">
        <f t="shared" si="160"/>
        <v>33.665625000000006</v>
      </c>
      <c r="CX132">
        <f t="shared" si="161"/>
        <v>0</v>
      </c>
      <c r="CY132">
        <f t="shared" si="162"/>
        <v>6503.7573000000002</v>
      </c>
      <c r="CZ132">
        <f t="shared" si="163"/>
        <v>5781.1176000000005</v>
      </c>
      <c r="DC132" t="s">
        <v>3</v>
      </c>
      <c r="DD132" t="s">
        <v>3</v>
      </c>
      <c r="DE132" t="s">
        <v>146</v>
      </c>
      <c r="DF132" t="s">
        <v>146</v>
      </c>
      <c r="DG132" t="s">
        <v>147</v>
      </c>
      <c r="DH132" t="s">
        <v>3</v>
      </c>
      <c r="DI132" t="s">
        <v>147</v>
      </c>
      <c r="DJ132" t="s">
        <v>146</v>
      </c>
      <c r="DK132" t="s">
        <v>3</v>
      </c>
      <c r="DL132" t="s">
        <v>3</v>
      </c>
      <c r="DM132" t="s">
        <v>3</v>
      </c>
      <c r="DN132">
        <v>0</v>
      </c>
      <c r="DO132">
        <v>0</v>
      </c>
      <c r="DP132">
        <v>1</v>
      </c>
      <c r="DQ132">
        <v>1</v>
      </c>
      <c r="DU132">
        <v>1005</v>
      </c>
      <c r="DV132" t="s">
        <v>36</v>
      </c>
      <c r="DW132" t="s">
        <v>36</v>
      </c>
      <c r="DX132">
        <v>100</v>
      </c>
      <c r="DZ132" t="s">
        <v>3</v>
      </c>
      <c r="EA132" t="s">
        <v>3</v>
      </c>
      <c r="EB132" t="s">
        <v>3</v>
      </c>
      <c r="EC132" t="s">
        <v>3</v>
      </c>
      <c r="EE132">
        <v>64095025</v>
      </c>
      <c r="EF132">
        <v>2</v>
      </c>
      <c r="EG132" t="s">
        <v>13</v>
      </c>
      <c r="EH132">
        <v>0</v>
      </c>
      <c r="EI132" t="s">
        <v>3</v>
      </c>
      <c r="EJ132">
        <v>1</v>
      </c>
      <c r="EK132">
        <v>9001</v>
      </c>
      <c r="EL132" t="s">
        <v>49</v>
      </c>
      <c r="EM132" t="s">
        <v>50</v>
      </c>
      <c r="EO132" t="s">
        <v>150</v>
      </c>
      <c r="EQ132">
        <v>0</v>
      </c>
      <c r="ER132">
        <v>4010.62</v>
      </c>
      <c r="ES132">
        <v>9.0399999999999991</v>
      </c>
      <c r="ET132">
        <v>800.1</v>
      </c>
      <c r="EU132">
        <v>268.27999999999997</v>
      </c>
      <c r="EV132">
        <v>3201.48</v>
      </c>
      <c r="EW132">
        <v>322.73</v>
      </c>
      <c r="EX132">
        <v>19.95</v>
      </c>
      <c r="EY132">
        <v>0</v>
      </c>
      <c r="FQ132">
        <v>0</v>
      </c>
      <c r="FR132">
        <f t="shared" si="164"/>
        <v>0</v>
      </c>
      <c r="FS132">
        <v>0</v>
      </c>
      <c r="FT132" t="s">
        <v>52</v>
      </c>
      <c r="FU132" t="s">
        <v>53</v>
      </c>
      <c r="FX132">
        <v>81</v>
      </c>
      <c r="FY132">
        <v>72.25</v>
      </c>
      <c r="GA132" t="s">
        <v>3</v>
      </c>
      <c r="GD132">
        <v>1</v>
      </c>
      <c r="GF132">
        <v>717425789</v>
      </c>
      <c r="GG132">
        <v>2</v>
      </c>
      <c r="GH132">
        <v>1</v>
      </c>
      <c r="GI132">
        <v>2</v>
      </c>
      <c r="GJ132">
        <v>0</v>
      </c>
      <c r="GK132">
        <v>0</v>
      </c>
      <c r="GL132">
        <f t="shared" si="165"/>
        <v>0</v>
      </c>
      <c r="GM132">
        <f t="shared" si="166"/>
        <v>20447.66</v>
      </c>
      <c r="GN132">
        <f t="shared" si="167"/>
        <v>20447.66</v>
      </c>
      <c r="GO132">
        <f t="shared" si="168"/>
        <v>0</v>
      </c>
      <c r="GP132">
        <f t="shared" si="169"/>
        <v>0</v>
      </c>
      <c r="GR132">
        <v>0</v>
      </c>
      <c r="GS132">
        <v>3</v>
      </c>
      <c r="GT132">
        <v>0</v>
      </c>
      <c r="GU132" t="s">
        <v>3</v>
      </c>
      <c r="GV132">
        <f t="shared" si="170"/>
        <v>0</v>
      </c>
      <c r="GW132">
        <v>1</v>
      </c>
      <c r="GX132">
        <f t="shared" si="171"/>
        <v>0</v>
      </c>
      <c r="HA132">
        <v>0</v>
      </c>
      <c r="HB132">
        <v>0</v>
      </c>
      <c r="HC132">
        <f t="shared" si="172"/>
        <v>0</v>
      </c>
      <c r="HE132" t="s">
        <v>3</v>
      </c>
      <c r="HF132" t="s">
        <v>3</v>
      </c>
      <c r="IK132">
        <v>0</v>
      </c>
    </row>
    <row r="133" spans="1:245" x14ac:dyDescent="0.2">
      <c r="A133">
        <v>18</v>
      </c>
      <c r="B133">
        <v>1</v>
      </c>
      <c r="C133">
        <v>377</v>
      </c>
      <c r="E133" t="s">
        <v>465</v>
      </c>
      <c r="F133" t="s">
        <v>466</v>
      </c>
      <c r="G133" t="s">
        <v>467</v>
      </c>
      <c r="H133" t="s">
        <v>46</v>
      </c>
      <c r="I133">
        <f>I132*J133</f>
        <v>3.3</v>
      </c>
      <c r="J133">
        <v>75</v>
      </c>
      <c r="O133">
        <f t="shared" si="139"/>
        <v>6909.71</v>
      </c>
      <c r="P133">
        <f t="shared" si="140"/>
        <v>6909.71</v>
      </c>
      <c r="Q133">
        <f t="shared" si="141"/>
        <v>0</v>
      </c>
      <c r="R133">
        <f t="shared" si="142"/>
        <v>0</v>
      </c>
      <c r="S133">
        <f t="shared" si="143"/>
        <v>0</v>
      </c>
      <c r="T133">
        <f t="shared" si="144"/>
        <v>0</v>
      </c>
      <c r="U133">
        <f t="shared" si="145"/>
        <v>0</v>
      </c>
      <c r="V133">
        <f t="shared" si="146"/>
        <v>0</v>
      </c>
      <c r="W133">
        <f t="shared" si="147"/>
        <v>0</v>
      </c>
      <c r="X133">
        <f t="shared" si="148"/>
        <v>0</v>
      </c>
      <c r="Y133">
        <f t="shared" si="149"/>
        <v>0</v>
      </c>
      <c r="AA133">
        <v>68990560</v>
      </c>
      <c r="AB133">
        <f t="shared" si="150"/>
        <v>253.8</v>
      </c>
      <c r="AC133">
        <f t="shared" si="173"/>
        <v>253.8</v>
      </c>
      <c r="AD133">
        <f>ROUND((((ET133)-(EU133))+AE133),2)</f>
        <v>0</v>
      </c>
      <c r="AE133">
        <f t="shared" ref="AE133:AF136" si="174">ROUND((EU133),2)</f>
        <v>0</v>
      </c>
      <c r="AF133">
        <f t="shared" si="174"/>
        <v>0</v>
      </c>
      <c r="AG133">
        <f t="shared" si="151"/>
        <v>0</v>
      </c>
      <c r="AH133">
        <f t="shared" ref="AH133:AI136" si="175">(EW133)</f>
        <v>0</v>
      </c>
      <c r="AI133">
        <f t="shared" si="175"/>
        <v>0</v>
      </c>
      <c r="AJ133">
        <f t="shared" si="152"/>
        <v>0</v>
      </c>
      <c r="AK133">
        <v>253.8</v>
      </c>
      <c r="AL133">
        <v>253.8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81</v>
      </c>
      <c r="AU133">
        <v>72</v>
      </c>
      <c r="AV133">
        <v>1</v>
      </c>
      <c r="AW133">
        <v>1</v>
      </c>
      <c r="AZ133">
        <v>1</v>
      </c>
      <c r="BA133">
        <v>1</v>
      </c>
      <c r="BB133">
        <v>1</v>
      </c>
      <c r="BC133">
        <v>8.25</v>
      </c>
      <c r="BD133" t="s">
        <v>3</v>
      </c>
      <c r="BE133" t="s">
        <v>3</v>
      </c>
      <c r="BF133" t="s">
        <v>3</v>
      </c>
      <c r="BG133" t="s">
        <v>3</v>
      </c>
      <c r="BH133">
        <v>3</v>
      </c>
      <c r="BI133">
        <v>1</v>
      </c>
      <c r="BJ133" t="s">
        <v>468</v>
      </c>
      <c r="BM133">
        <v>9001</v>
      </c>
      <c r="BN133">
        <v>0</v>
      </c>
      <c r="BO133" t="s">
        <v>466</v>
      </c>
      <c r="BP133">
        <v>1</v>
      </c>
      <c r="BQ133">
        <v>2</v>
      </c>
      <c r="BR133">
        <v>0</v>
      </c>
      <c r="BS133">
        <v>1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3</v>
      </c>
      <c r="BZ133">
        <v>90</v>
      </c>
      <c r="CA133">
        <v>85</v>
      </c>
      <c r="CE133">
        <v>0</v>
      </c>
      <c r="CF133">
        <v>0</v>
      </c>
      <c r="CG133">
        <v>0</v>
      </c>
      <c r="CM133">
        <v>0</v>
      </c>
      <c r="CN133" t="s">
        <v>3</v>
      </c>
      <c r="CO133">
        <v>0</v>
      </c>
      <c r="CP133">
        <f t="shared" si="153"/>
        <v>6909.71</v>
      </c>
      <c r="CQ133">
        <f t="shared" si="154"/>
        <v>2093.85</v>
      </c>
      <c r="CR133">
        <f t="shared" si="155"/>
        <v>0</v>
      </c>
      <c r="CS133">
        <f t="shared" si="156"/>
        <v>0</v>
      </c>
      <c r="CT133">
        <f t="shared" si="157"/>
        <v>0</v>
      </c>
      <c r="CU133">
        <f t="shared" si="158"/>
        <v>0</v>
      </c>
      <c r="CV133">
        <f t="shared" si="159"/>
        <v>0</v>
      </c>
      <c r="CW133">
        <f t="shared" si="160"/>
        <v>0</v>
      </c>
      <c r="CX133">
        <f t="shared" si="161"/>
        <v>0</v>
      </c>
      <c r="CY133">
        <f t="shared" si="162"/>
        <v>0</v>
      </c>
      <c r="CZ133">
        <f t="shared" si="163"/>
        <v>0</v>
      </c>
      <c r="DC133" t="s">
        <v>3</v>
      </c>
      <c r="DD133" t="s">
        <v>3</v>
      </c>
      <c r="DE133" t="s">
        <v>3</v>
      </c>
      <c r="DF133" t="s">
        <v>3</v>
      </c>
      <c r="DG133" t="s">
        <v>3</v>
      </c>
      <c r="DH133" t="s">
        <v>3</v>
      </c>
      <c r="DI133" t="s">
        <v>3</v>
      </c>
      <c r="DJ133" t="s">
        <v>3</v>
      </c>
      <c r="DK133" t="s">
        <v>3</v>
      </c>
      <c r="DL133" t="s">
        <v>3</v>
      </c>
      <c r="DM133" t="s">
        <v>3</v>
      </c>
      <c r="DN133">
        <v>0</v>
      </c>
      <c r="DO133">
        <v>0</v>
      </c>
      <c r="DP133">
        <v>1</v>
      </c>
      <c r="DQ133">
        <v>1</v>
      </c>
      <c r="DU133">
        <v>1005</v>
      </c>
      <c r="DV133" t="s">
        <v>46</v>
      </c>
      <c r="DW133" t="s">
        <v>46</v>
      </c>
      <c r="DX133">
        <v>1</v>
      </c>
      <c r="DZ133" t="s">
        <v>3</v>
      </c>
      <c r="EA133" t="s">
        <v>3</v>
      </c>
      <c r="EB133" t="s">
        <v>3</v>
      </c>
      <c r="EC133" t="s">
        <v>3</v>
      </c>
      <c r="EE133">
        <v>64095025</v>
      </c>
      <c r="EF133">
        <v>2</v>
      </c>
      <c r="EG133" t="s">
        <v>13</v>
      </c>
      <c r="EH133">
        <v>0</v>
      </c>
      <c r="EI133" t="s">
        <v>3</v>
      </c>
      <c r="EJ133">
        <v>1</v>
      </c>
      <c r="EK133">
        <v>9001</v>
      </c>
      <c r="EL133" t="s">
        <v>49</v>
      </c>
      <c r="EM133" t="s">
        <v>50</v>
      </c>
      <c r="EO133" t="s">
        <v>3</v>
      </c>
      <c r="EQ133">
        <v>0</v>
      </c>
      <c r="ER133">
        <v>253.8</v>
      </c>
      <c r="ES133">
        <v>253.8</v>
      </c>
      <c r="ET133">
        <v>0</v>
      </c>
      <c r="EU133">
        <v>0</v>
      </c>
      <c r="EV133">
        <v>0</v>
      </c>
      <c r="EW133">
        <v>0</v>
      </c>
      <c r="EX133">
        <v>0</v>
      </c>
      <c r="FQ133">
        <v>0</v>
      </c>
      <c r="FR133">
        <f t="shared" si="164"/>
        <v>0</v>
      </c>
      <c r="FS133">
        <v>0</v>
      </c>
      <c r="FT133" t="s">
        <v>52</v>
      </c>
      <c r="FU133" t="s">
        <v>53</v>
      </c>
      <c r="FX133">
        <v>81</v>
      </c>
      <c r="FY133">
        <v>72.25</v>
      </c>
      <c r="GA133" t="s">
        <v>3</v>
      </c>
      <c r="GD133">
        <v>1</v>
      </c>
      <c r="GF133">
        <v>1035889047</v>
      </c>
      <c r="GG133">
        <v>2</v>
      </c>
      <c r="GH133">
        <v>1</v>
      </c>
      <c r="GI133">
        <v>2</v>
      </c>
      <c r="GJ133">
        <v>0</v>
      </c>
      <c r="GK133">
        <v>0</v>
      </c>
      <c r="GL133">
        <f t="shared" si="165"/>
        <v>0</v>
      </c>
      <c r="GM133">
        <f t="shared" si="166"/>
        <v>6909.71</v>
      </c>
      <c r="GN133">
        <f t="shared" si="167"/>
        <v>6909.71</v>
      </c>
      <c r="GO133">
        <f t="shared" si="168"/>
        <v>0</v>
      </c>
      <c r="GP133">
        <f t="shared" si="169"/>
        <v>0</v>
      </c>
      <c r="GR133">
        <v>0</v>
      </c>
      <c r="GS133">
        <v>3</v>
      </c>
      <c r="GT133">
        <v>0</v>
      </c>
      <c r="GU133" t="s">
        <v>3</v>
      </c>
      <c r="GV133">
        <f t="shared" si="170"/>
        <v>0</v>
      </c>
      <c r="GW133">
        <v>1</v>
      </c>
      <c r="GX133">
        <f t="shared" si="171"/>
        <v>0</v>
      </c>
      <c r="HA133">
        <v>0</v>
      </c>
      <c r="HB133">
        <v>0</v>
      </c>
      <c r="HC133">
        <f t="shared" si="172"/>
        <v>0</v>
      </c>
      <c r="HE133" t="s">
        <v>3</v>
      </c>
      <c r="HF133" t="s">
        <v>3</v>
      </c>
      <c r="IK133">
        <v>0</v>
      </c>
    </row>
    <row r="134" spans="1:245" x14ac:dyDescent="0.2">
      <c r="A134">
        <v>18</v>
      </c>
      <c r="B134">
        <v>1</v>
      </c>
      <c r="C134">
        <v>378</v>
      </c>
      <c r="E134" t="s">
        <v>469</v>
      </c>
      <c r="F134" t="s">
        <v>470</v>
      </c>
      <c r="G134" t="s">
        <v>471</v>
      </c>
      <c r="H134" t="s">
        <v>46</v>
      </c>
      <c r="I134">
        <f>I132*J134</f>
        <v>4.4000000000000004</v>
      </c>
      <c r="J134">
        <v>100.00000000000001</v>
      </c>
      <c r="O134">
        <f t="shared" si="139"/>
        <v>32983.29</v>
      </c>
      <c r="P134">
        <f t="shared" si="140"/>
        <v>32983.29</v>
      </c>
      <c r="Q134">
        <f t="shared" si="141"/>
        <v>0</v>
      </c>
      <c r="R134">
        <f t="shared" si="142"/>
        <v>0</v>
      </c>
      <c r="S134">
        <f t="shared" si="143"/>
        <v>0</v>
      </c>
      <c r="T134">
        <f t="shared" si="144"/>
        <v>0</v>
      </c>
      <c r="U134">
        <f t="shared" si="145"/>
        <v>0</v>
      </c>
      <c r="V134">
        <f t="shared" si="146"/>
        <v>0</v>
      </c>
      <c r="W134">
        <f t="shared" si="147"/>
        <v>0</v>
      </c>
      <c r="X134">
        <f t="shared" si="148"/>
        <v>0</v>
      </c>
      <c r="Y134">
        <f t="shared" si="149"/>
        <v>0</v>
      </c>
      <c r="AA134">
        <v>68990560</v>
      </c>
      <c r="AB134">
        <f t="shared" si="150"/>
        <v>1793.35</v>
      </c>
      <c r="AC134">
        <f t="shared" si="173"/>
        <v>1793.35</v>
      </c>
      <c r="AD134">
        <f>ROUND((((ET134)-(EU134))+AE134),2)</f>
        <v>0</v>
      </c>
      <c r="AE134">
        <f t="shared" si="174"/>
        <v>0</v>
      </c>
      <c r="AF134">
        <f t="shared" si="174"/>
        <v>0</v>
      </c>
      <c r="AG134">
        <f t="shared" si="151"/>
        <v>0</v>
      </c>
      <c r="AH134">
        <f t="shared" si="175"/>
        <v>0</v>
      </c>
      <c r="AI134">
        <f t="shared" si="175"/>
        <v>0</v>
      </c>
      <c r="AJ134">
        <f t="shared" si="152"/>
        <v>0</v>
      </c>
      <c r="AK134">
        <v>1793.35</v>
      </c>
      <c r="AL134">
        <v>1793.35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81</v>
      </c>
      <c r="AU134">
        <v>72</v>
      </c>
      <c r="AV134">
        <v>1</v>
      </c>
      <c r="AW134">
        <v>1</v>
      </c>
      <c r="AZ134">
        <v>1</v>
      </c>
      <c r="BA134">
        <v>1</v>
      </c>
      <c r="BB134">
        <v>1</v>
      </c>
      <c r="BC134">
        <v>4.18</v>
      </c>
      <c r="BD134" t="s">
        <v>3</v>
      </c>
      <c r="BE134" t="s">
        <v>3</v>
      </c>
      <c r="BF134" t="s">
        <v>3</v>
      </c>
      <c r="BG134" t="s">
        <v>3</v>
      </c>
      <c r="BH134">
        <v>3</v>
      </c>
      <c r="BI134">
        <v>1</v>
      </c>
      <c r="BJ134" t="s">
        <v>472</v>
      </c>
      <c r="BM134">
        <v>9001</v>
      </c>
      <c r="BN134">
        <v>0</v>
      </c>
      <c r="BO134" t="s">
        <v>470</v>
      </c>
      <c r="BP134">
        <v>1</v>
      </c>
      <c r="BQ134">
        <v>2</v>
      </c>
      <c r="BR134">
        <v>0</v>
      </c>
      <c r="BS134">
        <v>1</v>
      </c>
      <c r="BT134">
        <v>1</v>
      </c>
      <c r="BU134">
        <v>1</v>
      </c>
      <c r="BV134">
        <v>1</v>
      </c>
      <c r="BW134">
        <v>1</v>
      </c>
      <c r="BX134">
        <v>1</v>
      </c>
      <c r="BY134" t="s">
        <v>3</v>
      </c>
      <c r="BZ134">
        <v>90</v>
      </c>
      <c r="CA134">
        <v>85</v>
      </c>
      <c r="CE134">
        <v>0</v>
      </c>
      <c r="CF134">
        <v>0</v>
      </c>
      <c r="CG134">
        <v>0</v>
      </c>
      <c r="CM134">
        <v>0</v>
      </c>
      <c r="CN134" t="s">
        <v>3</v>
      </c>
      <c r="CO134">
        <v>0</v>
      </c>
      <c r="CP134">
        <f t="shared" si="153"/>
        <v>32983.29</v>
      </c>
      <c r="CQ134">
        <f t="shared" si="154"/>
        <v>7496.2029999999995</v>
      </c>
      <c r="CR134">
        <f t="shared" si="155"/>
        <v>0</v>
      </c>
      <c r="CS134">
        <f t="shared" si="156"/>
        <v>0</v>
      </c>
      <c r="CT134">
        <f t="shared" si="157"/>
        <v>0</v>
      </c>
      <c r="CU134">
        <f t="shared" si="158"/>
        <v>0</v>
      </c>
      <c r="CV134">
        <f t="shared" si="159"/>
        <v>0</v>
      </c>
      <c r="CW134">
        <f t="shared" si="160"/>
        <v>0</v>
      </c>
      <c r="CX134">
        <f t="shared" si="161"/>
        <v>0</v>
      </c>
      <c r="CY134">
        <f t="shared" si="162"/>
        <v>0</v>
      </c>
      <c r="CZ134">
        <f t="shared" si="163"/>
        <v>0</v>
      </c>
      <c r="DC134" t="s">
        <v>3</v>
      </c>
      <c r="DD134" t="s">
        <v>3</v>
      </c>
      <c r="DE134" t="s">
        <v>3</v>
      </c>
      <c r="DF134" t="s">
        <v>3</v>
      </c>
      <c r="DG134" t="s">
        <v>3</v>
      </c>
      <c r="DH134" t="s">
        <v>3</v>
      </c>
      <c r="DI134" t="s">
        <v>3</v>
      </c>
      <c r="DJ134" t="s">
        <v>3</v>
      </c>
      <c r="DK134" t="s">
        <v>3</v>
      </c>
      <c r="DL134" t="s">
        <v>3</v>
      </c>
      <c r="DM134" t="s">
        <v>3</v>
      </c>
      <c r="DN134">
        <v>0</v>
      </c>
      <c r="DO134">
        <v>0</v>
      </c>
      <c r="DP134">
        <v>1</v>
      </c>
      <c r="DQ134">
        <v>1</v>
      </c>
      <c r="DU134">
        <v>1005</v>
      </c>
      <c r="DV134" t="s">
        <v>46</v>
      </c>
      <c r="DW134" t="s">
        <v>46</v>
      </c>
      <c r="DX134">
        <v>1</v>
      </c>
      <c r="DZ134" t="s">
        <v>3</v>
      </c>
      <c r="EA134" t="s">
        <v>3</v>
      </c>
      <c r="EB134" t="s">
        <v>3</v>
      </c>
      <c r="EC134" t="s">
        <v>3</v>
      </c>
      <c r="EE134">
        <v>64095025</v>
      </c>
      <c r="EF134">
        <v>2</v>
      </c>
      <c r="EG134" t="s">
        <v>13</v>
      </c>
      <c r="EH134">
        <v>0</v>
      </c>
      <c r="EI134" t="s">
        <v>3</v>
      </c>
      <c r="EJ134">
        <v>1</v>
      </c>
      <c r="EK134">
        <v>9001</v>
      </c>
      <c r="EL134" t="s">
        <v>49</v>
      </c>
      <c r="EM134" t="s">
        <v>50</v>
      </c>
      <c r="EO134" t="s">
        <v>3</v>
      </c>
      <c r="EQ134">
        <v>0</v>
      </c>
      <c r="ER134">
        <v>1793.35</v>
      </c>
      <c r="ES134">
        <v>1793.35</v>
      </c>
      <c r="ET134">
        <v>0</v>
      </c>
      <c r="EU134">
        <v>0</v>
      </c>
      <c r="EV134">
        <v>0</v>
      </c>
      <c r="EW134">
        <v>0</v>
      </c>
      <c r="EX134">
        <v>0</v>
      </c>
      <c r="FQ134">
        <v>0</v>
      </c>
      <c r="FR134">
        <f t="shared" si="164"/>
        <v>0</v>
      </c>
      <c r="FS134">
        <v>0</v>
      </c>
      <c r="FT134" t="s">
        <v>52</v>
      </c>
      <c r="FU134" t="s">
        <v>53</v>
      </c>
      <c r="FX134">
        <v>81</v>
      </c>
      <c r="FY134">
        <v>72.25</v>
      </c>
      <c r="GA134" t="s">
        <v>3</v>
      </c>
      <c r="GD134">
        <v>1</v>
      </c>
      <c r="GF134">
        <v>-954990349</v>
      </c>
      <c r="GG134">
        <v>2</v>
      </c>
      <c r="GH134">
        <v>1</v>
      </c>
      <c r="GI134">
        <v>2</v>
      </c>
      <c r="GJ134">
        <v>0</v>
      </c>
      <c r="GK134">
        <v>0</v>
      </c>
      <c r="GL134">
        <f t="shared" si="165"/>
        <v>0</v>
      </c>
      <c r="GM134">
        <f t="shared" si="166"/>
        <v>32983.29</v>
      </c>
      <c r="GN134">
        <f t="shared" si="167"/>
        <v>32983.29</v>
      </c>
      <c r="GO134">
        <f t="shared" si="168"/>
        <v>0</v>
      </c>
      <c r="GP134">
        <f t="shared" si="169"/>
        <v>0</v>
      </c>
      <c r="GR134">
        <v>0</v>
      </c>
      <c r="GS134">
        <v>3</v>
      </c>
      <c r="GT134">
        <v>0</v>
      </c>
      <c r="GU134" t="s">
        <v>3</v>
      </c>
      <c r="GV134">
        <f t="shared" si="170"/>
        <v>0</v>
      </c>
      <c r="GW134">
        <v>1</v>
      </c>
      <c r="GX134">
        <f t="shared" si="171"/>
        <v>0</v>
      </c>
      <c r="HA134">
        <v>0</v>
      </c>
      <c r="HB134">
        <v>0</v>
      </c>
      <c r="HC134">
        <f t="shared" si="172"/>
        <v>0</v>
      </c>
      <c r="HE134" t="s">
        <v>3</v>
      </c>
      <c r="HF134" t="s">
        <v>3</v>
      </c>
      <c r="IK134">
        <v>0</v>
      </c>
    </row>
    <row r="135" spans="1:245" x14ac:dyDescent="0.2">
      <c r="A135">
        <v>18</v>
      </c>
      <c r="B135">
        <v>1</v>
      </c>
      <c r="C135">
        <v>374</v>
      </c>
      <c r="E135" t="s">
        <v>473</v>
      </c>
      <c r="F135" t="s">
        <v>474</v>
      </c>
      <c r="G135" t="s">
        <v>475</v>
      </c>
      <c r="H135" t="s">
        <v>29</v>
      </c>
      <c r="I135">
        <f>I132*J135</f>
        <v>2</v>
      </c>
      <c r="J135">
        <v>45.45454545454546</v>
      </c>
      <c r="O135">
        <f t="shared" si="139"/>
        <v>1492.09</v>
      </c>
      <c r="P135">
        <f t="shared" si="140"/>
        <v>1492.09</v>
      </c>
      <c r="Q135">
        <f t="shared" si="141"/>
        <v>0</v>
      </c>
      <c r="R135">
        <f t="shared" si="142"/>
        <v>0</v>
      </c>
      <c r="S135">
        <f t="shared" si="143"/>
        <v>0</v>
      </c>
      <c r="T135">
        <f t="shared" si="144"/>
        <v>0</v>
      </c>
      <c r="U135">
        <f t="shared" si="145"/>
        <v>0</v>
      </c>
      <c r="V135">
        <f t="shared" si="146"/>
        <v>0</v>
      </c>
      <c r="W135">
        <f t="shared" si="147"/>
        <v>0</v>
      </c>
      <c r="X135">
        <f t="shared" si="148"/>
        <v>0</v>
      </c>
      <c r="Y135">
        <f t="shared" si="149"/>
        <v>0</v>
      </c>
      <c r="AA135">
        <v>68990560</v>
      </c>
      <c r="AB135">
        <f t="shared" si="150"/>
        <v>206.66</v>
      </c>
      <c r="AC135">
        <f t="shared" si="173"/>
        <v>206.66</v>
      </c>
      <c r="AD135">
        <f>ROUND((((ET135)-(EU135))+AE135),2)</f>
        <v>0</v>
      </c>
      <c r="AE135">
        <f t="shared" si="174"/>
        <v>0</v>
      </c>
      <c r="AF135">
        <f t="shared" si="174"/>
        <v>0</v>
      </c>
      <c r="AG135">
        <f t="shared" si="151"/>
        <v>0</v>
      </c>
      <c r="AH135">
        <f t="shared" si="175"/>
        <v>0</v>
      </c>
      <c r="AI135">
        <f t="shared" si="175"/>
        <v>0</v>
      </c>
      <c r="AJ135">
        <f t="shared" si="152"/>
        <v>0</v>
      </c>
      <c r="AK135">
        <v>206.66</v>
      </c>
      <c r="AL135">
        <v>206.66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81</v>
      </c>
      <c r="AU135">
        <v>72</v>
      </c>
      <c r="AV135">
        <v>1</v>
      </c>
      <c r="AW135">
        <v>1</v>
      </c>
      <c r="AZ135">
        <v>1</v>
      </c>
      <c r="BA135">
        <v>1</v>
      </c>
      <c r="BB135">
        <v>1</v>
      </c>
      <c r="BC135">
        <v>3.61</v>
      </c>
      <c r="BD135" t="s">
        <v>3</v>
      </c>
      <c r="BE135" t="s">
        <v>3</v>
      </c>
      <c r="BF135" t="s">
        <v>3</v>
      </c>
      <c r="BG135" t="s">
        <v>3</v>
      </c>
      <c r="BH135">
        <v>3</v>
      </c>
      <c r="BI135">
        <v>1</v>
      </c>
      <c r="BJ135" t="s">
        <v>476</v>
      </c>
      <c r="BM135">
        <v>9001</v>
      </c>
      <c r="BN135">
        <v>0</v>
      </c>
      <c r="BO135" t="s">
        <v>474</v>
      </c>
      <c r="BP135">
        <v>1</v>
      </c>
      <c r="BQ135">
        <v>2</v>
      </c>
      <c r="BR135">
        <v>0</v>
      </c>
      <c r="BS135">
        <v>1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3</v>
      </c>
      <c r="BZ135">
        <v>90</v>
      </c>
      <c r="CA135">
        <v>85</v>
      </c>
      <c r="CE135">
        <v>0</v>
      </c>
      <c r="CF135">
        <v>0</v>
      </c>
      <c r="CG135">
        <v>0</v>
      </c>
      <c r="CM135">
        <v>0</v>
      </c>
      <c r="CN135" t="s">
        <v>3</v>
      </c>
      <c r="CO135">
        <v>0</v>
      </c>
      <c r="CP135">
        <f t="shared" si="153"/>
        <v>1492.09</v>
      </c>
      <c r="CQ135">
        <f t="shared" si="154"/>
        <v>746.04259999999999</v>
      </c>
      <c r="CR135">
        <f t="shared" si="155"/>
        <v>0</v>
      </c>
      <c r="CS135">
        <f t="shared" si="156"/>
        <v>0</v>
      </c>
      <c r="CT135">
        <f t="shared" si="157"/>
        <v>0</v>
      </c>
      <c r="CU135">
        <f t="shared" si="158"/>
        <v>0</v>
      </c>
      <c r="CV135">
        <f t="shared" si="159"/>
        <v>0</v>
      </c>
      <c r="CW135">
        <f t="shared" si="160"/>
        <v>0</v>
      </c>
      <c r="CX135">
        <f t="shared" si="161"/>
        <v>0</v>
      </c>
      <c r="CY135">
        <f t="shared" si="162"/>
        <v>0</v>
      </c>
      <c r="CZ135">
        <f t="shared" si="163"/>
        <v>0</v>
      </c>
      <c r="DC135" t="s">
        <v>3</v>
      </c>
      <c r="DD135" t="s">
        <v>3</v>
      </c>
      <c r="DE135" t="s">
        <v>3</v>
      </c>
      <c r="DF135" t="s">
        <v>3</v>
      </c>
      <c r="DG135" t="s">
        <v>3</v>
      </c>
      <c r="DH135" t="s">
        <v>3</v>
      </c>
      <c r="DI135" t="s">
        <v>3</v>
      </c>
      <c r="DJ135" t="s">
        <v>3</v>
      </c>
      <c r="DK135" t="s">
        <v>3</v>
      </c>
      <c r="DL135" t="s">
        <v>3</v>
      </c>
      <c r="DM135" t="s">
        <v>3</v>
      </c>
      <c r="DN135">
        <v>0</v>
      </c>
      <c r="DO135">
        <v>0</v>
      </c>
      <c r="DP135">
        <v>1</v>
      </c>
      <c r="DQ135">
        <v>1</v>
      </c>
      <c r="DU135">
        <v>1013</v>
      </c>
      <c r="DV135" t="s">
        <v>29</v>
      </c>
      <c r="DW135" t="s">
        <v>29</v>
      </c>
      <c r="DX135">
        <v>1</v>
      </c>
      <c r="DZ135" t="s">
        <v>3</v>
      </c>
      <c r="EA135" t="s">
        <v>3</v>
      </c>
      <c r="EB135" t="s">
        <v>3</v>
      </c>
      <c r="EC135" t="s">
        <v>3</v>
      </c>
      <c r="EE135">
        <v>64095025</v>
      </c>
      <c r="EF135">
        <v>2</v>
      </c>
      <c r="EG135" t="s">
        <v>13</v>
      </c>
      <c r="EH135">
        <v>0</v>
      </c>
      <c r="EI135" t="s">
        <v>3</v>
      </c>
      <c r="EJ135">
        <v>1</v>
      </c>
      <c r="EK135">
        <v>9001</v>
      </c>
      <c r="EL135" t="s">
        <v>49</v>
      </c>
      <c r="EM135" t="s">
        <v>50</v>
      </c>
      <c r="EO135" t="s">
        <v>3</v>
      </c>
      <c r="EQ135">
        <v>0</v>
      </c>
      <c r="ER135">
        <v>206.66</v>
      </c>
      <c r="ES135">
        <v>206.66</v>
      </c>
      <c r="ET135">
        <v>0</v>
      </c>
      <c r="EU135">
        <v>0</v>
      </c>
      <c r="EV135">
        <v>0</v>
      </c>
      <c r="EW135">
        <v>0</v>
      </c>
      <c r="EX135">
        <v>0</v>
      </c>
      <c r="FQ135">
        <v>0</v>
      </c>
      <c r="FR135">
        <f t="shared" si="164"/>
        <v>0</v>
      </c>
      <c r="FS135">
        <v>0</v>
      </c>
      <c r="FT135" t="s">
        <v>52</v>
      </c>
      <c r="FU135" t="s">
        <v>53</v>
      </c>
      <c r="FX135">
        <v>81</v>
      </c>
      <c r="FY135">
        <v>72.25</v>
      </c>
      <c r="GA135" t="s">
        <v>3</v>
      </c>
      <c r="GD135">
        <v>1</v>
      </c>
      <c r="GF135">
        <v>47437256</v>
      </c>
      <c r="GG135">
        <v>2</v>
      </c>
      <c r="GH135">
        <v>1</v>
      </c>
      <c r="GI135">
        <v>2</v>
      </c>
      <c r="GJ135">
        <v>0</v>
      </c>
      <c r="GK135">
        <v>0</v>
      </c>
      <c r="GL135">
        <f t="shared" si="165"/>
        <v>0</v>
      </c>
      <c r="GM135">
        <f t="shared" si="166"/>
        <v>1492.09</v>
      </c>
      <c r="GN135">
        <f t="shared" si="167"/>
        <v>1492.09</v>
      </c>
      <c r="GO135">
        <f t="shared" si="168"/>
        <v>0</v>
      </c>
      <c r="GP135">
        <f t="shared" si="169"/>
        <v>0</v>
      </c>
      <c r="GR135">
        <v>0</v>
      </c>
      <c r="GS135">
        <v>3</v>
      </c>
      <c r="GT135">
        <v>0</v>
      </c>
      <c r="GU135" t="s">
        <v>3</v>
      </c>
      <c r="GV135">
        <f t="shared" si="170"/>
        <v>0</v>
      </c>
      <c r="GW135">
        <v>1</v>
      </c>
      <c r="GX135">
        <f t="shared" si="171"/>
        <v>0</v>
      </c>
      <c r="HA135">
        <v>0</v>
      </c>
      <c r="HB135">
        <v>0</v>
      </c>
      <c r="HC135">
        <f t="shared" si="172"/>
        <v>0</v>
      </c>
      <c r="HE135" t="s">
        <v>3</v>
      </c>
      <c r="HF135" t="s">
        <v>3</v>
      </c>
      <c r="IK135">
        <v>0</v>
      </c>
    </row>
    <row r="136" spans="1:245" x14ac:dyDescent="0.2">
      <c r="A136">
        <v>18</v>
      </c>
      <c r="B136">
        <v>1</v>
      </c>
      <c r="C136">
        <v>375</v>
      </c>
      <c r="E136" t="s">
        <v>477</v>
      </c>
      <c r="F136" t="s">
        <v>478</v>
      </c>
      <c r="G136" t="s">
        <v>479</v>
      </c>
      <c r="H136" t="s">
        <v>29</v>
      </c>
      <c r="I136">
        <f>I132*J136</f>
        <v>6</v>
      </c>
      <c r="J136">
        <v>136.36363636363637</v>
      </c>
      <c r="O136">
        <f t="shared" si="139"/>
        <v>2073.7199999999998</v>
      </c>
      <c r="P136">
        <f t="shared" si="140"/>
        <v>2073.7199999999998</v>
      </c>
      <c r="Q136">
        <f t="shared" si="141"/>
        <v>0</v>
      </c>
      <c r="R136">
        <f t="shared" si="142"/>
        <v>0</v>
      </c>
      <c r="S136">
        <f t="shared" si="143"/>
        <v>0</v>
      </c>
      <c r="T136">
        <f t="shared" si="144"/>
        <v>0</v>
      </c>
      <c r="U136">
        <f t="shared" si="145"/>
        <v>0</v>
      </c>
      <c r="V136">
        <f t="shared" si="146"/>
        <v>0</v>
      </c>
      <c r="W136">
        <f t="shared" si="147"/>
        <v>0</v>
      </c>
      <c r="X136">
        <f t="shared" si="148"/>
        <v>0</v>
      </c>
      <c r="Y136">
        <f t="shared" si="149"/>
        <v>0</v>
      </c>
      <c r="AA136">
        <v>68990560</v>
      </c>
      <c r="AB136">
        <f t="shared" si="150"/>
        <v>90.24</v>
      </c>
      <c r="AC136">
        <f t="shared" si="173"/>
        <v>90.24</v>
      </c>
      <c r="AD136">
        <f>ROUND((((ET136)-(EU136))+AE136),2)</f>
        <v>0</v>
      </c>
      <c r="AE136">
        <f t="shared" si="174"/>
        <v>0</v>
      </c>
      <c r="AF136">
        <f t="shared" si="174"/>
        <v>0</v>
      </c>
      <c r="AG136">
        <f t="shared" si="151"/>
        <v>0</v>
      </c>
      <c r="AH136">
        <f t="shared" si="175"/>
        <v>0</v>
      </c>
      <c r="AI136">
        <f t="shared" si="175"/>
        <v>0</v>
      </c>
      <c r="AJ136">
        <f t="shared" si="152"/>
        <v>0</v>
      </c>
      <c r="AK136">
        <v>90.24</v>
      </c>
      <c r="AL136">
        <v>90.24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81</v>
      </c>
      <c r="AU136">
        <v>72</v>
      </c>
      <c r="AV136">
        <v>1</v>
      </c>
      <c r="AW136">
        <v>1</v>
      </c>
      <c r="AZ136">
        <v>1</v>
      </c>
      <c r="BA136">
        <v>1</v>
      </c>
      <c r="BB136">
        <v>1</v>
      </c>
      <c r="BC136">
        <v>3.83</v>
      </c>
      <c r="BD136" t="s">
        <v>3</v>
      </c>
      <c r="BE136" t="s">
        <v>3</v>
      </c>
      <c r="BF136" t="s">
        <v>3</v>
      </c>
      <c r="BG136" t="s">
        <v>3</v>
      </c>
      <c r="BH136">
        <v>3</v>
      </c>
      <c r="BI136">
        <v>1</v>
      </c>
      <c r="BJ136" t="s">
        <v>480</v>
      </c>
      <c r="BM136">
        <v>9001</v>
      </c>
      <c r="BN136">
        <v>0</v>
      </c>
      <c r="BO136" t="s">
        <v>478</v>
      </c>
      <c r="BP136">
        <v>1</v>
      </c>
      <c r="BQ136">
        <v>2</v>
      </c>
      <c r="BR136">
        <v>0</v>
      </c>
      <c r="BS136">
        <v>1</v>
      </c>
      <c r="BT136">
        <v>1</v>
      </c>
      <c r="BU136">
        <v>1</v>
      </c>
      <c r="BV136">
        <v>1</v>
      </c>
      <c r="BW136">
        <v>1</v>
      </c>
      <c r="BX136">
        <v>1</v>
      </c>
      <c r="BY136" t="s">
        <v>3</v>
      </c>
      <c r="BZ136">
        <v>90</v>
      </c>
      <c r="CA136">
        <v>85</v>
      </c>
      <c r="CE136">
        <v>0</v>
      </c>
      <c r="CF136">
        <v>0</v>
      </c>
      <c r="CG136">
        <v>0</v>
      </c>
      <c r="CM136">
        <v>0</v>
      </c>
      <c r="CN136" t="s">
        <v>3</v>
      </c>
      <c r="CO136">
        <v>0</v>
      </c>
      <c r="CP136">
        <f t="shared" si="153"/>
        <v>2073.7199999999998</v>
      </c>
      <c r="CQ136">
        <f t="shared" si="154"/>
        <v>345.61919999999998</v>
      </c>
      <c r="CR136">
        <f t="shared" si="155"/>
        <v>0</v>
      </c>
      <c r="CS136">
        <f t="shared" si="156"/>
        <v>0</v>
      </c>
      <c r="CT136">
        <f t="shared" si="157"/>
        <v>0</v>
      </c>
      <c r="CU136">
        <f t="shared" si="158"/>
        <v>0</v>
      </c>
      <c r="CV136">
        <f t="shared" si="159"/>
        <v>0</v>
      </c>
      <c r="CW136">
        <f t="shared" si="160"/>
        <v>0</v>
      </c>
      <c r="CX136">
        <f t="shared" si="161"/>
        <v>0</v>
      </c>
      <c r="CY136">
        <f t="shared" si="162"/>
        <v>0</v>
      </c>
      <c r="CZ136">
        <f t="shared" si="163"/>
        <v>0</v>
      </c>
      <c r="DC136" t="s">
        <v>3</v>
      </c>
      <c r="DD136" t="s">
        <v>3</v>
      </c>
      <c r="DE136" t="s">
        <v>3</v>
      </c>
      <c r="DF136" t="s">
        <v>3</v>
      </c>
      <c r="DG136" t="s">
        <v>3</v>
      </c>
      <c r="DH136" t="s">
        <v>3</v>
      </c>
      <c r="DI136" t="s">
        <v>3</v>
      </c>
      <c r="DJ136" t="s">
        <v>3</v>
      </c>
      <c r="DK136" t="s">
        <v>3</v>
      </c>
      <c r="DL136" t="s">
        <v>3</v>
      </c>
      <c r="DM136" t="s">
        <v>3</v>
      </c>
      <c r="DN136">
        <v>0</v>
      </c>
      <c r="DO136">
        <v>0</v>
      </c>
      <c r="DP136">
        <v>1</v>
      </c>
      <c r="DQ136">
        <v>1</v>
      </c>
      <c r="DU136">
        <v>1013</v>
      </c>
      <c r="DV136" t="s">
        <v>29</v>
      </c>
      <c r="DW136" t="s">
        <v>29</v>
      </c>
      <c r="DX136">
        <v>1</v>
      </c>
      <c r="DZ136" t="s">
        <v>3</v>
      </c>
      <c r="EA136" t="s">
        <v>3</v>
      </c>
      <c r="EB136" t="s">
        <v>3</v>
      </c>
      <c r="EC136" t="s">
        <v>3</v>
      </c>
      <c r="EE136">
        <v>64095025</v>
      </c>
      <c r="EF136">
        <v>2</v>
      </c>
      <c r="EG136" t="s">
        <v>13</v>
      </c>
      <c r="EH136">
        <v>0</v>
      </c>
      <c r="EI136" t="s">
        <v>3</v>
      </c>
      <c r="EJ136">
        <v>1</v>
      </c>
      <c r="EK136">
        <v>9001</v>
      </c>
      <c r="EL136" t="s">
        <v>49</v>
      </c>
      <c r="EM136" t="s">
        <v>50</v>
      </c>
      <c r="EO136" t="s">
        <v>3</v>
      </c>
      <c r="EQ136">
        <v>0</v>
      </c>
      <c r="ER136">
        <v>90.24</v>
      </c>
      <c r="ES136">
        <v>90.24</v>
      </c>
      <c r="ET136">
        <v>0</v>
      </c>
      <c r="EU136">
        <v>0</v>
      </c>
      <c r="EV136">
        <v>0</v>
      </c>
      <c r="EW136">
        <v>0</v>
      </c>
      <c r="EX136">
        <v>0</v>
      </c>
      <c r="FQ136">
        <v>0</v>
      </c>
      <c r="FR136">
        <f t="shared" si="164"/>
        <v>0</v>
      </c>
      <c r="FS136">
        <v>0</v>
      </c>
      <c r="FT136" t="s">
        <v>52</v>
      </c>
      <c r="FU136" t="s">
        <v>53</v>
      </c>
      <c r="FX136">
        <v>81</v>
      </c>
      <c r="FY136">
        <v>72.25</v>
      </c>
      <c r="GA136" t="s">
        <v>3</v>
      </c>
      <c r="GD136">
        <v>1</v>
      </c>
      <c r="GF136">
        <v>-20578651</v>
      </c>
      <c r="GG136">
        <v>2</v>
      </c>
      <c r="GH136">
        <v>1</v>
      </c>
      <c r="GI136">
        <v>2</v>
      </c>
      <c r="GJ136">
        <v>0</v>
      </c>
      <c r="GK136">
        <v>0</v>
      </c>
      <c r="GL136">
        <f t="shared" si="165"/>
        <v>0</v>
      </c>
      <c r="GM136">
        <f t="shared" si="166"/>
        <v>2073.7199999999998</v>
      </c>
      <c r="GN136">
        <f t="shared" si="167"/>
        <v>2073.7199999999998</v>
      </c>
      <c r="GO136">
        <f t="shared" si="168"/>
        <v>0</v>
      </c>
      <c r="GP136">
        <f t="shared" si="169"/>
        <v>0</v>
      </c>
      <c r="GR136">
        <v>0</v>
      </c>
      <c r="GS136">
        <v>3</v>
      </c>
      <c r="GT136">
        <v>0</v>
      </c>
      <c r="GU136" t="s">
        <v>3</v>
      </c>
      <c r="GV136">
        <f t="shared" si="170"/>
        <v>0</v>
      </c>
      <c r="GW136">
        <v>1</v>
      </c>
      <c r="GX136">
        <f t="shared" si="171"/>
        <v>0</v>
      </c>
      <c r="HA136">
        <v>0</v>
      </c>
      <c r="HB136">
        <v>0</v>
      </c>
      <c r="HC136">
        <f t="shared" si="172"/>
        <v>0</v>
      </c>
      <c r="HE136" t="s">
        <v>3</v>
      </c>
      <c r="HF136" t="s">
        <v>3</v>
      </c>
      <c r="IK136">
        <v>0</v>
      </c>
    </row>
    <row r="137" spans="1:245" x14ac:dyDescent="0.2">
      <c r="A137">
        <v>17</v>
      </c>
      <c r="B137">
        <v>1</v>
      </c>
      <c r="C137">
        <f>ROW(SmtRes!A388)</f>
        <v>388</v>
      </c>
      <c r="D137">
        <f>ROW(EtalonRes!A382)</f>
        <v>382</v>
      </c>
      <c r="E137" t="s">
        <v>481</v>
      </c>
      <c r="F137" t="s">
        <v>463</v>
      </c>
      <c r="G137" t="s">
        <v>1339</v>
      </c>
      <c r="H137" t="s">
        <v>36</v>
      </c>
      <c r="I137">
        <f>ROUND(4.4/100,5)</f>
        <v>4.3999999999999997E-2</v>
      </c>
      <c r="J137">
        <v>0</v>
      </c>
      <c r="O137">
        <f t="shared" si="139"/>
        <v>8162.78</v>
      </c>
      <c r="P137">
        <f t="shared" si="140"/>
        <v>4.13</v>
      </c>
      <c r="Q137">
        <f t="shared" si="141"/>
        <v>799.62</v>
      </c>
      <c r="R137">
        <f t="shared" si="142"/>
        <v>670.3</v>
      </c>
      <c r="S137">
        <f t="shared" si="143"/>
        <v>7359.03</v>
      </c>
      <c r="T137">
        <f t="shared" si="144"/>
        <v>0</v>
      </c>
      <c r="U137">
        <f t="shared" si="145"/>
        <v>22.0456863</v>
      </c>
      <c r="V137">
        <f t="shared" si="146"/>
        <v>1.4812875000000001</v>
      </c>
      <c r="W137">
        <f t="shared" si="147"/>
        <v>0</v>
      </c>
      <c r="X137">
        <f t="shared" si="148"/>
        <v>6503.76</v>
      </c>
      <c r="Y137">
        <f t="shared" si="149"/>
        <v>5781.12</v>
      </c>
      <c r="AA137">
        <v>68990560</v>
      </c>
      <c r="AB137">
        <f t="shared" si="150"/>
        <v>6329.51</v>
      </c>
      <c r="AC137">
        <f t="shared" si="173"/>
        <v>9.0399999999999991</v>
      </c>
      <c r="AD137">
        <f>ROUND((((((ET137*1.25)*1.35))-(((EU137*1.25)*1.35)))+AE137),2)</f>
        <v>1350.17</v>
      </c>
      <c r="AE137">
        <f>ROUND((((EU137*1.25)*1.35)),2)</f>
        <v>452.72</v>
      </c>
      <c r="AF137">
        <f>ROUND((((EV137*1.15)*1.35)),2)</f>
        <v>4970.3</v>
      </c>
      <c r="AG137">
        <f t="shared" si="151"/>
        <v>0</v>
      </c>
      <c r="AH137">
        <f>(((EW137*1.15)*1.35))</f>
        <v>501.03832500000004</v>
      </c>
      <c r="AI137">
        <f>(((EX137*1.25)*1.35))</f>
        <v>33.665625000000006</v>
      </c>
      <c r="AJ137">
        <f t="shared" si="152"/>
        <v>0</v>
      </c>
      <c r="AK137">
        <v>4010.62</v>
      </c>
      <c r="AL137">
        <v>9.0399999999999991</v>
      </c>
      <c r="AM137">
        <v>800.1</v>
      </c>
      <c r="AN137">
        <v>268.27999999999997</v>
      </c>
      <c r="AO137">
        <v>3201.48</v>
      </c>
      <c r="AP137">
        <v>0</v>
      </c>
      <c r="AQ137">
        <v>322.73</v>
      </c>
      <c r="AR137">
        <v>19.95</v>
      </c>
      <c r="AS137">
        <v>0</v>
      </c>
      <c r="AT137">
        <v>81</v>
      </c>
      <c r="AU137">
        <v>72</v>
      </c>
      <c r="AV137">
        <v>1</v>
      </c>
      <c r="AW137">
        <v>1</v>
      </c>
      <c r="AZ137">
        <v>1</v>
      </c>
      <c r="BA137">
        <v>33.65</v>
      </c>
      <c r="BB137">
        <v>13.46</v>
      </c>
      <c r="BC137">
        <v>10.39</v>
      </c>
      <c r="BD137" t="s">
        <v>3</v>
      </c>
      <c r="BE137" t="s">
        <v>3</v>
      </c>
      <c r="BF137" t="s">
        <v>3</v>
      </c>
      <c r="BG137" t="s">
        <v>3</v>
      </c>
      <c r="BH137">
        <v>0</v>
      </c>
      <c r="BI137">
        <v>1</v>
      </c>
      <c r="BJ137" t="s">
        <v>464</v>
      </c>
      <c r="BM137">
        <v>9001</v>
      </c>
      <c r="BN137">
        <v>0</v>
      </c>
      <c r="BO137" t="s">
        <v>463</v>
      </c>
      <c r="BP137">
        <v>1</v>
      </c>
      <c r="BQ137">
        <v>2</v>
      </c>
      <c r="BR137">
        <v>0</v>
      </c>
      <c r="BS137">
        <v>33.65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3</v>
      </c>
      <c r="BZ137">
        <v>90</v>
      </c>
      <c r="CA137">
        <v>85</v>
      </c>
      <c r="CE137">
        <v>0</v>
      </c>
      <c r="CF137">
        <v>0</v>
      </c>
      <c r="CG137">
        <v>0</v>
      </c>
      <c r="CM137">
        <v>0</v>
      </c>
      <c r="CN137" t="s">
        <v>1332</v>
      </c>
      <c r="CO137">
        <v>0</v>
      </c>
      <c r="CP137">
        <f t="shared" si="153"/>
        <v>8162.78</v>
      </c>
      <c r="CQ137">
        <f t="shared" si="154"/>
        <v>93.925600000000003</v>
      </c>
      <c r="CR137">
        <f t="shared" si="155"/>
        <v>18173.288200000003</v>
      </c>
      <c r="CS137">
        <f t="shared" si="156"/>
        <v>15234.028</v>
      </c>
      <c r="CT137">
        <f t="shared" si="157"/>
        <v>167250.595</v>
      </c>
      <c r="CU137">
        <f t="shared" si="158"/>
        <v>0</v>
      </c>
      <c r="CV137">
        <f t="shared" si="159"/>
        <v>501.03832500000004</v>
      </c>
      <c r="CW137">
        <f t="shared" si="160"/>
        <v>33.665625000000006</v>
      </c>
      <c r="CX137">
        <f t="shared" si="161"/>
        <v>0</v>
      </c>
      <c r="CY137">
        <f t="shared" si="162"/>
        <v>6503.7573000000002</v>
      </c>
      <c r="CZ137">
        <f t="shared" si="163"/>
        <v>5781.1176000000005</v>
      </c>
      <c r="DC137" t="s">
        <v>3</v>
      </c>
      <c r="DD137" t="s">
        <v>3</v>
      </c>
      <c r="DE137" t="s">
        <v>146</v>
      </c>
      <c r="DF137" t="s">
        <v>146</v>
      </c>
      <c r="DG137" t="s">
        <v>147</v>
      </c>
      <c r="DH137" t="s">
        <v>3</v>
      </c>
      <c r="DI137" t="s">
        <v>147</v>
      </c>
      <c r="DJ137" t="s">
        <v>146</v>
      </c>
      <c r="DK137" t="s">
        <v>3</v>
      </c>
      <c r="DL137" t="s">
        <v>3</v>
      </c>
      <c r="DM137" t="s">
        <v>3</v>
      </c>
      <c r="DN137">
        <v>0</v>
      </c>
      <c r="DO137">
        <v>0</v>
      </c>
      <c r="DP137">
        <v>1</v>
      </c>
      <c r="DQ137">
        <v>1</v>
      </c>
      <c r="DU137">
        <v>1005</v>
      </c>
      <c r="DV137" t="s">
        <v>36</v>
      </c>
      <c r="DW137" t="s">
        <v>36</v>
      </c>
      <c r="DX137">
        <v>100</v>
      </c>
      <c r="DZ137" t="s">
        <v>3</v>
      </c>
      <c r="EA137" t="s">
        <v>3</v>
      </c>
      <c r="EB137" t="s">
        <v>3</v>
      </c>
      <c r="EC137" t="s">
        <v>3</v>
      </c>
      <c r="EE137">
        <v>64095025</v>
      </c>
      <c r="EF137">
        <v>2</v>
      </c>
      <c r="EG137" t="s">
        <v>13</v>
      </c>
      <c r="EH137">
        <v>0</v>
      </c>
      <c r="EI137" t="s">
        <v>3</v>
      </c>
      <c r="EJ137">
        <v>1</v>
      </c>
      <c r="EK137">
        <v>9001</v>
      </c>
      <c r="EL137" t="s">
        <v>49</v>
      </c>
      <c r="EM137" t="s">
        <v>50</v>
      </c>
      <c r="EO137" t="s">
        <v>150</v>
      </c>
      <c r="EQ137">
        <v>0</v>
      </c>
      <c r="ER137">
        <v>4010.62</v>
      </c>
      <c r="ES137">
        <v>9.0399999999999991</v>
      </c>
      <c r="ET137">
        <v>800.1</v>
      </c>
      <c r="EU137">
        <v>268.27999999999997</v>
      </c>
      <c r="EV137">
        <v>3201.48</v>
      </c>
      <c r="EW137">
        <v>322.73</v>
      </c>
      <c r="EX137">
        <v>19.95</v>
      </c>
      <c r="EY137">
        <v>0</v>
      </c>
      <c r="FQ137">
        <v>0</v>
      </c>
      <c r="FR137">
        <f t="shared" si="164"/>
        <v>0</v>
      </c>
      <c r="FS137">
        <v>0</v>
      </c>
      <c r="FT137" t="s">
        <v>52</v>
      </c>
      <c r="FU137" t="s">
        <v>53</v>
      </c>
      <c r="FX137">
        <v>81</v>
      </c>
      <c r="FY137">
        <v>72.25</v>
      </c>
      <c r="GA137" t="s">
        <v>3</v>
      </c>
      <c r="GD137">
        <v>1</v>
      </c>
      <c r="GF137">
        <v>-1899704856</v>
      </c>
      <c r="GG137">
        <v>2</v>
      </c>
      <c r="GH137">
        <v>1</v>
      </c>
      <c r="GI137">
        <v>2</v>
      </c>
      <c r="GJ137">
        <v>0</v>
      </c>
      <c r="GK137">
        <v>0</v>
      </c>
      <c r="GL137">
        <f t="shared" si="165"/>
        <v>0</v>
      </c>
      <c r="GM137">
        <f t="shared" si="166"/>
        <v>20447.66</v>
      </c>
      <c r="GN137">
        <f t="shared" si="167"/>
        <v>20447.66</v>
      </c>
      <c r="GO137">
        <f t="shared" si="168"/>
        <v>0</v>
      </c>
      <c r="GP137">
        <f t="shared" si="169"/>
        <v>0</v>
      </c>
      <c r="GR137">
        <v>0</v>
      </c>
      <c r="GS137">
        <v>3</v>
      </c>
      <c r="GT137">
        <v>0</v>
      </c>
      <c r="GU137" t="s">
        <v>3</v>
      </c>
      <c r="GV137">
        <f t="shared" si="170"/>
        <v>0</v>
      </c>
      <c r="GW137">
        <v>1</v>
      </c>
      <c r="GX137">
        <f t="shared" si="171"/>
        <v>0</v>
      </c>
      <c r="HA137">
        <v>0</v>
      </c>
      <c r="HB137">
        <v>0</v>
      </c>
      <c r="HC137">
        <f t="shared" si="172"/>
        <v>0</v>
      </c>
      <c r="HE137" t="s">
        <v>3</v>
      </c>
      <c r="HF137" t="s">
        <v>3</v>
      </c>
      <c r="IK137">
        <v>0</v>
      </c>
    </row>
    <row r="138" spans="1:245" x14ac:dyDescent="0.2">
      <c r="A138">
        <v>18</v>
      </c>
      <c r="B138">
        <v>1</v>
      </c>
      <c r="C138">
        <v>387</v>
      </c>
      <c r="E138" t="s">
        <v>482</v>
      </c>
      <c r="F138" t="s">
        <v>466</v>
      </c>
      <c r="G138" t="s">
        <v>467</v>
      </c>
      <c r="H138" t="s">
        <v>46</v>
      </c>
      <c r="I138">
        <f>I137*J138</f>
        <v>3.3</v>
      </c>
      <c r="J138">
        <v>75</v>
      </c>
      <c r="O138">
        <f t="shared" si="139"/>
        <v>6909.71</v>
      </c>
      <c r="P138">
        <f t="shared" si="140"/>
        <v>6909.71</v>
      </c>
      <c r="Q138">
        <f t="shared" si="141"/>
        <v>0</v>
      </c>
      <c r="R138">
        <f t="shared" si="142"/>
        <v>0</v>
      </c>
      <c r="S138">
        <f t="shared" si="143"/>
        <v>0</v>
      </c>
      <c r="T138">
        <f t="shared" si="144"/>
        <v>0</v>
      </c>
      <c r="U138">
        <f t="shared" si="145"/>
        <v>0</v>
      </c>
      <c r="V138">
        <f t="shared" si="146"/>
        <v>0</v>
      </c>
      <c r="W138">
        <f t="shared" si="147"/>
        <v>0</v>
      </c>
      <c r="X138">
        <f t="shared" si="148"/>
        <v>0</v>
      </c>
      <c r="Y138">
        <f t="shared" si="149"/>
        <v>0</v>
      </c>
      <c r="AA138">
        <v>68990560</v>
      </c>
      <c r="AB138">
        <f t="shared" si="150"/>
        <v>253.8</v>
      </c>
      <c r="AC138">
        <f t="shared" si="173"/>
        <v>253.8</v>
      </c>
      <c r="AD138">
        <f>ROUND((((ET138)-(EU138))+AE138),2)</f>
        <v>0</v>
      </c>
      <c r="AE138">
        <f t="shared" ref="AE138:AF141" si="176">ROUND((EU138),2)</f>
        <v>0</v>
      </c>
      <c r="AF138">
        <f t="shared" si="176"/>
        <v>0</v>
      </c>
      <c r="AG138">
        <f t="shared" si="151"/>
        <v>0</v>
      </c>
      <c r="AH138">
        <f t="shared" ref="AH138:AI141" si="177">(EW138)</f>
        <v>0</v>
      </c>
      <c r="AI138">
        <f t="shared" si="177"/>
        <v>0</v>
      </c>
      <c r="AJ138">
        <f t="shared" si="152"/>
        <v>0</v>
      </c>
      <c r="AK138">
        <v>253.8</v>
      </c>
      <c r="AL138">
        <v>253.8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81</v>
      </c>
      <c r="AU138">
        <v>72</v>
      </c>
      <c r="AV138">
        <v>1</v>
      </c>
      <c r="AW138">
        <v>1</v>
      </c>
      <c r="AZ138">
        <v>1</v>
      </c>
      <c r="BA138">
        <v>1</v>
      </c>
      <c r="BB138">
        <v>1</v>
      </c>
      <c r="BC138">
        <v>8.25</v>
      </c>
      <c r="BD138" t="s">
        <v>3</v>
      </c>
      <c r="BE138" t="s">
        <v>3</v>
      </c>
      <c r="BF138" t="s">
        <v>3</v>
      </c>
      <c r="BG138" t="s">
        <v>3</v>
      </c>
      <c r="BH138">
        <v>3</v>
      </c>
      <c r="BI138">
        <v>1</v>
      </c>
      <c r="BJ138" t="s">
        <v>468</v>
      </c>
      <c r="BM138">
        <v>9001</v>
      </c>
      <c r="BN138">
        <v>0</v>
      </c>
      <c r="BO138" t="s">
        <v>466</v>
      </c>
      <c r="BP138">
        <v>1</v>
      </c>
      <c r="BQ138">
        <v>2</v>
      </c>
      <c r="BR138">
        <v>0</v>
      </c>
      <c r="BS138">
        <v>1</v>
      </c>
      <c r="BT138">
        <v>1</v>
      </c>
      <c r="BU138">
        <v>1</v>
      </c>
      <c r="BV138">
        <v>1</v>
      </c>
      <c r="BW138">
        <v>1</v>
      </c>
      <c r="BX138">
        <v>1</v>
      </c>
      <c r="BY138" t="s">
        <v>3</v>
      </c>
      <c r="BZ138">
        <v>90</v>
      </c>
      <c r="CA138">
        <v>85</v>
      </c>
      <c r="CE138">
        <v>0</v>
      </c>
      <c r="CF138">
        <v>0</v>
      </c>
      <c r="CG138">
        <v>0</v>
      </c>
      <c r="CM138">
        <v>0</v>
      </c>
      <c r="CN138" t="s">
        <v>3</v>
      </c>
      <c r="CO138">
        <v>0</v>
      </c>
      <c r="CP138">
        <f t="shared" si="153"/>
        <v>6909.71</v>
      </c>
      <c r="CQ138">
        <f t="shared" si="154"/>
        <v>2093.85</v>
      </c>
      <c r="CR138">
        <f t="shared" si="155"/>
        <v>0</v>
      </c>
      <c r="CS138">
        <f t="shared" si="156"/>
        <v>0</v>
      </c>
      <c r="CT138">
        <f t="shared" si="157"/>
        <v>0</v>
      </c>
      <c r="CU138">
        <f t="shared" si="158"/>
        <v>0</v>
      </c>
      <c r="CV138">
        <f t="shared" si="159"/>
        <v>0</v>
      </c>
      <c r="CW138">
        <f t="shared" si="160"/>
        <v>0</v>
      </c>
      <c r="CX138">
        <f t="shared" si="161"/>
        <v>0</v>
      </c>
      <c r="CY138">
        <f t="shared" si="162"/>
        <v>0</v>
      </c>
      <c r="CZ138">
        <f t="shared" si="163"/>
        <v>0</v>
      </c>
      <c r="DC138" t="s">
        <v>3</v>
      </c>
      <c r="DD138" t="s">
        <v>3</v>
      </c>
      <c r="DE138" t="s">
        <v>3</v>
      </c>
      <c r="DF138" t="s">
        <v>3</v>
      </c>
      <c r="DG138" t="s">
        <v>3</v>
      </c>
      <c r="DH138" t="s">
        <v>3</v>
      </c>
      <c r="DI138" t="s">
        <v>3</v>
      </c>
      <c r="DJ138" t="s">
        <v>3</v>
      </c>
      <c r="DK138" t="s">
        <v>3</v>
      </c>
      <c r="DL138" t="s">
        <v>3</v>
      </c>
      <c r="DM138" t="s">
        <v>3</v>
      </c>
      <c r="DN138">
        <v>0</v>
      </c>
      <c r="DO138">
        <v>0</v>
      </c>
      <c r="DP138">
        <v>1</v>
      </c>
      <c r="DQ138">
        <v>1</v>
      </c>
      <c r="DU138">
        <v>1005</v>
      </c>
      <c r="DV138" t="s">
        <v>46</v>
      </c>
      <c r="DW138" t="s">
        <v>46</v>
      </c>
      <c r="DX138">
        <v>1</v>
      </c>
      <c r="DZ138" t="s">
        <v>3</v>
      </c>
      <c r="EA138" t="s">
        <v>3</v>
      </c>
      <c r="EB138" t="s">
        <v>3</v>
      </c>
      <c r="EC138" t="s">
        <v>3</v>
      </c>
      <c r="EE138">
        <v>64095025</v>
      </c>
      <c r="EF138">
        <v>2</v>
      </c>
      <c r="EG138" t="s">
        <v>13</v>
      </c>
      <c r="EH138">
        <v>0</v>
      </c>
      <c r="EI138" t="s">
        <v>3</v>
      </c>
      <c r="EJ138">
        <v>1</v>
      </c>
      <c r="EK138">
        <v>9001</v>
      </c>
      <c r="EL138" t="s">
        <v>49</v>
      </c>
      <c r="EM138" t="s">
        <v>50</v>
      </c>
      <c r="EO138" t="s">
        <v>3</v>
      </c>
      <c r="EQ138">
        <v>0</v>
      </c>
      <c r="ER138">
        <v>253.8</v>
      </c>
      <c r="ES138">
        <v>253.8</v>
      </c>
      <c r="ET138">
        <v>0</v>
      </c>
      <c r="EU138">
        <v>0</v>
      </c>
      <c r="EV138">
        <v>0</v>
      </c>
      <c r="EW138">
        <v>0</v>
      </c>
      <c r="EX138">
        <v>0</v>
      </c>
      <c r="FQ138">
        <v>0</v>
      </c>
      <c r="FR138">
        <f t="shared" si="164"/>
        <v>0</v>
      </c>
      <c r="FS138">
        <v>0</v>
      </c>
      <c r="FT138" t="s">
        <v>52</v>
      </c>
      <c r="FU138" t="s">
        <v>53</v>
      </c>
      <c r="FX138">
        <v>81</v>
      </c>
      <c r="FY138">
        <v>72.25</v>
      </c>
      <c r="GA138" t="s">
        <v>3</v>
      </c>
      <c r="GD138">
        <v>1</v>
      </c>
      <c r="GF138">
        <v>1035889047</v>
      </c>
      <c r="GG138">
        <v>2</v>
      </c>
      <c r="GH138">
        <v>1</v>
      </c>
      <c r="GI138">
        <v>2</v>
      </c>
      <c r="GJ138">
        <v>0</v>
      </c>
      <c r="GK138">
        <v>0</v>
      </c>
      <c r="GL138">
        <f t="shared" si="165"/>
        <v>0</v>
      </c>
      <c r="GM138">
        <f t="shared" si="166"/>
        <v>6909.71</v>
      </c>
      <c r="GN138">
        <f t="shared" si="167"/>
        <v>6909.71</v>
      </c>
      <c r="GO138">
        <f t="shared" si="168"/>
        <v>0</v>
      </c>
      <c r="GP138">
        <f t="shared" si="169"/>
        <v>0</v>
      </c>
      <c r="GR138">
        <v>0</v>
      </c>
      <c r="GS138">
        <v>3</v>
      </c>
      <c r="GT138">
        <v>0</v>
      </c>
      <c r="GU138" t="s">
        <v>3</v>
      </c>
      <c r="GV138">
        <f t="shared" si="170"/>
        <v>0</v>
      </c>
      <c r="GW138">
        <v>1</v>
      </c>
      <c r="GX138">
        <f t="shared" si="171"/>
        <v>0</v>
      </c>
      <c r="HA138">
        <v>0</v>
      </c>
      <c r="HB138">
        <v>0</v>
      </c>
      <c r="HC138">
        <f t="shared" si="172"/>
        <v>0</v>
      </c>
      <c r="HE138" t="s">
        <v>3</v>
      </c>
      <c r="HF138" t="s">
        <v>3</v>
      </c>
      <c r="IK138">
        <v>0</v>
      </c>
    </row>
    <row r="139" spans="1:245" x14ac:dyDescent="0.2">
      <c r="A139">
        <v>18</v>
      </c>
      <c r="B139">
        <v>1</v>
      </c>
      <c r="C139">
        <v>388</v>
      </c>
      <c r="E139" t="s">
        <v>483</v>
      </c>
      <c r="F139" t="s">
        <v>484</v>
      </c>
      <c r="G139" t="s">
        <v>485</v>
      </c>
      <c r="H139" t="s">
        <v>46</v>
      </c>
      <c r="I139">
        <f>I137*J139</f>
        <v>4.4000000000000004</v>
      </c>
      <c r="J139">
        <v>100.00000000000001</v>
      </c>
      <c r="O139">
        <f t="shared" si="139"/>
        <v>35541.07</v>
      </c>
      <c r="P139">
        <f t="shared" si="140"/>
        <v>35541.07</v>
      </c>
      <c r="Q139">
        <f t="shared" si="141"/>
        <v>0</v>
      </c>
      <c r="R139">
        <f t="shared" si="142"/>
        <v>0</v>
      </c>
      <c r="S139">
        <f t="shared" si="143"/>
        <v>0</v>
      </c>
      <c r="T139">
        <f t="shared" si="144"/>
        <v>0</v>
      </c>
      <c r="U139">
        <f t="shared" si="145"/>
        <v>0</v>
      </c>
      <c r="V139">
        <f t="shared" si="146"/>
        <v>0</v>
      </c>
      <c r="W139">
        <f t="shared" si="147"/>
        <v>0</v>
      </c>
      <c r="X139">
        <f t="shared" si="148"/>
        <v>0</v>
      </c>
      <c r="Y139">
        <f t="shared" si="149"/>
        <v>0</v>
      </c>
      <c r="AA139">
        <v>68990560</v>
      </c>
      <c r="AB139">
        <f t="shared" si="150"/>
        <v>2375.7399999999998</v>
      </c>
      <c r="AC139">
        <f t="shared" si="173"/>
        <v>2375.7399999999998</v>
      </c>
      <c r="AD139">
        <f>ROUND((((ET139)-(EU139))+AE139),2)</f>
        <v>0</v>
      </c>
      <c r="AE139">
        <f t="shared" si="176"/>
        <v>0</v>
      </c>
      <c r="AF139">
        <f t="shared" si="176"/>
        <v>0</v>
      </c>
      <c r="AG139">
        <f t="shared" si="151"/>
        <v>0</v>
      </c>
      <c r="AH139">
        <f t="shared" si="177"/>
        <v>0</v>
      </c>
      <c r="AI139">
        <f t="shared" si="177"/>
        <v>0</v>
      </c>
      <c r="AJ139">
        <f t="shared" si="152"/>
        <v>0</v>
      </c>
      <c r="AK139">
        <v>2375.7399999999998</v>
      </c>
      <c r="AL139">
        <v>2375.7399999999998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81</v>
      </c>
      <c r="AU139">
        <v>72</v>
      </c>
      <c r="AV139">
        <v>1</v>
      </c>
      <c r="AW139">
        <v>1</v>
      </c>
      <c r="AZ139">
        <v>1</v>
      </c>
      <c r="BA139">
        <v>1</v>
      </c>
      <c r="BB139">
        <v>1</v>
      </c>
      <c r="BC139">
        <v>3.4</v>
      </c>
      <c r="BD139" t="s">
        <v>3</v>
      </c>
      <c r="BE139" t="s">
        <v>3</v>
      </c>
      <c r="BF139" t="s">
        <v>3</v>
      </c>
      <c r="BG139" t="s">
        <v>3</v>
      </c>
      <c r="BH139">
        <v>3</v>
      </c>
      <c r="BI139">
        <v>1</v>
      </c>
      <c r="BJ139" t="s">
        <v>486</v>
      </c>
      <c r="BM139">
        <v>9001</v>
      </c>
      <c r="BN139">
        <v>0</v>
      </c>
      <c r="BO139" t="s">
        <v>484</v>
      </c>
      <c r="BP139">
        <v>1</v>
      </c>
      <c r="BQ139">
        <v>2</v>
      </c>
      <c r="BR139">
        <v>0</v>
      </c>
      <c r="BS139">
        <v>1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3</v>
      </c>
      <c r="BZ139">
        <v>90</v>
      </c>
      <c r="CA139">
        <v>85</v>
      </c>
      <c r="CE139">
        <v>0</v>
      </c>
      <c r="CF139">
        <v>0</v>
      </c>
      <c r="CG139">
        <v>0</v>
      </c>
      <c r="CM139">
        <v>0</v>
      </c>
      <c r="CN139" t="s">
        <v>3</v>
      </c>
      <c r="CO139">
        <v>0</v>
      </c>
      <c r="CP139">
        <f t="shared" si="153"/>
        <v>35541.07</v>
      </c>
      <c r="CQ139">
        <f t="shared" si="154"/>
        <v>8077.5159999999987</v>
      </c>
      <c r="CR139">
        <f t="shared" si="155"/>
        <v>0</v>
      </c>
      <c r="CS139">
        <f t="shared" si="156"/>
        <v>0</v>
      </c>
      <c r="CT139">
        <f t="shared" si="157"/>
        <v>0</v>
      </c>
      <c r="CU139">
        <f t="shared" si="158"/>
        <v>0</v>
      </c>
      <c r="CV139">
        <f t="shared" si="159"/>
        <v>0</v>
      </c>
      <c r="CW139">
        <f t="shared" si="160"/>
        <v>0</v>
      </c>
      <c r="CX139">
        <f t="shared" si="161"/>
        <v>0</v>
      </c>
      <c r="CY139">
        <f t="shared" si="162"/>
        <v>0</v>
      </c>
      <c r="CZ139">
        <f t="shared" si="163"/>
        <v>0</v>
      </c>
      <c r="DC139" t="s">
        <v>3</v>
      </c>
      <c r="DD139" t="s">
        <v>3</v>
      </c>
      <c r="DE139" t="s">
        <v>3</v>
      </c>
      <c r="DF139" t="s">
        <v>3</v>
      </c>
      <c r="DG139" t="s">
        <v>3</v>
      </c>
      <c r="DH139" t="s">
        <v>3</v>
      </c>
      <c r="DI139" t="s">
        <v>3</v>
      </c>
      <c r="DJ139" t="s">
        <v>3</v>
      </c>
      <c r="DK139" t="s">
        <v>3</v>
      </c>
      <c r="DL139" t="s">
        <v>3</v>
      </c>
      <c r="DM139" t="s">
        <v>3</v>
      </c>
      <c r="DN139">
        <v>0</v>
      </c>
      <c r="DO139">
        <v>0</v>
      </c>
      <c r="DP139">
        <v>1</v>
      </c>
      <c r="DQ139">
        <v>1</v>
      </c>
      <c r="DU139">
        <v>1005</v>
      </c>
      <c r="DV139" t="s">
        <v>46</v>
      </c>
      <c r="DW139" t="s">
        <v>46</v>
      </c>
      <c r="DX139">
        <v>1</v>
      </c>
      <c r="DZ139" t="s">
        <v>3</v>
      </c>
      <c r="EA139" t="s">
        <v>3</v>
      </c>
      <c r="EB139" t="s">
        <v>3</v>
      </c>
      <c r="EC139" t="s">
        <v>3</v>
      </c>
      <c r="EE139">
        <v>64095025</v>
      </c>
      <c r="EF139">
        <v>2</v>
      </c>
      <c r="EG139" t="s">
        <v>13</v>
      </c>
      <c r="EH139">
        <v>0</v>
      </c>
      <c r="EI139" t="s">
        <v>3</v>
      </c>
      <c r="EJ139">
        <v>1</v>
      </c>
      <c r="EK139">
        <v>9001</v>
      </c>
      <c r="EL139" t="s">
        <v>49</v>
      </c>
      <c r="EM139" t="s">
        <v>50</v>
      </c>
      <c r="EO139" t="s">
        <v>3</v>
      </c>
      <c r="EQ139">
        <v>0</v>
      </c>
      <c r="ER139">
        <v>2375.7399999999998</v>
      </c>
      <c r="ES139">
        <v>2375.7399999999998</v>
      </c>
      <c r="ET139">
        <v>0</v>
      </c>
      <c r="EU139">
        <v>0</v>
      </c>
      <c r="EV139">
        <v>0</v>
      </c>
      <c r="EW139">
        <v>0</v>
      </c>
      <c r="EX139">
        <v>0</v>
      </c>
      <c r="FQ139">
        <v>0</v>
      </c>
      <c r="FR139">
        <f t="shared" si="164"/>
        <v>0</v>
      </c>
      <c r="FS139">
        <v>0</v>
      </c>
      <c r="FT139" t="s">
        <v>52</v>
      </c>
      <c r="FU139" t="s">
        <v>53</v>
      </c>
      <c r="FX139">
        <v>81</v>
      </c>
      <c r="FY139">
        <v>72.25</v>
      </c>
      <c r="GA139" t="s">
        <v>3</v>
      </c>
      <c r="GD139">
        <v>1</v>
      </c>
      <c r="GF139">
        <v>810631353</v>
      </c>
      <c r="GG139">
        <v>2</v>
      </c>
      <c r="GH139">
        <v>1</v>
      </c>
      <c r="GI139">
        <v>2</v>
      </c>
      <c r="GJ139">
        <v>0</v>
      </c>
      <c r="GK139">
        <v>0</v>
      </c>
      <c r="GL139">
        <f t="shared" si="165"/>
        <v>0</v>
      </c>
      <c r="GM139">
        <f t="shared" si="166"/>
        <v>35541.07</v>
      </c>
      <c r="GN139">
        <f t="shared" si="167"/>
        <v>35541.07</v>
      </c>
      <c r="GO139">
        <f t="shared" si="168"/>
        <v>0</v>
      </c>
      <c r="GP139">
        <f t="shared" si="169"/>
        <v>0</v>
      </c>
      <c r="GR139">
        <v>0</v>
      </c>
      <c r="GS139">
        <v>3</v>
      </c>
      <c r="GT139">
        <v>0</v>
      </c>
      <c r="GU139" t="s">
        <v>3</v>
      </c>
      <c r="GV139">
        <f t="shared" si="170"/>
        <v>0</v>
      </c>
      <c r="GW139">
        <v>1</v>
      </c>
      <c r="GX139">
        <f t="shared" si="171"/>
        <v>0</v>
      </c>
      <c r="HA139">
        <v>0</v>
      </c>
      <c r="HB139">
        <v>0</v>
      </c>
      <c r="HC139">
        <f t="shared" si="172"/>
        <v>0</v>
      </c>
      <c r="HE139" t="s">
        <v>3</v>
      </c>
      <c r="HF139" t="s">
        <v>3</v>
      </c>
      <c r="IK139">
        <v>0</v>
      </c>
    </row>
    <row r="140" spans="1:245" x14ac:dyDescent="0.2">
      <c r="A140">
        <v>18</v>
      </c>
      <c r="B140">
        <v>1</v>
      </c>
      <c r="C140">
        <v>384</v>
      </c>
      <c r="E140" t="s">
        <v>487</v>
      </c>
      <c r="F140" t="s">
        <v>474</v>
      </c>
      <c r="G140" t="s">
        <v>475</v>
      </c>
      <c r="H140" t="s">
        <v>29</v>
      </c>
      <c r="I140">
        <f>I137*J140</f>
        <v>1</v>
      </c>
      <c r="J140">
        <v>22.72727272727273</v>
      </c>
      <c r="O140">
        <f t="shared" si="139"/>
        <v>746.04</v>
      </c>
      <c r="P140">
        <f t="shared" si="140"/>
        <v>746.04</v>
      </c>
      <c r="Q140">
        <f t="shared" si="141"/>
        <v>0</v>
      </c>
      <c r="R140">
        <f t="shared" si="142"/>
        <v>0</v>
      </c>
      <c r="S140">
        <f t="shared" si="143"/>
        <v>0</v>
      </c>
      <c r="T140">
        <f t="shared" si="144"/>
        <v>0</v>
      </c>
      <c r="U140">
        <f t="shared" si="145"/>
        <v>0</v>
      </c>
      <c r="V140">
        <f t="shared" si="146"/>
        <v>0</v>
      </c>
      <c r="W140">
        <f t="shared" si="147"/>
        <v>0</v>
      </c>
      <c r="X140">
        <f t="shared" si="148"/>
        <v>0</v>
      </c>
      <c r="Y140">
        <f t="shared" si="149"/>
        <v>0</v>
      </c>
      <c r="AA140">
        <v>68990560</v>
      </c>
      <c r="AB140">
        <f t="shared" si="150"/>
        <v>206.66</v>
      </c>
      <c r="AC140">
        <f t="shared" si="173"/>
        <v>206.66</v>
      </c>
      <c r="AD140">
        <f>ROUND((((ET140)-(EU140))+AE140),2)</f>
        <v>0</v>
      </c>
      <c r="AE140">
        <f t="shared" si="176"/>
        <v>0</v>
      </c>
      <c r="AF140">
        <f t="shared" si="176"/>
        <v>0</v>
      </c>
      <c r="AG140">
        <f t="shared" si="151"/>
        <v>0</v>
      </c>
      <c r="AH140">
        <f t="shared" si="177"/>
        <v>0</v>
      </c>
      <c r="AI140">
        <f t="shared" si="177"/>
        <v>0</v>
      </c>
      <c r="AJ140">
        <f t="shared" si="152"/>
        <v>0</v>
      </c>
      <c r="AK140">
        <v>206.66</v>
      </c>
      <c r="AL140">
        <v>206.66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81</v>
      </c>
      <c r="AU140">
        <v>72</v>
      </c>
      <c r="AV140">
        <v>1</v>
      </c>
      <c r="AW140">
        <v>1</v>
      </c>
      <c r="AZ140">
        <v>1</v>
      </c>
      <c r="BA140">
        <v>1</v>
      </c>
      <c r="BB140">
        <v>1</v>
      </c>
      <c r="BC140">
        <v>3.61</v>
      </c>
      <c r="BD140" t="s">
        <v>3</v>
      </c>
      <c r="BE140" t="s">
        <v>3</v>
      </c>
      <c r="BF140" t="s">
        <v>3</v>
      </c>
      <c r="BG140" t="s">
        <v>3</v>
      </c>
      <c r="BH140">
        <v>3</v>
      </c>
      <c r="BI140">
        <v>1</v>
      </c>
      <c r="BJ140" t="s">
        <v>476</v>
      </c>
      <c r="BM140">
        <v>9001</v>
      </c>
      <c r="BN140">
        <v>0</v>
      </c>
      <c r="BO140" t="s">
        <v>474</v>
      </c>
      <c r="BP140">
        <v>1</v>
      </c>
      <c r="BQ140">
        <v>2</v>
      </c>
      <c r="BR140">
        <v>0</v>
      </c>
      <c r="BS140">
        <v>1</v>
      </c>
      <c r="BT140">
        <v>1</v>
      </c>
      <c r="BU140">
        <v>1</v>
      </c>
      <c r="BV140">
        <v>1</v>
      </c>
      <c r="BW140">
        <v>1</v>
      </c>
      <c r="BX140">
        <v>1</v>
      </c>
      <c r="BY140" t="s">
        <v>3</v>
      </c>
      <c r="BZ140">
        <v>90</v>
      </c>
      <c r="CA140">
        <v>85</v>
      </c>
      <c r="CE140">
        <v>0</v>
      </c>
      <c r="CF140">
        <v>0</v>
      </c>
      <c r="CG140">
        <v>0</v>
      </c>
      <c r="CM140">
        <v>0</v>
      </c>
      <c r="CN140" t="s">
        <v>3</v>
      </c>
      <c r="CO140">
        <v>0</v>
      </c>
      <c r="CP140">
        <f t="shared" si="153"/>
        <v>746.04</v>
      </c>
      <c r="CQ140">
        <f t="shared" si="154"/>
        <v>746.04259999999999</v>
      </c>
      <c r="CR140">
        <f t="shared" si="155"/>
        <v>0</v>
      </c>
      <c r="CS140">
        <f t="shared" si="156"/>
        <v>0</v>
      </c>
      <c r="CT140">
        <f t="shared" si="157"/>
        <v>0</v>
      </c>
      <c r="CU140">
        <f t="shared" si="158"/>
        <v>0</v>
      </c>
      <c r="CV140">
        <f t="shared" si="159"/>
        <v>0</v>
      </c>
      <c r="CW140">
        <f t="shared" si="160"/>
        <v>0</v>
      </c>
      <c r="CX140">
        <f t="shared" si="161"/>
        <v>0</v>
      </c>
      <c r="CY140">
        <f t="shared" si="162"/>
        <v>0</v>
      </c>
      <c r="CZ140">
        <f t="shared" si="163"/>
        <v>0</v>
      </c>
      <c r="DC140" t="s">
        <v>3</v>
      </c>
      <c r="DD140" t="s">
        <v>3</v>
      </c>
      <c r="DE140" t="s">
        <v>3</v>
      </c>
      <c r="DF140" t="s">
        <v>3</v>
      </c>
      <c r="DG140" t="s">
        <v>3</v>
      </c>
      <c r="DH140" t="s">
        <v>3</v>
      </c>
      <c r="DI140" t="s">
        <v>3</v>
      </c>
      <c r="DJ140" t="s">
        <v>3</v>
      </c>
      <c r="DK140" t="s">
        <v>3</v>
      </c>
      <c r="DL140" t="s">
        <v>3</v>
      </c>
      <c r="DM140" t="s">
        <v>3</v>
      </c>
      <c r="DN140">
        <v>0</v>
      </c>
      <c r="DO140">
        <v>0</v>
      </c>
      <c r="DP140">
        <v>1</v>
      </c>
      <c r="DQ140">
        <v>1</v>
      </c>
      <c r="DU140">
        <v>1013</v>
      </c>
      <c r="DV140" t="s">
        <v>29</v>
      </c>
      <c r="DW140" t="s">
        <v>29</v>
      </c>
      <c r="DX140">
        <v>1</v>
      </c>
      <c r="DZ140" t="s">
        <v>3</v>
      </c>
      <c r="EA140" t="s">
        <v>3</v>
      </c>
      <c r="EB140" t="s">
        <v>3</v>
      </c>
      <c r="EC140" t="s">
        <v>3</v>
      </c>
      <c r="EE140">
        <v>64095025</v>
      </c>
      <c r="EF140">
        <v>2</v>
      </c>
      <c r="EG140" t="s">
        <v>13</v>
      </c>
      <c r="EH140">
        <v>0</v>
      </c>
      <c r="EI140" t="s">
        <v>3</v>
      </c>
      <c r="EJ140">
        <v>1</v>
      </c>
      <c r="EK140">
        <v>9001</v>
      </c>
      <c r="EL140" t="s">
        <v>49</v>
      </c>
      <c r="EM140" t="s">
        <v>50</v>
      </c>
      <c r="EO140" t="s">
        <v>3</v>
      </c>
      <c r="EQ140">
        <v>0</v>
      </c>
      <c r="ER140">
        <v>206.66</v>
      </c>
      <c r="ES140">
        <v>206.66</v>
      </c>
      <c r="ET140">
        <v>0</v>
      </c>
      <c r="EU140">
        <v>0</v>
      </c>
      <c r="EV140">
        <v>0</v>
      </c>
      <c r="EW140">
        <v>0</v>
      </c>
      <c r="EX140">
        <v>0</v>
      </c>
      <c r="FQ140">
        <v>0</v>
      </c>
      <c r="FR140">
        <f t="shared" si="164"/>
        <v>0</v>
      </c>
      <c r="FS140">
        <v>0</v>
      </c>
      <c r="FT140" t="s">
        <v>52</v>
      </c>
      <c r="FU140" t="s">
        <v>53</v>
      </c>
      <c r="FX140">
        <v>81</v>
      </c>
      <c r="FY140">
        <v>72.25</v>
      </c>
      <c r="GA140" t="s">
        <v>3</v>
      </c>
      <c r="GD140">
        <v>1</v>
      </c>
      <c r="GF140">
        <v>47437256</v>
      </c>
      <c r="GG140">
        <v>2</v>
      </c>
      <c r="GH140">
        <v>1</v>
      </c>
      <c r="GI140">
        <v>2</v>
      </c>
      <c r="GJ140">
        <v>0</v>
      </c>
      <c r="GK140">
        <v>0</v>
      </c>
      <c r="GL140">
        <f t="shared" si="165"/>
        <v>0</v>
      </c>
      <c r="GM140">
        <f t="shared" si="166"/>
        <v>746.04</v>
      </c>
      <c r="GN140">
        <f t="shared" si="167"/>
        <v>746.04</v>
      </c>
      <c r="GO140">
        <f t="shared" si="168"/>
        <v>0</v>
      </c>
      <c r="GP140">
        <f t="shared" si="169"/>
        <v>0</v>
      </c>
      <c r="GR140">
        <v>0</v>
      </c>
      <c r="GS140">
        <v>3</v>
      </c>
      <c r="GT140">
        <v>0</v>
      </c>
      <c r="GU140" t="s">
        <v>3</v>
      </c>
      <c r="GV140">
        <f t="shared" si="170"/>
        <v>0</v>
      </c>
      <c r="GW140">
        <v>1</v>
      </c>
      <c r="GX140">
        <f t="shared" si="171"/>
        <v>0</v>
      </c>
      <c r="HA140">
        <v>0</v>
      </c>
      <c r="HB140">
        <v>0</v>
      </c>
      <c r="HC140">
        <f t="shared" si="172"/>
        <v>0</v>
      </c>
      <c r="HE140" t="s">
        <v>3</v>
      </c>
      <c r="HF140" t="s">
        <v>3</v>
      </c>
      <c r="IK140">
        <v>0</v>
      </c>
    </row>
    <row r="141" spans="1:245" x14ac:dyDescent="0.2">
      <c r="A141">
        <v>18</v>
      </c>
      <c r="B141">
        <v>1</v>
      </c>
      <c r="C141">
        <v>385</v>
      </c>
      <c r="E141" t="s">
        <v>488</v>
      </c>
      <c r="F141" t="s">
        <v>478</v>
      </c>
      <c r="G141" t="s">
        <v>479</v>
      </c>
      <c r="H141" t="s">
        <v>29</v>
      </c>
      <c r="I141">
        <f>I137*J141</f>
        <v>6</v>
      </c>
      <c r="J141">
        <v>136.36363636363637</v>
      </c>
      <c r="O141">
        <f t="shared" si="139"/>
        <v>2073.7199999999998</v>
      </c>
      <c r="P141">
        <f t="shared" si="140"/>
        <v>2073.7199999999998</v>
      </c>
      <c r="Q141">
        <f t="shared" si="141"/>
        <v>0</v>
      </c>
      <c r="R141">
        <f t="shared" si="142"/>
        <v>0</v>
      </c>
      <c r="S141">
        <f t="shared" si="143"/>
        <v>0</v>
      </c>
      <c r="T141">
        <f t="shared" si="144"/>
        <v>0</v>
      </c>
      <c r="U141">
        <f t="shared" si="145"/>
        <v>0</v>
      </c>
      <c r="V141">
        <f t="shared" si="146"/>
        <v>0</v>
      </c>
      <c r="W141">
        <f t="shared" si="147"/>
        <v>0</v>
      </c>
      <c r="X141">
        <f t="shared" si="148"/>
        <v>0</v>
      </c>
      <c r="Y141">
        <f t="shared" si="149"/>
        <v>0</v>
      </c>
      <c r="AA141">
        <v>68990560</v>
      </c>
      <c r="AB141">
        <f t="shared" si="150"/>
        <v>90.24</v>
      </c>
      <c r="AC141">
        <f t="shared" si="173"/>
        <v>90.24</v>
      </c>
      <c r="AD141">
        <f>ROUND((((ET141)-(EU141))+AE141),2)</f>
        <v>0</v>
      </c>
      <c r="AE141">
        <f t="shared" si="176"/>
        <v>0</v>
      </c>
      <c r="AF141">
        <f t="shared" si="176"/>
        <v>0</v>
      </c>
      <c r="AG141">
        <f t="shared" si="151"/>
        <v>0</v>
      </c>
      <c r="AH141">
        <f t="shared" si="177"/>
        <v>0</v>
      </c>
      <c r="AI141">
        <f t="shared" si="177"/>
        <v>0</v>
      </c>
      <c r="AJ141">
        <f t="shared" si="152"/>
        <v>0</v>
      </c>
      <c r="AK141">
        <v>90.24</v>
      </c>
      <c r="AL141">
        <v>90.24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81</v>
      </c>
      <c r="AU141">
        <v>72</v>
      </c>
      <c r="AV141">
        <v>1</v>
      </c>
      <c r="AW141">
        <v>1</v>
      </c>
      <c r="AZ141">
        <v>1</v>
      </c>
      <c r="BA141">
        <v>1</v>
      </c>
      <c r="BB141">
        <v>1</v>
      </c>
      <c r="BC141">
        <v>3.83</v>
      </c>
      <c r="BD141" t="s">
        <v>3</v>
      </c>
      <c r="BE141" t="s">
        <v>3</v>
      </c>
      <c r="BF141" t="s">
        <v>3</v>
      </c>
      <c r="BG141" t="s">
        <v>3</v>
      </c>
      <c r="BH141">
        <v>3</v>
      </c>
      <c r="BI141">
        <v>1</v>
      </c>
      <c r="BJ141" t="s">
        <v>480</v>
      </c>
      <c r="BM141">
        <v>9001</v>
      </c>
      <c r="BN141">
        <v>0</v>
      </c>
      <c r="BO141" t="s">
        <v>478</v>
      </c>
      <c r="BP141">
        <v>1</v>
      </c>
      <c r="BQ141">
        <v>2</v>
      </c>
      <c r="BR141">
        <v>0</v>
      </c>
      <c r="BS141">
        <v>1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3</v>
      </c>
      <c r="BZ141">
        <v>90</v>
      </c>
      <c r="CA141">
        <v>85</v>
      </c>
      <c r="CE141">
        <v>0</v>
      </c>
      <c r="CF141">
        <v>0</v>
      </c>
      <c r="CG141">
        <v>0</v>
      </c>
      <c r="CM141">
        <v>0</v>
      </c>
      <c r="CN141" t="s">
        <v>3</v>
      </c>
      <c r="CO141">
        <v>0</v>
      </c>
      <c r="CP141">
        <f t="shared" si="153"/>
        <v>2073.7199999999998</v>
      </c>
      <c r="CQ141">
        <f t="shared" si="154"/>
        <v>345.61919999999998</v>
      </c>
      <c r="CR141">
        <f t="shared" si="155"/>
        <v>0</v>
      </c>
      <c r="CS141">
        <f t="shared" si="156"/>
        <v>0</v>
      </c>
      <c r="CT141">
        <f t="shared" si="157"/>
        <v>0</v>
      </c>
      <c r="CU141">
        <f t="shared" si="158"/>
        <v>0</v>
      </c>
      <c r="CV141">
        <f t="shared" si="159"/>
        <v>0</v>
      </c>
      <c r="CW141">
        <f t="shared" si="160"/>
        <v>0</v>
      </c>
      <c r="CX141">
        <f t="shared" si="161"/>
        <v>0</v>
      </c>
      <c r="CY141">
        <f t="shared" si="162"/>
        <v>0</v>
      </c>
      <c r="CZ141">
        <f t="shared" si="163"/>
        <v>0</v>
      </c>
      <c r="DC141" t="s">
        <v>3</v>
      </c>
      <c r="DD141" t="s">
        <v>3</v>
      </c>
      <c r="DE141" t="s">
        <v>3</v>
      </c>
      <c r="DF141" t="s">
        <v>3</v>
      </c>
      <c r="DG141" t="s">
        <v>3</v>
      </c>
      <c r="DH141" t="s">
        <v>3</v>
      </c>
      <c r="DI141" t="s">
        <v>3</v>
      </c>
      <c r="DJ141" t="s">
        <v>3</v>
      </c>
      <c r="DK141" t="s">
        <v>3</v>
      </c>
      <c r="DL141" t="s">
        <v>3</v>
      </c>
      <c r="DM141" t="s">
        <v>3</v>
      </c>
      <c r="DN141">
        <v>0</v>
      </c>
      <c r="DO141">
        <v>0</v>
      </c>
      <c r="DP141">
        <v>1</v>
      </c>
      <c r="DQ141">
        <v>1</v>
      </c>
      <c r="DU141">
        <v>1013</v>
      </c>
      <c r="DV141" t="s">
        <v>29</v>
      </c>
      <c r="DW141" t="s">
        <v>29</v>
      </c>
      <c r="DX141">
        <v>1</v>
      </c>
      <c r="DZ141" t="s">
        <v>3</v>
      </c>
      <c r="EA141" t="s">
        <v>3</v>
      </c>
      <c r="EB141" t="s">
        <v>3</v>
      </c>
      <c r="EC141" t="s">
        <v>3</v>
      </c>
      <c r="EE141">
        <v>64095025</v>
      </c>
      <c r="EF141">
        <v>2</v>
      </c>
      <c r="EG141" t="s">
        <v>13</v>
      </c>
      <c r="EH141">
        <v>0</v>
      </c>
      <c r="EI141" t="s">
        <v>3</v>
      </c>
      <c r="EJ141">
        <v>1</v>
      </c>
      <c r="EK141">
        <v>9001</v>
      </c>
      <c r="EL141" t="s">
        <v>49</v>
      </c>
      <c r="EM141" t="s">
        <v>50</v>
      </c>
      <c r="EO141" t="s">
        <v>3</v>
      </c>
      <c r="EQ141">
        <v>0</v>
      </c>
      <c r="ER141">
        <v>90.24</v>
      </c>
      <c r="ES141">
        <v>90.24</v>
      </c>
      <c r="ET141">
        <v>0</v>
      </c>
      <c r="EU141">
        <v>0</v>
      </c>
      <c r="EV141">
        <v>0</v>
      </c>
      <c r="EW141">
        <v>0</v>
      </c>
      <c r="EX141">
        <v>0</v>
      </c>
      <c r="FQ141">
        <v>0</v>
      </c>
      <c r="FR141">
        <f t="shared" si="164"/>
        <v>0</v>
      </c>
      <c r="FS141">
        <v>0</v>
      </c>
      <c r="FT141" t="s">
        <v>52</v>
      </c>
      <c r="FU141" t="s">
        <v>53</v>
      </c>
      <c r="FX141">
        <v>81</v>
      </c>
      <c r="FY141">
        <v>72.25</v>
      </c>
      <c r="GA141" t="s">
        <v>3</v>
      </c>
      <c r="GD141">
        <v>1</v>
      </c>
      <c r="GF141">
        <v>-20578651</v>
      </c>
      <c r="GG141">
        <v>2</v>
      </c>
      <c r="GH141">
        <v>1</v>
      </c>
      <c r="GI141">
        <v>2</v>
      </c>
      <c r="GJ141">
        <v>0</v>
      </c>
      <c r="GK141">
        <v>0</v>
      </c>
      <c r="GL141">
        <f t="shared" si="165"/>
        <v>0</v>
      </c>
      <c r="GM141">
        <f t="shared" si="166"/>
        <v>2073.7199999999998</v>
      </c>
      <c r="GN141">
        <f t="shared" si="167"/>
        <v>2073.7199999999998</v>
      </c>
      <c r="GO141">
        <f t="shared" si="168"/>
        <v>0</v>
      </c>
      <c r="GP141">
        <f t="shared" si="169"/>
        <v>0</v>
      </c>
      <c r="GR141">
        <v>0</v>
      </c>
      <c r="GS141">
        <v>3</v>
      </c>
      <c r="GT141">
        <v>0</v>
      </c>
      <c r="GU141" t="s">
        <v>3</v>
      </c>
      <c r="GV141">
        <f t="shared" si="170"/>
        <v>0</v>
      </c>
      <c r="GW141">
        <v>1</v>
      </c>
      <c r="GX141">
        <f t="shared" si="171"/>
        <v>0</v>
      </c>
      <c r="HA141">
        <v>0</v>
      </c>
      <c r="HB141">
        <v>0</v>
      </c>
      <c r="HC141">
        <f t="shared" si="172"/>
        <v>0</v>
      </c>
      <c r="HE141" t="s">
        <v>3</v>
      </c>
      <c r="HF141" t="s">
        <v>3</v>
      </c>
      <c r="IK141">
        <v>0</v>
      </c>
    </row>
    <row r="142" spans="1:245" x14ac:dyDescent="0.2">
      <c r="A142">
        <v>17</v>
      </c>
      <c r="B142">
        <v>1</v>
      </c>
      <c r="C142">
        <f>ROW(SmtRes!A398)</f>
        <v>398</v>
      </c>
      <c r="D142">
        <f>ROW(EtalonRes!A391)</f>
        <v>391</v>
      </c>
      <c r="E142" t="s">
        <v>489</v>
      </c>
      <c r="F142" t="s">
        <v>490</v>
      </c>
      <c r="G142" t="s">
        <v>491</v>
      </c>
      <c r="H142" t="s">
        <v>36</v>
      </c>
      <c r="I142">
        <f>ROUND(6.6/100,5)</f>
        <v>6.6000000000000003E-2</v>
      </c>
      <c r="J142">
        <v>0</v>
      </c>
      <c r="O142">
        <f t="shared" si="139"/>
        <v>2190.42</v>
      </c>
      <c r="P142">
        <f t="shared" si="140"/>
        <v>0</v>
      </c>
      <c r="Q142">
        <f t="shared" si="141"/>
        <v>1.39</v>
      </c>
      <c r="R142">
        <f t="shared" si="142"/>
        <v>0.98</v>
      </c>
      <c r="S142">
        <f t="shared" si="143"/>
        <v>2189.0300000000002</v>
      </c>
      <c r="T142">
        <f t="shared" si="144"/>
        <v>0</v>
      </c>
      <c r="U142">
        <f t="shared" si="145"/>
        <v>6.55776</v>
      </c>
      <c r="V142">
        <f t="shared" si="146"/>
        <v>2.2275000000000003E-3</v>
      </c>
      <c r="W142">
        <f t="shared" si="147"/>
        <v>0</v>
      </c>
      <c r="X142">
        <f t="shared" si="148"/>
        <v>2080.5100000000002</v>
      </c>
      <c r="Y142">
        <f t="shared" si="149"/>
        <v>1029.3</v>
      </c>
      <c r="AA142">
        <v>68990560</v>
      </c>
      <c r="AB142">
        <f t="shared" si="150"/>
        <v>987.29</v>
      </c>
      <c r="AC142">
        <f>ROUND(((ES142*0)),2)</f>
        <v>0</v>
      </c>
      <c r="AD142">
        <f>ROUND((((((ET142*1.25)*1.35))-(((EU142*1.25)*1.35)))+AE142),2)</f>
        <v>1.64</v>
      </c>
      <c r="AE142">
        <f>ROUND((((EU142*1.25)*1.35)),2)</f>
        <v>0.44</v>
      </c>
      <c r="AF142">
        <f>ROUND((((EV142*1.15)*1.35)),2)</f>
        <v>985.65</v>
      </c>
      <c r="AG142">
        <f t="shared" si="151"/>
        <v>0</v>
      </c>
      <c r="AH142">
        <f>(((EW142*1.15)*1.35))</f>
        <v>99.36</v>
      </c>
      <c r="AI142">
        <f>(((EX142*1.25)*1.35))</f>
        <v>3.3750000000000002E-2</v>
      </c>
      <c r="AJ142">
        <f t="shared" si="152"/>
        <v>0</v>
      </c>
      <c r="AK142">
        <v>3527.4</v>
      </c>
      <c r="AL142">
        <v>2891.55</v>
      </c>
      <c r="AM142">
        <v>0.97</v>
      </c>
      <c r="AN142">
        <v>0.26</v>
      </c>
      <c r="AO142">
        <v>634.88</v>
      </c>
      <c r="AP142">
        <v>0</v>
      </c>
      <c r="AQ142">
        <v>64</v>
      </c>
      <c r="AR142">
        <v>0.02</v>
      </c>
      <c r="AS142">
        <v>0</v>
      </c>
      <c r="AT142">
        <v>95</v>
      </c>
      <c r="AU142">
        <v>47</v>
      </c>
      <c r="AV142">
        <v>1</v>
      </c>
      <c r="AW142">
        <v>1</v>
      </c>
      <c r="AZ142">
        <v>1</v>
      </c>
      <c r="BA142">
        <v>33.65</v>
      </c>
      <c r="BB142">
        <v>12.8</v>
      </c>
      <c r="BC142">
        <v>4.6500000000000004</v>
      </c>
      <c r="BD142" t="s">
        <v>3</v>
      </c>
      <c r="BE142" t="s">
        <v>3</v>
      </c>
      <c r="BF142" t="s">
        <v>3</v>
      </c>
      <c r="BG142" t="s">
        <v>3</v>
      </c>
      <c r="BH142">
        <v>0</v>
      </c>
      <c r="BI142">
        <v>1</v>
      </c>
      <c r="BJ142" t="s">
        <v>492</v>
      </c>
      <c r="BM142">
        <v>15001</v>
      </c>
      <c r="BN142">
        <v>0</v>
      </c>
      <c r="BO142" t="s">
        <v>490</v>
      </c>
      <c r="BP142">
        <v>1</v>
      </c>
      <c r="BQ142">
        <v>2</v>
      </c>
      <c r="BR142">
        <v>0</v>
      </c>
      <c r="BS142">
        <v>33.65</v>
      </c>
      <c r="BT142">
        <v>1</v>
      </c>
      <c r="BU142">
        <v>1</v>
      </c>
      <c r="BV142">
        <v>1</v>
      </c>
      <c r="BW142">
        <v>1</v>
      </c>
      <c r="BX142">
        <v>1</v>
      </c>
      <c r="BY142" t="s">
        <v>3</v>
      </c>
      <c r="BZ142">
        <v>105</v>
      </c>
      <c r="CA142">
        <v>55</v>
      </c>
      <c r="CE142">
        <v>0</v>
      </c>
      <c r="CF142">
        <v>0</v>
      </c>
      <c r="CG142">
        <v>0</v>
      </c>
      <c r="CM142">
        <v>0</v>
      </c>
      <c r="CN142" t="s">
        <v>1332</v>
      </c>
      <c r="CO142">
        <v>0</v>
      </c>
      <c r="CP142">
        <f t="shared" si="153"/>
        <v>2190.42</v>
      </c>
      <c r="CQ142">
        <f t="shared" si="154"/>
        <v>0</v>
      </c>
      <c r="CR142">
        <f t="shared" si="155"/>
        <v>20.992000000000001</v>
      </c>
      <c r="CS142">
        <f t="shared" si="156"/>
        <v>14.805999999999999</v>
      </c>
      <c r="CT142">
        <f t="shared" si="157"/>
        <v>33167.122499999998</v>
      </c>
      <c r="CU142">
        <f t="shared" si="158"/>
        <v>0</v>
      </c>
      <c r="CV142">
        <f t="shared" si="159"/>
        <v>99.36</v>
      </c>
      <c r="CW142">
        <f t="shared" si="160"/>
        <v>3.3750000000000002E-2</v>
      </c>
      <c r="CX142">
        <f t="shared" si="161"/>
        <v>0</v>
      </c>
      <c r="CY142">
        <f t="shared" si="162"/>
        <v>2080.5095000000001</v>
      </c>
      <c r="CZ142">
        <f t="shared" si="163"/>
        <v>1029.3047000000001</v>
      </c>
      <c r="DC142" t="s">
        <v>3</v>
      </c>
      <c r="DD142" t="s">
        <v>297</v>
      </c>
      <c r="DE142" t="s">
        <v>146</v>
      </c>
      <c r="DF142" t="s">
        <v>146</v>
      </c>
      <c r="DG142" t="s">
        <v>147</v>
      </c>
      <c r="DH142" t="s">
        <v>3</v>
      </c>
      <c r="DI142" t="s">
        <v>147</v>
      </c>
      <c r="DJ142" t="s">
        <v>146</v>
      </c>
      <c r="DK142" t="s">
        <v>3</v>
      </c>
      <c r="DL142" t="s">
        <v>3</v>
      </c>
      <c r="DM142" t="s">
        <v>3</v>
      </c>
      <c r="DN142">
        <v>0</v>
      </c>
      <c r="DO142">
        <v>0</v>
      </c>
      <c r="DP142">
        <v>1</v>
      </c>
      <c r="DQ142">
        <v>1</v>
      </c>
      <c r="DU142">
        <v>1005</v>
      </c>
      <c r="DV142" t="s">
        <v>36</v>
      </c>
      <c r="DW142" t="s">
        <v>36</v>
      </c>
      <c r="DX142">
        <v>100</v>
      </c>
      <c r="DZ142" t="s">
        <v>3</v>
      </c>
      <c r="EA142" t="s">
        <v>3</v>
      </c>
      <c r="EB142" t="s">
        <v>3</v>
      </c>
      <c r="EC142" t="s">
        <v>3</v>
      </c>
      <c r="EE142">
        <v>64095052</v>
      </c>
      <c r="EF142">
        <v>2</v>
      </c>
      <c r="EG142" t="s">
        <v>13</v>
      </c>
      <c r="EH142">
        <v>0</v>
      </c>
      <c r="EI142" t="s">
        <v>3</v>
      </c>
      <c r="EJ142">
        <v>1</v>
      </c>
      <c r="EK142">
        <v>15001</v>
      </c>
      <c r="EL142" t="s">
        <v>165</v>
      </c>
      <c r="EM142" t="s">
        <v>166</v>
      </c>
      <c r="EO142" t="s">
        <v>150</v>
      </c>
      <c r="EQ142">
        <v>0</v>
      </c>
      <c r="ER142">
        <v>3527.4</v>
      </c>
      <c r="ES142">
        <v>2891.55</v>
      </c>
      <c r="ET142">
        <v>0.97</v>
      </c>
      <c r="EU142">
        <v>0.26</v>
      </c>
      <c r="EV142">
        <v>634.88</v>
      </c>
      <c r="EW142">
        <v>64</v>
      </c>
      <c r="EX142">
        <v>0.02</v>
      </c>
      <c r="EY142">
        <v>0</v>
      </c>
      <c r="FQ142">
        <v>0</v>
      </c>
      <c r="FR142">
        <f t="shared" si="164"/>
        <v>0</v>
      </c>
      <c r="FS142">
        <v>0</v>
      </c>
      <c r="FT142" t="s">
        <v>52</v>
      </c>
      <c r="FU142" t="s">
        <v>53</v>
      </c>
      <c r="FX142">
        <v>94.5</v>
      </c>
      <c r="FY142">
        <v>46.75</v>
      </c>
      <c r="GA142" t="s">
        <v>3</v>
      </c>
      <c r="GD142">
        <v>1</v>
      </c>
      <c r="GF142">
        <v>-1406630746</v>
      </c>
      <c r="GG142">
        <v>2</v>
      </c>
      <c r="GH142">
        <v>1</v>
      </c>
      <c r="GI142">
        <v>2</v>
      </c>
      <c r="GJ142">
        <v>0</v>
      </c>
      <c r="GK142">
        <v>0</v>
      </c>
      <c r="GL142">
        <f t="shared" si="165"/>
        <v>0</v>
      </c>
      <c r="GM142">
        <f t="shared" si="166"/>
        <v>5300.23</v>
      </c>
      <c r="GN142">
        <f t="shared" si="167"/>
        <v>5300.23</v>
      </c>
      <c r="GO142">
        <f t="shared" si="168"/>
        <v>0</v>
      </c>
      <c r="GP142">
        <f t="shared" si="169"/>
        <v>0</v>
      </c>
      <c r="GR142">
        <v>0</v>
      </c>
      <c r="GS142">
        <v>3</v>
      </c>
      <c r="GT142">
        <v>0</v>
      </c>
      <c r="GU142" t="s">
        <v>3</v>
      </c>
      <c r="GV142">
        <f t="shared" si="170"/>
        <v>0</v>
      </c>
      <c r="GW142">
        <v>1</v>
      </c>
      <c r="GX142">
        <f t="shared" si="171"/>
        <v>0</v>
      </c>
      <c r="HA142">
        <v>0</v>
      </c>
      <c r="HB142">
        <v>0</v>
      </c>
      <c r="HC142">
        <f t="shared" si="172"/>
        <v>0</v>
      </c>
      <c r="HE142" t="s">
        <v>3</v>
      </c>
      <c r="HF142" t="s">
        <v>3</v>
      </c>
      <c r="IK142">
        <v>0</v>
      </c>
    </row>
    <row r="143" spans="1:245" x14ac:dyDescent="0.2">
      <c r="A143">
        <v>18</v>
      </c>
      <c r="B143">
        <v>1</v>
      </c>
      <c r="C143">
        <v>396</v>
      </c>
      <c r="E143" t="s">
        <v>493</v>
      </c>
      <c r="F143" t="s">
        <v>494</v>
      </c>
      <c r="G143" t="s">
        <v>495</v>
      </c>
      <c r="H143" t="s">
        <v>46</v>
      </c>
      <c r="I143">
        <f>I142*J143</f>
        <v>6.6</v>
      </c>
      <c r="J143">
        <v>99.999999999999986</v>
      </c>
      <c r="O143">
        <f t="shared" si="139"/>
        <v>10577.95</v>
      </c>
      <c r="P143">
        <f t="shared" si="140"/>
        <v>10577.95</v>
      </c>
      <c r="Q143">
        <f t="shared" si="141"/>
        <v>0</v>
      </c>
      <c r="R143">
        <f t="shared" si="142"/>
        <v>0</v>
      </c>
      <c r="S143">
        <f t="shared" si="143"/>
        <v>0</v>
      </c>
      <c r="T143">
        <f t="shared" si="144"/>
        <v>0</v>
      </c>
      <c r="U143">
        <f t="shared" si="145"/>
        <v>0</v>
      </c>
      <c r="V143">
        <f t="shared" si="146"/>
        <v>0</v>
      </c>
      <c r="W143">
        <f t="shared" si="147"/>
        <v>0</v>
      </c>
      <c r="X143">
        <f t="shared" si="148"/>
        <v>0</v>
      </c>
      <c r="Y143">
        <f t="shared" si="149"/>
        <v>0</v>
      </c>
      <c r="AA143">
        <v>68990560</v>
      </c>
      <c r="AB143">
        <f t="shared" si="150"/>
        <v>756</v>
      </c>
      <c r="AC143">
        <f t="shared" ref="AC143:AC181" si="178">ROUND((ES143),2)</f>
        <v>756</v>
      </c>
      <c r="AD143">
        <f>ROUND((((ET143)-(EU143))+AE143),2)</f>
        <v>0</v>
      </c>
      <c r="AE143">
        <f>ROUND((EU143),2)</f>
        <v>0</v>
      </c>
      <c r="AF143">
        <f>ROUND((EV143),2)</f>
        <v>0</v>
      </c>
      <c r="AG143">
        <f t="shared" si="151"/>
        <v>0</v>
      </c>
      <c r="AH143">
        <f>(EW143)</f>
        <v>0</v>
      </c>
      <c r="AI143">
        <f>(EX143)</f>
        <v>0</v>
      </c>
      <c r="AJ143">
        <f t="shared" si="152"/>
        <v>0</v>
      </c>
      <c r="AK143">
        <v>756</v>
      </c>
      <c r="AL143">
        <v>756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95</v>
      </c>
      <c r="AU143">
        <v>47</v>
      </c>
      <c r="AV143">
        <v>1</v>
      </c>
      <c r="AW143">
        <v>1</v>
      </c>
      <c r="AZ143">
        <v>1</v>
      </c>
      <c r="BA143">
        <v>1</v>
      </c>
      <c r="BB143">
        <v>1</v>
      </c>
      <c r="BC143">
        <v>2.12</v>
      </c>
      <c r="BD143" t="s">
        <v>3</v>
      </c>
      <c r="BE143" t="s">
        <v>3</v>
      </c>
      <c r="BF143" t="s">
        <v>3</v>
      </c>
      <c r="BG143" t="s">
        <v>3</v>
      </c>
      <c r="BH143">
        <v>3</v>
      </c>
      <c r="BI143">
        <v>1</v>
      </c>
      <c r="BJ143" t="s">
        <v>496</v>
      </c>
      <c r="BM143">
        <v>15001</v>
      </c>
      <c r="BN143">
        <v>0</v>
      </c>
      <c r="BO143" t="s">
        <v>494</v>
      </c>
      <c r="BP143">
        <v>1</v>
      </c>
      <c r="BQ143">
        <v>2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3</v>
      </c>
      <c r="BZ143">
        <v>105</v>
      </c>
      <c r="CA143">
        <v>55</v>
      </c>
      <c r="CE143">
        <v>0</v>
      </c>
      <c r="CF143">
        <v>0</v>
      </c>
      <c r="CG143">
        <v>0</v>
      </c>
      <c r="CM143">
        <v>0</v>
      </c>
      <c r="CN143" t="s">
        <v>1332</v>
      </c>
      <c r="CO143">
        <v>0</v>
      </c>
      <c r="CP143">
        <f t="shared" si="153"/>
        <v>10577.95</v>
      </c>
      <c r="CQ143">
        <f t="shared" si="154"/>
        <v>1602.72</v>
      </c>
      <c r="CR143">
        <f t="shared" si="155"/>
        <v>0</v>
      </c>
      <c r="CS143">
        <f t="shared" si="156"/>
        <v>0</v>
      </c>
      <c r="CT143">
        <f t="shared" si="157"/>
        <v>0</v>
      </c>
      <c r="CU143">
        <f t="shared" si="158"/>
        <v>0</v>
      </c>
      <c r="CV143">
        <f t="shared" si="159"/>
        <v>0</v>
      </c>
      <c r="CW143">
        <f t="shared" si="160"/>
        <v>0</v>
      </c>
      <c r="CX143">
        <f t="shared" si="161"/>
        <v>0</v>
      </c>
      <c r="CY143">
        <f t="shared" si="162"/>
        <v>0</v>
      </c>
      <c r="CZ143">
        <f t="shared" si="163"/>
        <v>0</v>
      </c>
      <c r="DC143" t="s">
        <v>3</v>
      </c>
      <c r="DD143" t="s">
        <v>3</v>
      </c>
      <c r="DE143" t="s">
        <v>3</v>
      </c>
      <c r="DF143" t="s">
        <v>3</v>
      </c>
      <c r="DG143" t="s">
        <v>3</v>
      </c>
      <c r="DH143" t="s">
        <v>3</v>
      </c>
      <c r="DI143" t="s">
        <v>3</v>
      </c>
      <c r="DJ143" t="s">
        <v>3</v>
      </c>
      <c r="DK143" t="s">
        <v>3</v>
      </c>
      <c r="DL143" t="s">
        <v>3</v>
      </c>
      <c r="DM143" t="s">
        <v>3</v>
      </c>
      <c r="DN143">
        <v>0</v>
      </c>
      <c r="DO143">
        <v>0</v>
      </c>
      <c r="DP143">
        <v>1</v>
      </c>
      <c r="DQ143">
        <v>1</v>
      </c>
      <c r="DU143">
        <v>1005</v>
      </c>
      <c r="DV143" t="s">
        <v>46</v>
      </c>
      <c r="DW143" t="s">
        <v>46</v>
      </c>
      <c r="DX143">
        <v>1</v>
      </c>
      <c r="DZ143" t="s">
        <v>3</v>
      </c>
      <c r="EA143" t="s">
        <v>3</v>
      </c>
      <c r="EB143" t="s">
        <v>3</v>
      </c>
      <c r="EC143" t="s">
        <v>3</v>
      </c>
      <c r="EE143">
        <v>64095052</v>
      </c>
      <c r="EF143">
        <v>2</v>
      </c>
      <c r="EG143" t="s">
        <v>13</v>
      </c>
      <c r="EH143">
        <v>0</v>
      </c>
      <c r="EI143" t="s">
        <v>3</v>
      </c>
      <c r="EJ143">
        <v>1</v>
      </c>
      <c r="EK143">
        <v>15001</v>
      </c>
      <c r="EL143" t="s">
        <v>165</v>
      </c>
      <c r="EM143" t="s">
        <v>166</v>
      </c>
      <c r="EO143" t="s">
        <v>150</v>
      </c>
      <c r="EQ143">
        <v>0</v>
      </c>
      <c r="ER143">
        <v>756</v>
      </c>
      <c r="ES143">
        <v>756</v>
      </c>
      <c r="ET143">
        <v>0</v>
      </c>
      <c r="EU143">
        <v>0</v>
      </c>
      <c r="EV143">
        <v>0</v>
      </c>
      <c r="EW143">
        <v>0</v>
      </c>
      <c r="EX143">
        <v>0</v>
      </c>
      <c r="FQ143">
        <v>0</v>
      </c>
      <c r="FR143">
        <f t="shared" si="164"/>
        <v>0</v>
      </c>
      <c r="FS143">
        <v>0</v>
      </c>
      <c r="FT143" t="s">
        <v>52</v>
      </c>
      <c r="FU143" t="s">
        <v>53</v>
      </c>
      <c r="FX143">
        <v>94.5</v>
      </c>
      <c r="FY143">
        <v>46.75</v>
      </c>
      <c r="GA143" t="s">
        <v>3</v>
      </c>
      <c r="GD143">
        <v>1</v>
      </c>
      <c r="GF143">
        <v>723932760</v>
      </c>
      <c r="GG143">
        <v>2</v>
      </c>
      <c r="GH143">
        <v>1</v>
      </c>
      <c r="GI143">
        <v>2</v>
      </c>
      <c r="GJ143">
        <v>0</v>
      </c>
      <c r="GK143">
        <v>0</v>
      </c>
      <c r="GL143">
        <f t="shared" si="165"/>
        <v>0</v>
      </c>
      <c r="GM143">
        <f t="shared" si="166"/>
        <v>10577.95</v>
      </c>
      <c r="GN143">
        <f t="shared" si="167"/>
        <v>10577.95</v>
      </c>
      <c r="GO143">
        <f t="shared" si="168"/>
        <v>0</v>
      </c>
      <c r="GP143">
        <f t="shared" si="169"/>
        <v>0</v>
      </c>
      <c r="GR143">
        <v>0</v>
      </c>
      <c r="GS143">
        <v>3</v>
      </c>
      <c r="GT143">
        <v>0</v>
      </c>
      <c r="GU143" t="s">
        <v>3</v>
      </c>
      <c r="GV143">
        <f t="shared" si="170"/>
        <v>0</v>
      </c>
      <c r="GW143">
        <v>1</v>
      </c>
      <c r="GX143">
        <f t="shared" si="171"/>
        <v>0</v>
      </c>
      <c r="HA143">
        <v>0</v>
      </c>
      <c r="HB143">
        <v>0</v>
      </c>
      <c r="HC143">
        <f t="shared" si="172"/>
        <v>0</v>
      </c>
      <c r="HE143" t="s">
        <v>3</v>
      </c>
      <c r="HF143" t="s">
        <v>3</v>
      </c>
      <c r="IK143">
        <v>0</v>
      </c>
    </row>
    <row r="144" spans="1:245" x14ac:dyDescent="0.2">
      <c r="A144">
        <v>17</v>
      </c>
      <c r="B144">
        <v>1</v>
      </c>
      <c r="C144">
        <f>ROW(SmtRes!A407)</f>
        <v>407</v>
      </c>
      <c r="D144">
        <f>ROW(EtalonRes!A399)</f>
        <v>399</v>
      </c>
      <c r="E144" t="s">
        <v>497</v>
      </c>
      <c r="F144" t="s">
        <v>498</v>
      </c>
      <c r="G144" t="s">
        <v>499</v>
      </c>
      <c r="H144" t="s">
        <v>18</v>
      </c>
      <c r="I144">
        <f>ROUND(2/100,5)</f>
        <v>0.02</v>
      </c>
      <c r="J144">
        <v>0</v>
      </c>
      <c r="O144">
        <f t="shared" si="139"/>
        <v>671.68</v>
      </c>
      <c r="P144">
        <f t="shared" si="140"/>
        <v>51.65</v>
      </c>
      <c r="Q144">
        <f t="shared" si="141"/>
        <v>5</v>
      </c>
      <c r="R144">
        <f t="shared" si="142"/>
        <v>2.2799999999999998</v>
      </c>
      <c r="S144">
        <f t="shared" si="143"/>
        <v>615.03</v>
      </c>
      <c r="T144">
        <f t="shared" si="144"/>
        <v>0</v>
      </c>
      <c r="U144">
        <f t="shared" si="145"/>
        <v>1.8424799999999999</v>
      </c>
      <c r="V144">
        <f t="shared" si="146"/>
        <v>5.4000000000000003E-3</v>
      </c>
      <c r="W144">
        <f t="shared" si="147"/>
        <v>0</v>
      </c>
      <c r="X144">
        <f t="shared" si="148"/>
        <v>586.44000000000005</v>
      </c>
      <c r="Y144">
        <f t="shared" si="149"/>
        <v>401.25</v>
      </c>
      <c r="AA144">
        <v>68990560</v>
      </c>
      <c r="AB144">
        <f t="shared" si="150"/>
        <v>1350.2</v>
      </c>
      <c r="AC144">
        <f t="shared" si="178"/>
        <v>411.88</v>
      </c>
      <c r="AD144">
        <f>ROUND(((((ET144*1.35))-((EU144*1.35)))+AE144),2)</f>
        <v>24.45</v>
      </c>
      <c r="AE144">
        <f>ROUND(((EU144*1.35)),2)</f>
        <v>3.39</v>
      </c>
      <c r="AF144">
        <f>ROUND(((EV144*1.35)),2)</f>
        <v>913.87</v>
      </c>
      <c r="AG144">
        <f t="shared" si="151"/>
        <v>0</v>
      </c>
      <c r="AH144">
        <f>((EW144*1.35))</f>
        <v>92.123999999999995</v>
      </c>
      <c r="AI144">
        <f>((EX144*1.35))</f>
        <v>0.27</v>
      </c>
      <c r="AJ144">
        <f t="shared" si="152"/>
        <v>0</v>
      </c>
      <c r="AK144">
        <v>1106.93</v>
      </c>
      <c r="AL144">
        <v>411.88</v>
      </c>
      <c r="AM144">
        <v>18.11</v>
      </c>
      <c r="AN144">
        <v>2.5099999999999998</v>
      </c>
      <c r="AO144">
        <v>676.94</v>
      </c>
      <c r="AP144">
        <v>0</v>
      </c>
      <c r="AQ144">
        <v>68.239999999999995</v>
      </c>
      <c r="AR144">
        <v>0.2</v>
      </c>
      <c r="AS144">
        <v>0</v>
      </c>
      <c r="AT144">
        <v>95</v>
      </c>
      <c r="AU144">
        <v>65</v>
      </c>
      <c r="AV144">
        <v>1</v>
      </c>
      <c r="AW144">
        <v>1</v>
      </c>
      <c r="AZ144">
        <v>1</v>
      </c>
      <c r="BA144">
        <v>33.65</v>
      </c>
      <c r="BB144">
        <v>10.220000000000001</v>
      </c>
      <c r="BC144">
        <v>6.27</v>
      </c>
      <c r="BD144" t="s">
        <v>3</v>
      </c>
      <c r="BE144" t="s">
        <v>3</v>
      </c>
      <c r="BF144" t="s">
        <v>3</v>
      </c>
      <c r="BG144" t="s">
        <v>3</v>
      </c>
      <c r="BH144">
        <v>0</v>
      </c>
      <c r="BI144">
        <v>2</v>
      </c>
      <c r="BJ144" t="s">
        <v>500</v>
      </c>
      <c r="BM144">
        <v>108001</v>
      </c>
      <c r="BN144">
        <v>0</v>
      </c>
      <c r="BO144" t="s">
        <v>498</v>
      </c>
      <c r="BP144">
        <v>1</v>
      </c>
      <c r="BQ144">
        <v>3</v>
      </c>
      <c r="BR144">
        <v>0</v>
      </c>
      <c r="BS144">
        <v>33.65</v>
      </c>
      <c r="BT144">
        <v>1</v>
      </c>
      <c r="BU144">
        <v>1</v>
      </c>
      <c r="BV144">
        <v>1</v>
      </c>
      <c r="BW144">
        <v>1</v>
      </c>
      <c r="BX144">
        <v>1</v>
      </c>
      <c r="BY144" t="s">
        <v>3</v>
      </c>
      <c r="BZ144">
        <v>95</v>
      </c>
      <c r="CA144">
        <v>65</v>
      </c>
      <c r="CE144">
        <v>0</v>
      </c>
      <c r="CF144">
        <v>0</v>
      </c>
      <c r="CG144">
        <v>0</v>
      </c>
      <c r="CM144">
        <v>0</v>
      </c>
      <c r="CN144" t="s">
        <v>1329</v>
      </c>
      <c r="CO144">
        <v>0</v>
      </c>
      <c r="CP144">
        <f t="shared" si="153"/>
        <v>671.68</v>
      </c>
      <c r="CQ144">
        <f t="shared" si="154"/>
        <v>2582.4875999999999</v>
      </c>
      <c r="CR144">
        <f t="shared" si="155"/>
        <v>249.87900000000002</v>
      </c>
      <c r="CS144">
        <f t="shared" si="156"/>
        <v>114.0735</v>
      </c>
      <c r="CT144">
        <f t="shared" si="157"/>
        <v>30751.7255</v>
      </c>
      <c r="CU144">
        <f t="shared" si="158"/>
        <v>0</v>
      </c>
      <c r="CV144">
        <f t="shared" si="159"/>
        <v>92.123999999999995</v>
      </c>
      <c r="CW144">
        <f t="shared" si="160"/>
        <v>0.27</v>
      </c>
      <c r="CX144">
        <f t="shared" si="161"/>
        <v>0</v>
      </c>
      <c r="CY144">
        <f t="shared" si="162"/>
        <v>586.44449999999995</v>
      </c>
      <c r="CZ144">
        <f t="shared" si="163"/>
        <v>401.25149999999996</v>
      </c>
      <c r="DC144" t="s">
        <v>3</v>
      </c>
      <c r="DD144" t="s">
        <v>3</v>
      </c>
      <c r="DE144" t="s">
        <v>200</v>
      </c>
      <c r="DF144" t="s">
        <v>200</v>
      </c>
      <c r="DG144" t="s">
        <v>200</v>
      </c>
      <c r="DH144" t="s">
        <v>3</v>
      </c>
      <c r="DI144" t="s">
        <v>200</v>
      </c>
      <c r="DJ144" t="s">
        <v>200</v>
      </c>
      <c r="DK144" t="s">
        <v>3</v>
      </c>
      <c r="DL144" t="s">
        <v>3</v>
      </c>
      <c r="DM144" t="s">
        <v>3</v>
      </c>
      <c r="DN144">
        <v>0</v>
      </c>
      <c r="DO144">
        <v>0</v>
      </c>
      <c r="DP144">
        <v>1</v>
      </c>
      <c r="DQ144">
        <v>1</v>
      </c>
      <c r="DU144">
        <v>1013</v>
      </c>
      <c r="DV144" t="s">
        <v>18</v>
      </c>
      <c r="DW144" t="s">
        <v>18</v>
      </c>
      <c r="DX144">
        <v>1</v>
      </c>
      <c r="DZ144" t="s">
        <v>3</v>
      </c>
      <c r="EA144" t="s">
        <v>3</v>
      </c>
      <c r="EB144" t="s">
        <v>3</v>
      </c>
      <c r="EC144" t="s">
        <v>3</v>
      </c>
      <c r="EE144">
        <v>64094909</v>
      </c>
      <c r="EF144">
        <v>3</v>
      </c>
      <c r="EG144" t="s">
        <v>22</v>
      </c>
      <c r="EH144">
        <v>0</v>
      </c>
      <c r="EI144" t="s">
        <v>3</v>
      </c>
      <c r="EJ144">
        <v>2</v>
      </c>
      <c r="EK144">
        <v>108001</v>
      </c>
      <c r="EL144" t="s">
        <v>23</v>
      </c>
      <c r="EM144" t="s">
        <v>24</v>
      </c>
      <c r="EO144" t="s">
        <v>42</v>
      </c>
      <c r="EQ144">
        <v>0</v>
      </c>
      <c r="ER144">
        <v>1106.93</v>
      </c>
      <c r="ES144">
        <v>411.88</v>
      </c>
      <c r="ET144">
        <v>18.11</v>
      </c>
      <c r="EU144">
        <v>2.5099999999999998</v>
      </c>
      <c r="EV144">
        <v>676.94</v>
      </c>
      <c r="EW144">
        <v>68.239999999999995</v>
      </c>
      <c r="EX144">
        <v>0.2</v>
      </c>
      <c r="EY144">
        <v>0</v>
      </c>
      <c r="FQ144">
        <v>0</v>
      </c>
      <c r="FR144">
        <f t="shared" si="164"/>
        <v>0</v>
      </c>
      <c r="FS144">
        <v>0</v>
      </c>
      <c r="FX144">
        <v>95</v>
      </c>
      <c r="FY144">
        <v>65</v>
      </c>
      <c r="GA144" t="s">
        <v>3</v>
      </c>
      <c r="GD144">
        <v>1</v>
      </c>
      <c r="GF144">
        <v>1777044771</v>
      </c>
      <c r="GG144">
        <v>2</v>
      </c>
      <c r="GH144">
        <v>1</v>
      </c>
      <c r="GI144">
        <v>2</v>
      </c>
      <c r="GJ144">
        <v>0</v>
      </c>
      <c r="GK144">
        <v>0</v>
      </c>
      <c r="GL144">
        <f t="shared" si="165"/>
        <v>0</v>
      </c>
      <c r="GM144">
        <f t="shared" si="166"/>
        <v>1659.37</v>
      </c>
      <c r="GN144">
        <f t="shared" si="167"/>
        <v>0</v>
      </c>
      <c r="GO144">
        <f t="shared" si="168"/>
        <v>1659.37</v>
      </c>
      <c r="GP144">
        <f t="shared" si="169"/>
        <v>0</v>
      </c>
      <c r="GR144">
        <v>0</v>
      </c>
      <c r="GS144">
        <v>3</v>
      </c>
      <c r="GT144">
        <v>0</v>
      </c>
      <c r="GU144" t="s">
        <v>3</v>
      </c>
      <c r="GV144">
        <f t="shared" si="170"/>
        <v>0</v>
      </c>
      <c r="GW144">
        <v>1</v>
      </c>
      <c r="GX144">
        <f t="shared" si="171"/>
        <v>0</v>
      </c>
      <c r="HA144">
        <v>0</v>
      </c>
      <c r="HB144">
        <v>0</v>
      </c>
      <c r="HC144">
        <f t="shared" si="172"/>
        <v>0</v>
      </c>
      <c r="HE144" t="s">
        <v>3</v>
      </c>
      <c r="HF144" t="s">
        <v>3</v>
      </c>
      <c r="IK144">
        <v>0</v>
      </c>
    </row>
    <row r="145" spans="1:245" x14ac:dyDescent="0.2">
      <c r="A145">
        <v>18</v>
      </c>
      <c r="B145">
        <v>1</v>
      </c>
      <c r="C145">
        <v>406</v>
      </c>
      <c r="E145" t="s">
        <v>501</v>
      </c>
      <c r="F145" t="s">
        <v>502</v>
      </c>
      <c r="G145" t="s">
        <v>1340</v>
      </c>
      <c r="H145" t="s">
        <v>29</v>
      </c>
      <c r="I145">
        <f>I144*J145</f>
        <v>2</v>
      </c>
      <c r="J145">
        <v>100</v>
      </c>
      <c r="O145">
        <f t="shared" si="139"/>
        <v>1897.69</v>
      </c>
      <c r="P145">
        <f t="shared" si="140"/>
        <v>1897.69</v>
      </c>
      <c r="Q145">
        <f t="shared" si="141"/>
        <v>0</v>
      </c>
      <c r="R145">
        <f t="shared" si="142"/>
        <v>0</v>
      </c>
      <c r="S145">
        <f t="shared" si="143"/>
        <v>0</v>
      </c>
      <c r="T145">
        <f t="shared" si="144"/>
        <v>0</v>
      </c>
      <c r="U145">
        <f t="shared" si="145"/>
        <v>0</v>
      </c>
      <c r="V145">
        <f t="shared" si="146"/>
        <v>0</v>
      </c>
      <c r="W145">
        <f t="shared" si="147"/>
        <v>0</v>
      </c>
      <c r="X145">
        <f t="shared" si="148"/>
        <v>0</v>
      </c>
      <c r="Y145">
        <f t="shared" si="149"/>
        <v>0</v>
      </c>
      <c r="AA145">
        <v>68990560</v>
      </c>
      <c r="AB145">
        <f t="shared" si="150"/>
        <v>219.64</v>
      </c>
      <c r="AC145">
        <f t="shared" si="178"/>
        <v>219.64</v>
      </c>
      <c r="AD145">
        <f>ROUND((((ET145)-(EU145))+AE145),2)</f>
        <v>0</v>
      </c>
      <c r="AE145">
        <f>ROUND((EU145),2)</f>
        <v>0</v>
      </c>
      <c r="AF145">
        <f>ROUND((EV145),2)</f>
        <v>0</v>
      </c>
      <c r="AG145">
        <f t="shared" si="151"/>
        <v>0</v>
      </c>
      <c r="AH145">
        <f>(EW145)</f>
        <v>0</v>
      </c>
      <c r="AI145">
        <f>(EX145)</f>
        <v>0</v>
      </c>
      <c r="AJ145">
        <f t="shared" si="152"/>
        <v>0</v>
      </c>
      <c r="AK145">
        <v>219.64</v>
      </c>
      <c r="AL145">
        <v>219.64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95</v>
      </c>
      <c r="AU145">
        <v>65</v>
      </c>
      <c r="AV145">
        <v>1</v>
      </c>
      <c r="AW145">
        <v>1</v>
      </c>
      <c r="AZ145">
        <v>1</v>
      </c>
      <c r="BA145">
        <v>1</v>
      </c>
      <c r="BB145">
        <v>1</v>
      </c>
      <c r="BC145">
        <v>4.32</v>
      </c>
      <c r="BD145" t="s">
        <v>3</v>
      </c>
      <c r="BE145" t="s">
        <v>3</v>
      </c>
      <c r="BF145" t="s">
        <v>3</v>
      </c>
      <c r="BG145" t="s">
        <v>3</v>
      </c>
      <c r="BH145">
        <v>3</v>
      </c>
      <c r="BI145">
        <v>2</v>
      </c>
      <c r="BJ145" t="s">
        <v>503</v>
      </c>
      <c r="BM145">
        <v>108001</v>
      </c>
      <c r="BN145">
        <v>0</v>
      </c>
      <c r="BO145" t="s">
        <v>502</v>
      </c>
      <c r="BP145">
        <v>1</v>
      </c>
      <c r="BQ145">
        <v>3</v>
      </c>
      <c r="BR145">
        <v>0</v>
      </c>
      <c r="BS145">
        <v>1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3</v>
      </c>
      <c r="BZ145">
        <v>95</v>
      </c>
      <c r="CA145">
        <v>65</v>
      </c>
      <c r="CE145">
        <v>0</v>
      </c>
      <c r="CF145">
        <v>0</v>
      </c>
      <c r="CG145">
        <v>0</v>
      </c>
      <c r="CM145">
        <v>0</v>
      </c>
      <c r="CN145" t="s">
        <v>3</v>
      </c>
      <c r="CO145">
        <v>0</v>
      </c>
      <c r="CP145">
        <f t="shared" si="153"/>
        <v>1897.69</v>
      </c>
      <c r="CQ145">
        <f t="shared" si="154"/>
        <v>948.84479999999996</v>
      </c>
      <c r="CR145">
        <f t="shared" si="155"/>
        <v>0</v>
      </c>
      <c r="CS145">
        <f t="shared" si="156"/>
        <v>0</v>
      </c>
      <c r="CT145">
        <f t="shared" si="157"/>
        <v>0</v>
      </c>
      <c r="CU145">
        <f t="shared" si="158"/>
        <v>0</v>
      </c>
      <c r="CV145">
        <f t="shared" si="159"/>
        <v>0</v>
      </c>
      <c r="CW145">
        <f t="shared" si="160"/>
        <v>0</v>
      </c>
      <c r="CX145">
        <f t="shared" si="161"/>
        <v>0</v>
      </c>
      <c r="CY145">
        <f t="shared" si="162"/>
        <v>0</v>
      </c>
      <c r="CZ145">
        <f t="shared" si="163"/>
        <v>0</v>
      </c>
      <c r="DC145" t="s">
        <v>3</v>
      </c>
      <c r="DD145" t="s">
        <v>3</v>
      </c>
      <c r="DE145" t="s">
        <v>3</v>
      </c>
      <c r="DF145" t="s">
        <v>3</v>
      </c>
      <c r="DG145" t="s">
        <v>3</v>
      </c>
      <c r="DH145" t="s">
        <v>3</v>
      </c>
      <c r="DI145" t="s">
        <v>3</v>
      </c>
      <c r="DJ145" t="s">
        <v>3</v>
      </c>
      <c r="DK145" t="s">
        <v>3</v>
      </c>
      <c r="DL145" t="s">
        <v>3</v>
      </c>
      <c r="DM145" t="s">
        <v>3</v>
      </c>
      <c r="DN145">
        <v>0</v>
      </c>
      <c r="DO145">
        <v>0</v>
      </c>
      <c r="DP145">
        <v>1</v>
      </c>
      <c r="DQ145">
        <v>1</v>
      </c>
      <c r="DU145">
        <v>1013</v>
      </c>
      <c r="DV145" t="s">
        <v>29</v>
      </c>
      <c r="DW145" t="s">
        <v>29</v>
      </c>
      <c r="DX145">
        <v>1</v>
      </c>
      <c r="DZ145" t="s">
        <v>3</v>
      </c>
      <c r="EA145" t="s">
        <v>3</v>
      </c>
      <c r="EB145" t="s">
        <v>3</v>
      </c>
      <c r="EC145" t="s">
        <v>3</v>
      </c>
      <c r="EE145">
        <v>64094909</v>
      </c>
      <c r="EF145">
        <v>3</v>
      </c>
      <c r="EG145" t="s">
        <v>22</v>
      </c>
      <c r="EH145">
        <v>0</v>
      </c>
      <c r="EI145" t="s">
        <v>3</v>
      </c>
      <c r="EJ145">
        <v>2</v>
      </c>
      <c r="EK145">
        <v>108001</v>
      </c>
      <c r="EL145" t="s">
        <v>23</v>
      </c>
      <c r="EM145" t="s">
        <v>24</v>
      </c>
      <c r="EO145" t="s">
        <v>3</v>
      </c>
      <c r="EQ145">
        <v>0</v>
      </c>
      <c r="ER145">
        <v>219.64</v>
      </c>
      <c r="ES145">
        <v>219.64</v>
      </c>
      <c r="ET145">
        <v>0</v>
      </c>
      <c r="EU145">
        <v>0</v>
      </c>
      <c r="EV145">
        <v>0</v>
      </c>
      <c r="EW145">
        <v>0</v>
      </c>
      <c r="EX145">
        <v>0</v>
      </c>
      <c r="FQ145">
        <v>0</v>
      </c>
      <c r="FR145">
        <f t="shared" si="164"/>
        <v>0</v>
      </c>
      <c r="FS145">
        <v>0</v>
      </c>
      <c r="FX145">
        <v>95</v>
      </c>
      <c r="FY145">
        <v>65</v>
      </c>
      <c r="GA145" t="s">
        <v>3</v>
      </c>
      <c r="GD145">
        <v>1</v>
      </c>
      <c r="GF145">
        <v>-420310183</v>
      </c>
      <c r="GG145">
        <v>2</v>
      </c>
      <c r="GH145">
        <v>1</v>
      </c>
      <c r="GI145">
        <v>2</v>
      </c>
      <c r="GJ145">
        <v>0</v>
      </c>
      <c r="GK145">
        <v>0</v>
      </c>
      <c r="GL145">
        <f t="shared" si="165"/>
        <v>0</v>
      </c>
      <c r="GM145">
        <f t="shared" si="166"/>
        <v>1897.69</v>
      </c>
      <c r="GN145">
        <f t="shared" si="167"/>
        <v>0</v>
      </c>
      <c r="GO145">
        <f t="shared" si="168"/>
        <v>1897.69</v>
      </c>
      <c r="GP145">
        <f t="shared" si="169"/>
        <v>0</v>
      </c>
      <c r="GR145">
        <v>0</v>
      </c>
      <c r="GS145">
        <v>3</v>
      </c>
      <c r="GT145">
        <v>0</v>
      </c>
      <c r="GU145" t="s">
        <v>3</v>
      </c>
      <c r="GV145">
        <f t="shared" si="170"/>
        <v>0</v>
      </c>
      <c r="GW145">
        <v>1</v>
      </c>
      <c r="GX145">
        <f t="shared" si="171"/>
        <v>0</v>
      </c>
      <c r="HA145">
        <v>0</v>
      </c>
      <c r="HB145">
        <v>0</v>
      </c>
      <c r="HC145">
        <f t="shared" si="172"/>
        <v>0</v>
      </c>
      <c r="HE145" t="s">
        <v>3</v>
      </c>
      <c r="HF145" t="s">
        <v>3</v>
      </c>
      <c r="IK145">
        <v>0</v>
      </c>
    </row>
    <row r="146" spans="1:245" x14ac:dyDescent="0.2">
      <c r="A146">
        <v>17</v>
      </c>
      <c r="B146">
        <v>1</v>
      </c>
      <c r="C146">
        <f>ROW(SmtRes!A415)</f>
        <v>415</v>
      </c>
      <c r="D146">
        <f>ROW(EtalonRes!A407)</f>
        <v>407</v>
      </c>
      <c r="E146" t="s">
        <v>504</v>
      </c>
      <c r="F146" t="s">
        <v>16</v>
      </c>
      <c r="G146" t="s">
        <v>505</v>
      </c>
      <c r="H146" t="s">
        <v>18</v>
      </c>
      <c r="I146">
        <f>ROUND(1/100,5)</f>
        <v>0.01</v>
      </c>
      <c r="J146">
        <v>0</v>
      </c>
      <c r="O146">
        <f t="shared" si="139"/>
        <v>390.82</v>
      </c>
      <c r="P146">
        <f t="shared" si="140"/>
        <v>31.8</v>
      </c>
      <c r="Q146">
        <f t="shared" si="141"/>
        <v>5</v>
      </c>
      <c r="R146">
        <f t="shared" si="142"/>
        <v>2.2799999999999998</v>
      </c>
      <c r="S146">
        <f t="shared" si="143"/>
        <v>354.02</v>
      </c>
      <c r="T146">
        <f t="shared" si="144"/>
        <v>0</v>
      </c>
      <c r="U146">
        <f t="shared" si="145"/>
        <v>1.0605600000000002</v>
      </c>
      <c r="V146">
        <f t="shared" si="146"/>
        <v>5.4000000000000003E-3</v>
      </c>
      <c r="W146">
        <f t="shared" si="147"/>
        <v>0</v>
      </c>
      <c r="X146">
        <f t="shared" si="148"/>
        <v>338.49</v>
      </c>
      <c r="Y146">
        <f t="shared" si="149"/>
        <v>231.6</v>
      </c>
      <c r="AA146">
        <v>68990560</v>
      </c>
      <c r="AB146">
        <f t="shared" si="150"/>
        <v>1621.38</v>
      </c>
      <c r="AC146">
        <f t="shared" si="178"/>
        <v>520.4</v>
      </c>
      <c r="AD146">
        <f>ROUND(((((ET146*1.35))-((EU146*1.35)))+AE146),2)</f>
        <v>48.9</v>
      </c>
      <c r="AE146">
        <f>ROUND(((EU146*1.35)),2)</f>
        <v>6.78</v>
      </c>
      <c r="AF146">
        <f>ROUND(((EV146*1.35)),2)</f>
        <v>1052.08</v>
      </c>
      <c r="AG146">
        <f t="shared" si="151"/>
        <v>0</v>
      </c>
      <c r="AH146">
        <f>((EW146*1.35))</f>
        <v>106.05600000000001</v>
      </c>
      <c r="AI146">
        <f>((EX146*1.35))</f>
        <v>0.54</v>
      </c>
      <c r="AJ146">
        <f t="shared" si="152"/>
        <v>0</v>
      </c>
      <c r="AK146">
        <v>1335.94</v>
      </c>
      <c r="AL146">
        <v>520.4</v>
      </c>
      <c r="AM146">
        <v>36.22</v>
      </c>
      <c r="AN146">
        <v>5.0199999999999996</v>
      </c>
      <c r="AO146">
        <v>779.32</v>
      </c>
      <c r="AP146">
        <v>0</v>
      </c>
      <c r="AQ146">
        <v>78.56</v>
      </c>
      <c r="AR146">
        <v>0.4</v>
      </c>
      <c r="AS146">
        <v>0</v>
      </c>
      <c r="AT146">
        <v>95</v>
      </c>
      <c r="AU146">
        <v>65</v>
      </c>
      <c r="AV146">
        <v>1</v>
      </c>
      <c r="AW146">
        <v>1</v>
      </c>
      <c r="AZ146">
        <v>1</v>
      </c>
      <c r="BA146">
        <v>33.65</v>
      </c>
      <c r="BB146">
        <v>10.220000000000001</v>
      </c>
      <c r="BC146">
        <v>6.11</v>
      </c>
      <c r="BD146" t="s">
        <v>3</v>
      </c>
      <c r="BE146" t="s">
        <v>3</v>
      </c>
      <c r="BF146" t="s">
        <v>3</v>
      </c>
      <c r="BG146" t="s">
        <v>3</v>
      </c>
      <c r="BH146">
        <v>0</v>
      </c>
      <c r="BI146">
        <v>2</v>
      </c>
      <c r="BJ146" t="s">
        <v>19</v>
      </c>
      <c r="BM146">
        <v>108001</v>
      </c>
      <c r="BN146">
        <v>0</v>
      </c>
      <c r="BO146" t="s">
        <v>16</v>
      </c>
      <c r="BP146">
        <v>1</v>
      </c>
      <c r="BQ146">
        <v>3</v>
      </c>
      <c r="BR146">
        <v>0</v>
      </c>
      <c r="BS146">
        <v>33.65</v>
      </c>
      <c r="BT146">
        <v>1</v>
      </c>
      <c r="BU146">
        <v>1</v>
      </c>
      <c r="BV146">
        <v>1</v>
      </c>
      <c r="BW146">
        <v>1</v>
      </c>
      <c r="BX146">
        <v>1</v>
      </c>
      <c r="BY146" t="s">
        <v>3</v>
      </c>
      <c r="BZ146">
        <v>95</v>
      </c>
      <c r="CA146">
        <v>65</v>
      </c>
      <c r="CE146">
        <v>0</v>
      </c>
      <c r="CF146">
        <v>0</v>
      </c>
      <c r="CG146">
        <v>0</v>
      </c>
      <c r="CM146">
        <v>0</v>
      </c>
      <c r="CN146" t="s">
        <v>1329</v>
      </c>
      <c r="CO146">
        <v>0</v>
      </c>
      <c r="CP146">
        <f t="shared" si="153"/>
        <v>390.82</v>
      </c>
      <c r="CQ146">
        <f t="shared" si="154"/>
        <v>3179.6440000000002</v>
      </c>
      <c r="CR146">
        <f t="shared" si="155"/>
        <v>499.75800000000004</v>
      </c>
      <c r="CS146">
        <f t="shared" si="156"/>
        <v>228.14699999999999</v>
      </c>
      <c r="CT146">
        <f t="shared" si="157"/>
        <v>35402.491999999998</v>
      </c>
      <c r="CU146">
        <f t="shared" si="158"/>
        <v>0</v>
      </c>
      <c r="CV146">
        <f t="shared" si="159"/>
        <v>106.05600000000001</v>
      </c>
      <c r="CW146">
        <f t="shared" si="160"/>
        <v>0.54</v>
      </c>
      <c r="CX146">
        <f t="shared" si="161"/>
        <v>0</v>
      </c>
      <c r="CY146">
        <f t="shared" si="162"/>
        <v>338.4849999999999</v>
      </c>
      <c r="CZ146">
        <f t="shared" si="163"/>
        <v>231.59499999999997</v>
      </c>
      <c r="DC146" t="s">
        <v>3</v>
      </c>
      <c r="DD146" t="s">
        <v>3</v>
      </c>
      <c r="DE146" t="s">
        <v>200</v>
      </c>
      <c r="DF146" t="s">
        <v>200</v>
      </c>
      <c r="DG146" t="s">
        <v>200</v>
      </c>
      <c r="DH146" t="s">
        <v>3</v>
      </c>
      <c r="DI146" t="s">
        <v>200</v>
      </c>
      <c r="DJ146" t="s">
        <v>200</v>
      </c>
      <c r="DK146" t="s">
        <v>3</v>
      </c>
      <c r="DL146" t="s">
        <v>3</v>
      </c>
      <c r="DM146" t="s">
        <v>3</v>
      </c>
      <c r="DN146">
        <v>0</v>
      </c>
      <c r="DO146">
        <v>0</v>
      </c>
      <c r="DP146">
        <v>1</v>
      </c>
      <c r="DQ146">
        <v>1</v>
      </c>
      <c r="DU146">
        <v>1013</v>
      </c>
      <c r="DV146" t="s">
        <v>18</v>
      </c>
      <c r="DW146" t="s">
        <v>18</v>
      </c>
      <c r="DX146">
        <v>1</v>
      </c>
      <c r="DZ146" t="s">
        <v>3</v>
      </c>
      <c r="EA146" t="s">
        <v>3</v>
      </c>
      <c r="EB146" t="s">
        <v>3</v>
      </c>
      <c r="EC146" t="s">
        <v>3</v>
      </c>
      <c r="EE146">
        <v>64094909</v>
      </c>
      <c r="EF146">
        <v>3</v>
      </c>
      <c r="EG146" t="s">
        <v>22</v>
      </c>
      <c r="EH146">
        <v>0</v>
      </c>
      <c r="EI146" t="s">
        <v>3</v>
      </c>
      <c r="EJ146">
        <v>2</v>
      </c>
      <c r="EK146">
        <v>108001</v>
      </c>
      <c r="EL146" t="s">
        <v>23</v>
      </c>
      <c r="EM146" t="s">
        <v>24</v>
      </c>
      <c r="EO146" t="s">
        <v>42</v>
      </c>
      <c r="EQ146">
        <v>0</v>
      </c>
      <c r="ER146">
        <v>1335.94</v>
      </c>
      <c r="ES146">
        <v>520.4</v>
      </c>
      <c r="ET146">
        <v>36.22</v>
      </c>
      <c r="EU146">
        <v>5.0199999999999996</v>
      </c>
      <c r="EV146">
        <v>779.32</v>
      </c>
      <c r="EW146">
        <v>78.56</v>
      </c>
      <c r="EX146">
        <v>0.4</v>
      </c>
      <c r="EY146">
        <v>0</v>
      </c>
      <c r="FQ146">
        <v>0</v>
      </c>
      <c r="FR146">
        <f t="shared" si="164"/>
        <v>0</v>
      </c>
      <c r="FS146">
        <v>0</v>
      </c>
      <c r="FX146">
        <v>95</v>
      </c>
      <c r="FY146">
        <v>65</v>
      </c>
      <c r="GA146" t="s">
        <v>3</v>
      </c>
      <c r="GD146">
        <v>1</v>
      </c>
      <c r="GF146">
        <v>737526946</v>
      </c>
      <c r="GG146">
        <v>2</v>
      </c>
      <c r="GH146">
        <v>1</v>
      </c>
      <c r="GI146">
        <v>2</v>
      </c>
      <c r="GJ146">
        <v>0</v>
      </c>
      <c r="GK146">
        <v>0</v>
      </c>
      <c r="GL146">
        <f t="shared" si="165"/>
        <v>0</v>
      </c>
      <c r="GM146">
        <f t="shared" si="166"/>
        <v>960.91</v>
      </c>
      <c r="GN146">
        <f t="shared" si="167"/>
        <v>0</v>
      </c>
      <c r="GO146">
        <f t="shared" si="168"/>
        <v>960.91</v>
      </c>
      <c r="GP146">
        <f t="shared" si="169"/>
        <v>0</v>
      </c>
      <c r="GR146">
        <v>0</v>
      </c>
      <c r="GS146">
        <v>3</v>
      </c>
      <c r="GT146">
        <v>0</v>
      </c>
      <c r="GU146" t="s">
        <v>3</v>
      </c>
      <c r="GV146">
        <f t="shared" si="170"/>
        <v>0</v>
      </c>
      <c r="GW146">
        <v>1</v>
      </c>
      <c r="GX146">
        <f t="shared" si="171"/>
        <v>0</v>
      </c>
      <c r="HA146">
        <v>0</v>
      </c>
      <c r="HB146">
        <v>0</v>
      </c>
      <c r="HC146">
        <f t="shared" si="172"/>
        <v>0</v>
      </c>
      <c r="HE146" t="s">
        <v>3</v>
      </c>
      <c r="HF146" t="s">
        <v>3</v>
      </c>
      <c r="IK146">
        <v>0</v>
      </c>
    </row>
    <row r="147" spans="1:245" x14ac:dyDescent="0.2">
      <c r="A147">
        <v>17</v>
      </c>
      <c r="B147">
        <v>1</v>
      </c>
      <c r="C147">
        <f>ROW(SmtRes!A422)</f>
        <v>422</v>
      </c>
      <c r="D147">
        <f>ROW(EtalonRes!A414)</f>
        <v>414</v>
      </c>
      <c r="E147" t="s">
        <v>506</v>
      </c>
      <c r="F147" t="s">
        <v>27</v>
      </c>
      <c r="G147" t="s">
        <v>507</v>
      </c>
      <c r="H147" t="s">
        <v>29</v>
      </c>
      <c r="I147">
        <f>ROUND(3,5)</f>
        <v>3</v>
      </c>
      <c r="J147">
        <v>0</v>
      </c>
      <c r="O147">
        <f t="shared" si="139"/>
        <v>1149.3599999999999</v>
      </c>
      <c r="P147">
        <f t="shared" si="140"/>
        <v>48</v>
      </c>
      <c r="Q147">
        <f t="shared" si="141"/>
        <v>0</v>
      </c>
      <c r="R147">
        <f t="shared" si="142"/>
        <v>0</v>
      </c>
      <c r="S147">
        <f t="shared" si="143"/>
        <v>1101.3599999999999</v>
      </c>
      <c r="T147">
        <f t="shared" si="144"/>
        <v>0</v>
      </c>
      <c r="U147">
        <f t="shared" si="145"/>
        <v>3.4020000000000001</v>
      </c>
      <c r="V147">
        <f t="shared" si="146"/>
        <v>0</v>
      </c>
      <c r="W147">
        <f t="shared" si="147"/>
        <v>0</v>
      </c>
      <c r="X147">
        <f t="shared" si="148"/>
        <v>881.09</v>
      </c>
      <c r="Y147">
        <f t="shared" si="149"/>
        <v>660.82</v>
      </c>
      <c r="AA147">
        <v>68990560</v>
      </c>
      <c r="AB147">
        <f t="shared" si="150"/>
        <v>12.79</v>
      </c>
      <c r="AC147">
        <f t="shared" si="178"/>
        <v>1.88</v>
      </c>
      <c r="AD147">
        <f>ROUND(((((ET147*1.35))-((EU147*1.35)))+AE147),2)</f>
        <v>0</v>
      </c>
      <c r="AE147">
        <f>ROUND(((EU147*1.35)),2)</f>
        <v>0</v>
      </c>
      <c r="AF147">
        <f>ROUND(((EV147*1.35)),2)</f>
        <v>10.91</v>
      </c>
      <c r="AG147">
        <f t="shared" si="151"/>
        <v>0</v>
      </c>
      <c r="AH147">
        <f>((EW147*1.35))</f>
        <v>1.1340000000000001</v>
      </c>
      <c r="AI147">
        <f>((EX147*1.35))</f>
        <v>0</v>
      </c>
      <c r="AJ147">
        <f t="shared" si="152"/>
        <v>0</v>
      </c>
      <c r="AK147">
        <v>9.9600000000000009</v>
      </c>
      <c r="AL147">
        <v>1.88</v>
      </c>
      <c r="AM147">
        <v>0</v>
      </c>
      <c r="AN147">
        <v>0</v>
      </c>
      <c r="AO147">
        <v>8.08</v>
      </c>
      <c r="AP147">
        <v>0</v>
      </c>
      <c r="AQ147">
        <v>0.84</v>
      </c>
      <c r="AR147">
        <v>0</v>
      </c>
      <c r="AS147">
        <v>0</v>
      </c>
      <c r="AT147">
        <v>80</v>
      </c>
      <c r="AU147">
        <v>60</v>
      </c>
      <c r="AV147">
        <v>1</v>
      </c>
      <c r="AW147">
        <v>1</v>
      </c>
      <c r="AZ147">
        <v>1</v>
      </c>
      <c r="BA147">
        <v>33.65</v>
      </c>
      <c r="BB147">
        <v>1</v>
      </c>
      <c r="BC147">
        <v>8.51</v>
      </c>
      <c r="BD147" t="s">
        <v>3</v>
      </c>
      <c r="BE147" t="s">
        <v>3</v>
      </c>
      <c r="BF147" t="s">
        <v>3</v>
      </c>
      <c r="BG147" t="s">
        <v>3</v>
      </c>
      <c r="BH147">
        <v>0</v>
      </c>
      <c r="BI147">
        <v>2</v>
      </c>
      <c r="BJ147" t="s">
        <v>30</v>
      </c>
      <c r="BM147">
        <v>110011</v>
      </c>
      <c r="BN147">
        <v>0</v>
      </c>
      <c r="BO147" t="s">
        <v>27</v>
      </c>
      <c r="BP147">
        <v>1</v>
      </c>
      <c r="BQ147">
        <v>3</v>
      </c>
      <c r="BR147">
        <v>0</v>
      </c>
      <c r="BS147">
        <v>33.65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3</v>
      </c>
      <c r="BZ147">
        <v>80</v>
      </c>
      <c r="CA147">
        <v>60</v>
      </c>
      <c r="CE147">
        <v>0</v>
      </c>
      <c r="CF147">
        <v>0</v>
      </c>
      <c r="CG147">
        <v>0</v>
      </c>
      <c r="CM147">
        <v>0</v>
      </c>
      <c r="CN147" t="s">
        <v>1329</v>
      </c>
      <c r="CO147">
        <v>0</v>
      </c>
      <c r="CP147">
        <f t="shared" si="153"/>
        <v>1149.3599999999999</v>
      </c>
      <c r="CQ147">
        <f t="shared" si="154"/>
        <v>15.998799999999999</v>
      </c>
      <c r="CR147">
        <f t="shared" si="155"/>
        <v>0</v>
      </c>
      <c r="CS147">
        <f t="shared" si="156"/>
        <v>0</v>
      </c>
      <c r="CT147">
        <f t="shared" si="157"/>
        <v>367.12149999999997</v>
      </c>
      <c r="CU147">
        <f t="shared" si="158"/>
        <v>0</v>
      </c>
      <c r="CV147">
        <f t="shared" si="159"/>
        <v>1.1340000000000001</v>
      </c>
      <c r="CW147">
        <f t="shared" si="160"/>
        <v>0</v>
      </c>
      <c r="CX147">
        <f t="shared" si="161"/>
        <v>0</v>
      </c>
      <c r="CY147">
        <f t="shared" si="162"/>
        <v>881.08799999999985</v>
      </c>
      <c r="CZ147">
        <f t="shared" si="163"/>
        <v>660.81599999999992</v>
      </c>
      <c r="DC147" t="s">
        <v>3</v>
      </c>
      <c r="DD147" t="s">
        <v>3</v>
      </c>
      <c r="DE147" t="s">
        <v>200</v>
      </c>
      <c r="DF147" t="s">
        <v>200</v>
      </c>
      <c r="DG147" t="s">
        <v>200</v>
      </c>
      <c r="DH147" t="s">
        <v>3</v>
      </c>
      <c r="DI147" t="s">
        <v>200</v>
      </c>
      <c r="DJ147" t="s">
        <v>200</v>
      </c>
      <c r="DK147" t="s">
        <v>3</v>
      </c>
      <c r="DL147" t="s">
        <v>3</v>
      </c>
      <c r="DM147" t="s">
        <v>3</v>
      </c>
      <c r="DN147">
        <v>0</v>
      </c>
      <c r="DO147">
        <v>0</v>
      </c>
      <c r="DP147">
        <v>1</v>
      </c>
      <c r="DQ147">
        <v>1</v>
      </c>
      <c r="DU147">
        <v>1013</v>
      </c>
      <c r="DV147" t="s">
        <v>29</v>
      </c>
      <c r="DW147" t="s">
        <v>29</v>
      </c>
      <c r="DX147">
        <v>1</v>
      </c>
      <c r="DZ147" t="s">
        <v>3</v>
      </c>
      <c r="EA147" t="s">
        <v>3</v>
      </c>
      <c r="EB147" t="s">
        <v>3</v>
      </c>
      <c r="EC147" t="s">
        <v>3</v>
      </c>
      <c r="EE147">
        <v>64094956</v>
      </c>
      <c r="EF147">
        <v>3</v>
      </c>
      <c r="EG147" t="s">
        <v>22</v>
      </c>
      <c r="EH147">
        <v>0</v>
      </c>
      <c r="EI147" t="s">
        <v>3</v>
      </c>
      <c r="EJ147">
        <v>2</v>
      </c>
      <c r="EK147">
        <v>110011</v>
      </c>
      <c r="EL147" t="s">
        <v>31</v>
      </c>
      <c r="EM147" t="s">
        <v>32</v>
      </c>
      <c r="EO147" t="s">
        <v>42</v>
      </c>
      <c r="EQ147">
        <v>0</v>
      </c>
      <c r="ER147">
        <v>9.9600000000000009</v>
      </c>
      <c r="ES147">
        <v>1.88</v>
      </c>
      <c r="ET147">
        <v>0</v>
      </c>
      <c r="EU147">
        <v>0</v>
      </c>
      <c r="EV147">
        <v>8.08</v>
      </c>
      <c r="EW147">
        <v>0.84</v>
      </c>
      <c r="EX147">
        <v>0</v>
      </c>
      <c r="EY147">
        <v>0</v>
      </c>
      <c r="FQ147">
        <v>0</v>
      </c>
      <c r="FR147">
        <f t="shared" si="164"/>
        <v>0</v>
      </c>
      <c r="FS147">
        <v>0</v>
      </c>
      <c r="FX147">
        <v>80</v>
      </c>
      <c r="FY147">
        <v>60</v>
      </c>
      <c r="GA147" t="s">
        <v>3</v>
      </c>
      <c r="GD147">
        <v>1</v>
      </c>
      <c r="GF147">
        <v>-179552612</v>
      </c>
      <c r="GG147">
        <v>2</v>
      </c>
      <c r="GH147">
        <v>1</v>
      </c>
      <c r="GI147">
        <v>2</v>
      </c>
      <c r="GJ147">
        <v>0</v>
      </c>
      <c r="GK147">
        <v>0</v>
      </c>
      <c r="GL147">
        <f t="shared" si="165"/>
        <v>0</v>
      </c>
      <c r="GM147">
        <f t="shared" si="166"/>
        <v>2691.27</v>
      </c>
      <c r="GN147">
        <f t="shared" si="167"/>
        <v>0</v>
      </c>
      <c r="GO147">
        <f t="shared" si="168"/>
        <v>2691.27</v>
      </c>
      <c r="GP147">
        <f t="shared" si="169"/>
        <v>0</v>
      </c>
      <c r="GR147">
        <v>0</v>
      </c>
      <c r="GS147">
        <v>3</v>
      </c>
      <c r="GT147">
        <v>0</v>
      </c>
      <c r="GU147" t="s">
        <v>3</v>
      </c>
      <c r="GV147">
        <f t="shared" si="170"/>
        <v>0</v>
      </c>
      <c r="GW147">
        <v>1</v>
      </c>
      <c r="GX147">
        <f t="shared" si="171"/>
        <v>0</v>
      </c>
      <c r="HA147">
        <v>0</v>
      </c>
      <c r="HB147">
        <v>0</v>
      </c>
      <c r="HC147">
        <f t="shared" si="172"/>
        <v>0</v>
      </c>
      <c r="HE147" t="s">
        <v>3</v>
      </c>
      <c r="HF147" t="s">
        <v>3</v>
      </c>
      <c r="IK147">
        <v>0</v>
      </c>
    </row>
    <row r="148" spans="1:245" x14ac:dyDescent="0.2">
      <c r="A148">
        <v>17</v>
      </c>
      <c r="B148">
        <v>1</v>
      </c>
      <c r="C148">
        <f>ROW(SmtRes!A444)</f>
        <v>444</v>
      </c>
      <c r="D148">
        <f>ROW(EtalonRes!A437)</f>
        <v>437</v>
      </c>
      <c r="E148" t="s">
        <v>508</v>
      </c>
      <c r="F148" t="s">
        <v>128</v>
      </c>
      <c r="G148" t="s">
        <v>509</v>
      </c>
      <c r="H148" t="s">
        <v>71</v>
      </c>
      <c r="I148">
        <f>ROUND(0.007,5)</f>
        <v>7.0000000000000001E-3</v>
      </c>
      <c r="J148">
        <v>0</v>
      </c>
      <c r="O148">
        <f t="shared" ref="O148:O181" si="179">ROUND(CP148,2)</f>
        <v>115.99</v>
      </c>
      <c r="P148">
        <f t="shared" ref="P148:P181" si="180">ROUND(CQ148*I148,2)</f>
        <v>31.85</v>
      </c>
      <c r="Q148">
        <f t="shared" ref="Q148:Q181" si="181">ROUND(CR148*I148,2)</f>
        <v>24.67</v>
      </c>
      <c r="R148">
        <f t="shared" ref="R148:R181" si="182">ROUND(CS148*I148,2)</f>
        <v>7.82</v>
      </c>
      <c r="S148">
        <f t="shared" ref="S148:S181" si="183">ROUND(CT148*I148,2)</f>
        <v>59.47</v>
      </c>
      <c r="T148">
        <f t="shared" ref="T148:T181" si="184">ROUND(CU148*I148,2)</f>
        <v>0</v>
      </c>
      <c r="U148">
        <f t="shared" ref="U148:U181" si="185">CV148*I148</f>
        <v>0.18800775000000003</v>
      </c>
      <c r="V148">
        <f t="shared" ref="V148:V181" si="186">CW148*I148</f>
        <v>1.7364374999999998E-2</v>
      </c>
      <c r="W148">
        <f t="shared" ref="W148:W181" si="187">ROUND(CX148*I148,2)</f>
        <v>0</v>
      </c>
      <c r="X148">
        <f t="shared" ref="X148:X181" si="188">ROUND(CY148,2)</f>
        <v>54.5</v>
      </c>
      <c r="Y148">
        <f t="shared" ref="Y148:Y181" si="189">ROUND(CZ148,2)</f>
        <v>48.45</v>
      </c>
      <c r="AA148">
        <v>68990560</v>
      </c>
      <c r="AB148">
        <f t="shared" ref="AB148:AB179" si="190">ROUND((AC148+AD148+AF148),2)</f>
        <v>1089.3399999999999</v>
      </c>
      <c r="AC148">
        <f t="shared" si="178"/>
        <v>450.45</v>
      </c>
      <c r="AD148">
        <f>ROUND((((((ET148*1.25)*1.35))-(((EU148*1.25)*1.35)))+AE148),2)</f>
        <v>386.42</v>
      </c>
      <c r="AE148">
        <f>ROUND((((EU148*1.25)*1.35)),2)</f>
        <v>33.19</v>
      </c>
      <c r="AF148">
        <f>ROUND((((EV148*1.15)*1.35)),2)</f>
        <v>252.47</v>
      </c>
      <c r="AG148">
        <f t="shared" ref="AG148:AG181" si="191">ROUND((AP148),2)</f>
        <v>0</v>
      </c>
      <c r="AH148">
        <f>(((EW148*1.15)*1.35))</f>
        <v>26.858250000000002</v>
      </c>
      <c r="AI148">
        <f>(((EX148*1.25)*1.35))</f>
        <v>2.4806249999999999</v>
      </c>
      <c r="AJ148">
        <f t="shared" ref="AJ148:AJ181" si="192">(AS148)</f>
        <v>0</v>
      </c>
      <c r="AK148">
        <v>842.06</v>
      </c>
      <c r="AL148">
        <v>450.45</v>
      </c>
      <c r="AM148">
        <v>228.99</v>
      </c>
      <c r="AN148">
        <v>19.670000000000002</v>
      </c>
      <c r="AO148">
        <v>162.62</v>
      </c>
      <c r="AP148">
        <v>0</v>
      </c>
      <c r="AQ148">
        <v>17.3</v>
      </c>
      <c r="AR148">
        <v>1.47</v>
      </c>
      <c r="AS148">
        <v>0</v>
      </c>
      <c r="AT148">
        <v>81</v>
      </c>
      <c r="AU148">
        <v>72</v>
      </c>
      <c r="AV148">
        <v>1</v>
      </c>
      <c r="AW148">
        <v>1</v>
      </c>
      <c r="AZ148">
        <v>1</v>
      </c>
      <c r="BA148">
        <v>33.65</v>
      </c>
      <c r="BB148">
        <v>9.1199999999999992</v>
      </c>
      <c r="BC148">
        <v>10.1</v>
      </c>
      <c r="BD148" t="s">
        <v>3</v>
      </c>
      <c r="BE148" t="s">
        <v>3</v>
      </c>
      <c r="BF148" t="s">
        <v>3</v>
      </c>
      <c r="BG148" t="s">
        <v>3</v>
      </c>
      <c r="BH148">
        <v>0</v>
      </c>
      <c r="BI148">
        <v>1</v>
      </c>
      <c r="BJ148" t="s">
        <v>130</v>
      </c>
      <c r="BM148">
        <v>9001</v>
      </c>
      <c r="BN148">
        <v>0</v>
      </c>
      <c r="BO148" t="s">
        <v>128</v>
      </c>
      <c r="BP148">
        <v>1</v>
      </c>
      <c r="BQ148">
        <v>2</v>
      </c>
      <c r="BR148">
        <v>0</v>
      </c>
      <c r="BS148">
        <v>33.65</v>
      </c>
      <c r="BT148">
        <v>1</v>
      </c>
      <c r="BU148">
        <v>1</v>
      </c>
      <c r="BV148">
        <v>1</v>
      </c>
      <c r="BW148">
        <v>1</v>
      </c>
      <c r="BX148">
        <v>1</v>
      </c>
      <c r="BY148" t="s">
        <v>3</v>
      </c>
      <c r="BZ148">
        <v>90</v>
      </c>
      <c r="CA148">
        <v>85</v>
      </c>
      <c r="CE148">
        <v>0</v>
      </c>
      <c r="CF148">
        <v>0</v>
      </c>
      <c r="CG148">
        <v>0</v>
      </c>
      <c r="CM148">
        <v>0</v>
      </c>
      <c r="CN148" t="s">
        <v>1332</v>
      </c>
      <c r="CO148">
        <v>0</v>
      </c>
      <c r="CP148">
        <f t="shared" ref="CP148:CP181" si="193">(P148+Q148+S148)</f>
        <v>115.99000000000001</v>
      </c>
      <c r="CQ148">
        <f t="shared" ref="CQ148:CQ181" si="194">AC148*BC148</f>
        <v>4549.5450000000001</v>
      </c>
      <c r="CR148">
        <f t="shared" ref="CR148:CR181" si="195">AD148*BB148</f>
        <v>3524.1504</v>
      </c>
      <c r="CS148">
        <f t="shared" ref="CS148:CS181" si="196">AE148*BS148</f>
        <v>1116.8434999999999</v>
      </c>
      <c r="CT148">
        <f t="shared" ref="CT148:CT181" si="197">AF148*BA148</f>
        <v>8495.6154999999999</v>
      </c>
      <c r="CU148">
        <f t="shared" ref="CU148:CU181" si="198">AG148</f>
        <v>0</v>
      </c>
      <c r="CV148">
        <f t="shared" ref="CV148:CV181" si="199">AH148</f>
        <v>26.858250000000002</v>
      </c>
      <c r="CW148">
        <f t="shared" ref="CW148:CW181" si="200">AI148</f>
        <v>2.4806249999999999</v>
      </c>
      <c r="CX148">
        <f t="shared" ref="CX148:CX181" si="201">AJ148</f>
        <v>0</v>
      </c>
      <c r="CY148">
        <f t="shared" ref="CY148:CY181" si="202">(((S148+R148)*AT148)/100)</f>
        <v>54.504899999999999</v>
      </c>
      <c r="CZ148">
        <f t="shared" ref="CZ148:CZ181" si="203">(((S148+R148)*AU148)/100)</f>
        <v>48.448799999999991</v>
      </c>
      <c r="DC148" t="s">
        <v>3</v>
      </c>
      <c r="DD148" t="s">
        <v>3</v>
      </c>
      <c r="DE148" t="s">
        <v>146</v>
      </c>
      <c r="DF148" t="s">
        <v>146</v>
      </c>
      <c r="DG148" t="s">
        <v>147</v>
      </c>
      <c r="DH148" t="s">
        <v>3</v>
      </c>
      <c r="DI148" t="s">
        <v>147</v>
      </c>
      <c r="DJ148" t="s">
        <v>146</v>
      </c>
      <c r="DK148" t="s">
        <v>3</v>
      </c>
      <c r="DL148" t="s">
        <v>3</v>
      </c>
      <c r="DM148" t="s">
        <v>3</v>
      </c>
      <c r="DN148">
        <v>0</v>
      </c>
      <c r="DO148">
        <v>0</v>
      </c>
      <c r="DP148">
        <v>1</v>
      </c>
      <c r="DQ148">
        <v>1</v>
      </c>
      <c r="DU148">
        <v>1009</v>
      </c>
      <c r="DV148" t="s">
        <v>71</v>
      </c>
      <c r="DW148" t="s">
        <v>71</v>
      </c>
      <c r="DX148">
        <v>1000</v>
      </c>
      <c r="DZ148" t="s">
        <v>3</v>
      </c>
      <c r="EA148" t="s">
        <v>3</v>
      </c>
      <c r="EB148" t="s">
        <v>3</v>
      </c>
      <c r="EC148" t="s">
        <v>3</v>
      </c>
      <c r="EE148">
        <v>64095025</v>
      </c>
      <c r="EF148">
        <v>2</v>
      </c>
      <c r="EG148" t="s">
        <v>13</v>
      </c>
      <c r="EH148">
        <v>0</v>
      </c>
      <c r="EI148" t="s">
        <v>3</v>
      </c>
      <c r="EJ148">
        <v>1</v>
      </c>
      <c r="EK148">
        <v>9001</v>
      </c>
      <c r="EL148" t="s">
        <v>49</v>
      </c>
      <c r="EM148" t="s">
        <v>50</v>
      </c>
      <c r="EO148" t="s">
        <v>150</v>
      </c>
      <c r="EQ148">
        <v>0</v>
      </c>
      <c r="ER148">
        <v>842.06</v>
      </c>
      <c r="ES148">
        <v>450.45</v>
      </c>
      <c r="ET148">
        <v>228.99</v>
      </c>
      <c r="EU148">
        <v>19.670000000000002</v>
      </c>
      <c r="EV148">
        <v>162.62</v>
      </c>
      <c r="EW148">
        <v>17.3</v>
      </c>
      <c r="EX148">
        <v>1.47</v>
      </c>
      <c r="EY148">
        <v>0</v>
      </c>
      <c r="FQ148">
        <v>0</v>
      </c>
      <c r="FR148">
        <f t="shared" ref="FR148:FR181" si="204">ROUND(IF(AND(BH148=3,BI148=3),P148,0),2)</f>
        <v>0</v>
      </c>
      <c r="FS148">
        <v>0</v>
      </c>
      <c r="FT148" t="s">
        <v>52</v>
      </c>
      <c r="FU148" t="s">
        <v>53</v>
      </c>
      <c r="FX148">
        <v>81</v>
      </c>
      <c r="FY148">
        <v>72.25</v>
      </c>
      <c r="GA148" t="s">
        <v>3</v>
      </c>
      <c r="GD148">
        <v>1</v>
      </c>
      <c r="GF148">
        <v>-308058499</v>
      </c>
      <c r="GG148">
        <v>2</v>
      </c>
      <c r="GH148">
        <v>1</v>
      </c>
      <c r="GI148">
        <v>2</v>
      </c>
      <c r="GJ148">
        <v>0</v>
      </c>
      <c r="GK148">
        <v>0</v>
      </c>
      <c r="GL148">
        <f t="shared" ref="GL148:GL181" si="205">ROUND(IF(AND(BH148=3,BI148=3,FS148&lt;&gt;0),P148,0),2)</f>
        <v>0</v>
      </c>
      <c r="GM148">
        <f t="shared" ref="GM148:GM181" si="206">ROUND(O148+X148+Y148,2)+GX148</f>
        <v>218.94</v>
      </c>
      <c r="GN148">
        <f t="shared" ref="GN148:GN181" si="207">IF(OR(BI148=0,BI148=1),ROUND(O148+X148+Y148,2),0)</f>
        <v>218.94</v>
      </c>
      <c r="GO148">
        <f t="shared" ref="GO148:GO181" si="208">IF(BI148=2,ROUND(O148+X148+Y148,2),0)</f>
        <v>0</v>
      </c>
      <c r="GP148">
        <f t="shared" ref="GP148:GP181" si="209">IF(BI148=4,ROUND(O148+X148+Y148,2)+GX148,0)</f>
        <v>0</v>
      </c>
      <c r="GR148">
        <v>0</v>
      </c>
      <c r="GS148">
        <v>3</v>
      </c>
      <c r="GT148">
        <v>0</v>
      </c>
      <c r="GU148" t="s">
        <v>3</v>
      </c>
      <c r="GV148">
        <f t="shared" ref="GV148:GV181" si="210">ROUND((GT148),2)</f>
        <v>0</v>
      </c>
      <c r="GW148">
        <v>1</v>
      </c>
      <c r="GX148">
        <f t="shared" ref="GX148:GX181" si="211">ROUND(HC148*I148,2)</f>
        <v>0</v>
      </c>
      <c r="HA148">
        <v>0</v>
      </c>
      <c r="HB148">
        <v>0</v>
      </c>
      <c r="HC148">
        <f t="shared" ref="HC148:HC181" si="212">GV148*GW148</f>
        <v>0</v>
      </c>
      <c r="HE148" t="s">
        <v>3</v>
      </c>
      <c r="HF148" t="s">
        <v>3</v>
      </c>
      <c r="IK148">
        <v>0</v>
      </c>
    </row>
    <row r="149" spans="1:245" x14ac:dyDescent="0.2">
      <c r="A149">
        <v>17</v>
      </c>
      <c r="B149">
        <v>1</v>
      </c>
      <c r="C149">
        <f>ROW(SmtRes!A452)</f>
        <v>452</v>
      </c>
      <c r="D149">
        <f>ROW(EtalonRes!A444)</f>
        <v>444</v>
      </c>
      <c r="E149" t="s">
        <v>510</v>
      </c>
      <c r="F149" t="s">
        <v>511</v>
      </c>
      <c r="G149" t="s">
        <v>512</v>
      </c>
      <c r="H149" t="s">
        <v>18</v>
      </c>
      <c r="I149">
        <f>ROUND(1/100,5)</f>
        <v>0.01</v>
      </c>
      <c r="J149">
        <v>0</v>
      </c>
      <c r="O149">
        <f t="shared" si="179"/>
        <v>552.1</v>
      </c>
      <c r="P149">
        <f t="shared" si="180"/>
        <v>11.04</v>
      </c>
      <c r="Q149">
        <f t="shared" si="181"/>
        <v>7.5</v>
      </c>
      <c r="R149">
        <f t="shared" si="182"/>
        <v>3.42</v>
      </c>
      <c r="S149">
        <f t="shared" si="183"/>
        <v>533.55999999999995</v>
      </c>
      <c r="T149">
        <f t="shared" si="184"/>
        <v>0</v>
      </c>
      <c r="U149">
        <f t="shared" si="185"/>
        <v>1.5984000000000003</v>
      </c>
      <c r="V149">
        <f t="shared" si="186"/>
        <v>8.1000000000000013E-3</v>
      </c>
      <c r="W149">
        <f t="shared" si="187"/>
        <v>0</v>
      </c>
      <c r="X149">
        <f t="shared" si="188"/>
        <v>510.13</v>
      </c>
      <c r="Y149">
        <f t="shared" si="189"/>
        <v>349.04</v>
      </c>
      <c r="AA149">
        <v>68990560</v>
      </c>
      <c r="AB149">
        <f t="shared" si="190"/>
        <v>1795.07</v>
      </c>
      <c r="AC149">
        <f t="shared" si="178"/>
        <v>136.1</v>
      </c>
      <c r="AD149">
        <f>ROUND(((((ET149*1.35))-((EU149*1.35)))+AE149),2)</f>
        <v>73.349999999999994</v>
      </c>
      <c r="AE149">
        <f>ROUND(((EU149*1.35)),2)</f>
        <v>10.17</v>
      </c>
      <c r="AF149">
        <f>ROUND(((EV149*1.35)),2)</f>
        <v>1585.62</v>
      </c>
      <c r="AG149">
        <f t="shared" si="191"/>
        <v>0</v>
      </c>
      <c r="AH149">
        <f>((EW149*1.35))</f>
        <v>159.84000000000003</v>
      </c>
      <c r="AI149">
        <f>((EX149*1.35))</f>
        <v>0.81</v>
      </c>
      <c r="AJ149">
        <f t="shared" si="192"/>
        <v>0</v>
      </c>
      <c r="AK149">
        <v>1364.96</v>
      </c>
      <c r="AL149">
        <v>136.1</v>
      </c>
      <c r="AM149">
        <v>54.33</v>
      </c>
      <c r="AN149">
        <v>7.53</v>
      </c>
      <c r="AO149">
        <v>1174.53</v>
      </c>
      <c r="AP149">
        <v>0</v>
      </c>
      <c r="AQ149">
        <v>118.4</v>
      </c>
      <c r="AR149">
        <v>0.6</v>
      </c>
      <c r="AS149">
        <v>0</v>
      </c>
      <c r="AT149">
        <v>95</v>
      </c>
      <c r="AU149">
        <v>65</v>
      </c>
      <c r="AV149">
        <v>1</v>
      </c>
      <c r="AW149">
        <v>1</v>
      </c>
      <c r="AZ149">
        <v>1</v>
      </c>
      <c r="BA149">
        <v>33.65</v>
      </c>
      <c r="BB149">
        <v>10.220000000000001</v>
      </c>
      <c r="BC149">
        <v>8.11</v>
      </c>
      <c r="BD149" t="s">
        <v>3</v>
      </c>
      <c r="BE149" t="s">
        <v>3</v>
      </c>
      <c r="BF149" t="s">
        <v>3</v>
      </c>
      <c r="BG149" t="s">
        <v>3</v>
      </c>
      <c r="BH149">
        <v>0</v>
      </c>
      <c r="BI149">
        <v>2</v>
      </c>
      <c r="BJ149" t="s">
        <v>513</v>
      </c>
      <c r="BM149">
        <v>108001</v>
      </c>
      <c r="BN149">
        <v>0</v>
      </c>
      <c r="BO149" t="s">
        <v>511</v>
      </c>
      <c r="BP149">
        <v>1</v>
      </c>
      <c r="BQ149">
        <v>3</v>
      </c>
      <c r="BR149">
        <v>0</v>
      </c>
      <c r="BS149">
        <v>33.65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3</v>
      </c>
      <c r="BZ149">
        <v>95</v>
      </c>
      <c r="CA149">
        <v>65</v>
      </c>
      <c r="CE149">
        <v>0</v>
      </c>
      <c r="CF149">
        <v>0</v>
      </c>
      <c r="CG149">
        <v>0</v>
      </c>
      <c r="CM149">
        <v>0</v>
      </c>
      <c r="CN149" t="s">
        <v>1329</v>
      </c>
      <c r="CO149">
        <v>0</v>
      </c>
      <c r="CP149">
        <f t="shared" si="193"/>
        <v>552.09999999999991</v>
      </c>
      <c r="CQ149">
        <f t="shared" si="194"/>
        <v>1103.771</v>
      </c>
      <c r="CR149">
        <f t="shared" si="195"/>
        <v>749.63699999999994</v>
      </c>
      <c r="CS149">
        <f t="shared" si="196"/>
        <v>342.22049999999996</v>
      </c>
      <c r="CT149">
        <f t="shared" si="197"/>
        <v>53356.112999999998</v>
      </c>
      <c r="CU149">
        <f t="shared" si="198"/>
        <v>0</v>
      </c>
      <c r="CV149">
        <f t="shared" si="199"/>
        <v>159.84000000000003</v>
      </c>
      <c r="CW149">
        <f t="shared" si="200"/>
        <v>0.81</v>
      </c>
      <c r="CX149">
        <f t="shared" si="201"/>
        <v>0</v>
      </c>
      <c r="CY149">
        <f t="shared" si="202"/>
        <v>510.13099999999991</v>
      </c>
      <c r="CZ149">
        <f t="shared" si="203"/>
        <v>349.03699999999998</v>
      </c>
      <c r="DC149" t="s">
        <v>3</v>
      </c>
      <c r="DD149" t="s">
        <v>3</v>
      </c>
      <c r="DE149" t="s">
        <v>200</v>
      </c>
      <c r="DF149" t="s">
        <v>200</v>
      </c>
      <c r="DG149" t="s">
        <v>200</v>
      </c>
      <c r="DH149" t="s">
        <v>3</v>
      </c>
      <c r="DI149" t="s">
        <v>200</v>
      </c>
      <c r="DJ149" t="s">
        <v>200</v>
      </c>
      <c r="DK149" t="s">
        <v>3</v>
      </c>
      <c r="DL149" t="s">
        <v>3</v>
      </c>
      <c r="DM149" t="s">
        <v>3</v>
      </c>
      <c r="DN149">
        <v>0</v>
      </c>
      <c r="DO149">
        <v>0</v>
      </c>
      <c r="DP149">
        <v>1</v>
      </c>
      <c r="DQ149">
        <v>1</v>
      </c>
      <c r="DU149">
        <v>1013</v>
      </c>
      <c r="DV149" t="s">
        <v>18</v>
      </c>
      <c r="DW149" t="s">
        <v>18</v>
      </c>
      <c r="DX149">
        <v>1</v>
      </c>
      <c r="DZ149" t="s">
        <v>3</v>
      </c>
      <c r="EA149" t="s">
        <v>3</v>
      </c>
      <c r="EB149" t="s">
        <v>3</v>
      </c>
      <c r="EC149" t="s">
        <v>3</v>
      </c>
      <c r="EE149">
        <v>64094909</v>
      </c>
      <c r="EF149">
        <v>3</v>
      </c>
      <c r="EG149" t="s">
        <v>22</v>
      </c>
      <c r="EH149">
        <v>0</v>
      </c>
      <c r="EI149" t="s">
        <v>3</v>
      </c>
      <c r="EJ149">
        <v>2</v>
      </c>
      <c r="EK149">
        <v>108001</v>
      </c>
      <c r="EL149" t="s">
        <v>23</v>
      </c>
      <c r="EM149" t="s">
        <v>24</v>
      </c>
      <c r="EO149" t="s">
        <v>42</v>
      </c>
      <c r="EQ149">
        <v>0</v>
      </c>
      <c r="ER149">
        <v>1364.96</v>
      </c>
      <c r="ES149">
        <v>136.1</v>
      </c>
      <c r="ET149">
        <v>54.33</v>
      </c>
      <c r="EU149">
        <v>7.53</v>
      </c>
      <c r="EV149">
        <v>1174.53</v>
      </c>
      <c r="EW149">
        <v>118.4</v>
      </c>
      <c r="EX149">
        <v>0.6</v>
      </c>
      <c r="EY149">
        <v>0</v>
      </c>
      <c r="FQ149">
        <v>0</v>
      </c>
      <c r="FR149">
        <f t="shared" si="204"/>
        <v>0</v>
      </c>
      <c r="FS149">
        <v>0</v>
      </c>
      <c r="FX149">
        <v>95</v>
      </c>
      <c r="FY149">
        <v>65</v>
      </c>
      <c r="GA149" t="s">
        <v>3</v>
      </c>
      <c r="GD149">
        <v>1</v>
      </c>
      <c r="GF149">
        <v>530726208</v>
      </c>
      <c r="GG149">
        <v>2</v>
      </c>
      <c r="GH149">
        <v>1</v>
      </c>
      <c r="GI149">
        <v>2</v>
      </c>
      <c r="GJ149">
        <v>0</v>
      </c>
      <c r="GK149">
        <v>0</v>
      </c>
      <c r="GL149">
        <f t="shared" si="205"/>
        <v>0</v>
      </c>
      <c r="GM149">
        <f t="shared" si="206"/>
        <v>1411.27</v>
      </c>
      <c r="GN149">
        <f t="shared" si="207"/>
        <v>0</v>
      </c>
      <c r="GO149">
        <f t="shared" si="208"/>
        <v>1411.27</v>
      </c>
      <c r="GP149">
        <f t="shared" si="209"/>
        <v>0</v>
      </c>
      <c r="GR149">
        <v>0</v>
      </c>
      <c r="GS149">
        <v>3</v>
      </c>
      <c r="GT149">
        <v>0</v>
      </c>
      <c r="GU149" t="s">
        <v>3</v>
      </c>
      <c r="GV149">
        <f t="shared" si="210"/>
        <v>0</v>
      </c>
      <c r="GW149">
        <v>1</v>
      </c>
      <c r="GX149">
        <f t="shared" si="211"/>
        <v>0</v>
      </c>
      <c r="HA149">
        <v>0</v>
      </c>
      <c r="HB149">
        <v>0</v>
      </c>
      <c r="HC149">
        <f t="shared" si="212"/>
        <v>0</v>
      </c>
      <c r="HE149" t="s">
        <v>3</v>
      </c>
      <c r="HF149" t="s">
        <v>3</v>
      </c>
      <c r="IK149">
        <v>0</v>
      </c>
    </row>
    <row r="150" spans="1:245" x14ac:dyDescent="0.2">
      <c r="A150">
        <v>18</v>
      </c>
      <c r="B150">
        <v>1</v>
      </c>
      <c r="C150">
        <v>450</v>
      </c>
      <c r="E150" t="s">
        <v>514</v>
      </c>
      <c r="F150" t="s">
        <v>515</v>
      </c>
      <c r="G150" t="s">
        <v>1341</v>
      </c>
      <c r="H150" t="s">
        <v>29</v>
      </c>
      <c r="I150">
        <f>I149*J150</f>
        <v>1</v>
      </c>
      <c r="J150">
        <v>100</v>
      </c>
      <c r="O150">
        <f t="shared" si="179"/>
        <v>1743.54</v>
      </c>
      <c r="P150">
        <f t="shared" si="180"/>
        <v>1743.54</v>
      </c>
      <c r="Q150">
        <f t="shared" si="181"/>
        <v>0</v>
      </c>
      <c r="R150">
        <f t="shared" si="182"/>
        <v>0</v>
      </c>
      <c r="S150">
        <f t="shared" si="183"/>
        <v>0</v>
      </c>
      <c r="T150">
        <f t="shared" si="184"/>
        <v>0</v>
      </c>
      <c r="U150">
        <f t="shared" si="185"/>
        <v>0</v>
      </c>
      <c r="V150">
        <f t="shared" si="186"/>
        <v>0</v>
      </c>
      <c r="W150">
        <f t="shared" si="187"/>
        <v>0</v>
      </c>
      <c r="X150">
        <f t="shared" si="188"/>
        <v>0</v>
      </c>
      <c r="Y150">
        <f t="shared" si="189"/>
        <v>0</v>
      </c>
      <c r="AA150">
        <v>68990560</v>
      </c>
      <c r="AB150">
        <f t="shared" si="190"/>
        <v>182.57</v>
      </c>
      <c r="AC150">
        <f t="shared" si="178"/>
        <v>182.57</v>
      </c>
      <c r="AD150">
        <f>ROUND((((ET150)-(EU150))+AE150),2)</f>
        <v>0</v>
      </c>
      <c r="AE150">
        <f>ROUND((EU150),2)</f>
        <v>0</v>
      </c>
      <c r="AF150">
        <f>ROUND((EV150),2)</f>
        <v>0</v>
      </c>
      <c r="AG150">
        <f t="shared" si="191"/>
        <v>0</v>
      </c>
      <c r="AH150">
        <f>(EW150)</f>
        <v>0</v>
      </c>
      <c r="AI150">
        <f>(EX150)</f>
        <v>0</v>
      </c>
      <c r="AJ150">
        <f t="shared" si="192"/>
        <v>0</v>
      </c>
      <c r="AK150">
        <v>182.57</v>
      </c>
      <c r="AL150">
        <v>182.57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95</v>
      </c>
      <c r="AU150">
        <v>65</v>
      </c>
      <c r="AV150">
        <v>1</v>
      </c>
      <c r="AW150">
        <v>1</v>
      </c>
      <c r="AZ150">
        <v>1</v>
      </c>
      <c r="BA150">
        <v>1</v>
      </c>
      <c r="BB150">
        <v>1</v>
      </c>
      <c r="BC150">
        <v>9.5500000000000007</v>
      </c>
      <c r="BD150" t="s">
        <v>3</v>
      </c>
      <c r="BE150" t="s">
        <v>3</v>
      </c>
      <c r="BF150" t="s">
        <v>3</v>
      </c>
      <c r="BG150" t="s">
        <v>3</v>
      </c>
      <c r="BH150">
        <v>3</v>
      </c>
      <c r="BI150">
        <v>2</v>
      </c>
      <c r="BJ150" t="s">
        <v>516</v>
      </c>
      <c r="BM150">
        <v>108001</v>
      </c>
      <c r="BN150">
        <v>0</v>
      </c>
      <c r="BO150" t="s">
        <v>515</v>
      </c>
      <c r="BP150">
        <v>1</v>
      </c>
      <c r="BQ150">
        <v>3</v>
      </c>
      <c r="BR150">
        <v>0</v>
      </c>
      <c r="BS150">
        <v>1</v>
      </c>
      <c r="BT150">
        <v>1</v>
      </c>
      <c r="BU150">
        <v>1</v>
      </c>
      <c r="BV150">
        <v>1</v>
      </c>
      <c r="BW150">
        <v>1</v>
      </c>
      <c r="BX150">
        <v>1</v>
      </c>
      <c r="BY150" t="s">
        <v>3</v>
      </c>
      <c r="BZ150">
        <v>95</v>
      </c>
      <c r="CA150">
        <v>65</v>
      </c>
      <c r="CE150">
        <v>0</v>
      </c>
      <c r="CF150">
        <v>0</v>
      </c>
      <c r="CG150">
        <v>0</v>
      </c>
      <c r="CM150">
        <v>0</v>
      </c>
      <c r="CN150" t="s">
        <v>3</v>
      </c>
      <c r="CO150">
        <v>0</v>
      </c>
      <c r="CP150">
        <f t="shared" si="193"/>
        <v>1743.54</v>
      </c>
      <c r="CQ150">
        <f t="shared" si="194"/>
        <v>1743.5435</v>
      </c>
      <c r="CR150">
        <f t="shared" si="195"/>
        <v>0</v>
      </c>
      <c r="CS150">
        <f t="shared" si="196"/>
        <v>0</v>
      </c>
      <c r="CT150">
        <f t="shared" si="197"/>
        <v>0</v>
      </c>
      <c r="CU150">
        <f t="shared" si="198"/>
        <v>0</v>
      </c>
      <c r="CV150">
        <f t="shared" si="199"/>
        <v>0</v>
      </c>
      <c r="CW150">
        <f t="shared" si="200"/>
        <v>0</v>
      </c>
      <c r="CX150">
        <f t="shared" si="201"/>
        <v>0</v>
      </c>
      <c r="CY150">
        <f t="shared" si="202"/>
        <v>0</v>
      </c>
      <c r="CZ150">
        <f t="shared" si="203"/>
        <v>0</v>
      </c>
      <c r="DC150" t="s">
        <v>3</v>
      </c>
      <c r="DD150" t="s">
        <v>3</v>
      </c>
      <c r="DE150" t="s">
        <v>3</v>
      </c>
      <c r="DF150" t="s">
        <v>3</v>
      </c>
      <c r="DG150" t="s">
        <v>3</v>
      </c>
      <c r="DH150" t="s">
        <v>3</v>
      </c>
      <c r="DI150" t="s">
        <v>3</v>
      </c>
      <c r="DJ150" t="s">
        <v>3</v>
      </c>
      <c r="DK150" t="s">
        <v>3</v>
      </c>
      <c r="DL150" t="s">
        <v>3</v>
      </c>
      <c r="DM150" t="s">
        <v>3</v>
      </c>
      <c r="DN150">
        <v>0</v>
      </c>
      <c r="DO150">
        <v>0</v>
      </c>
      <c r="DP150">
        <v>1</v>
      </c>
      <c r="DQ150">
        <v>1</v>
      </c>
      <c r="DU150">
        <v>1013</v>
      </c>
      <c r="DV150" t="s">
        <v>29</v>
      </c>
      <c r="DW150" t="s">
        <v>29</v>
      </c>
      <c r="DX150">
        <v>1</v>
      </c>
      <c r="DZ150" t="s">
        <v>3</v>
      </c>
      <c r="EA150" t="s">
        <v>3</v>
      </c>
      <c r="EB150" t="s">
        <v>3</v>
      </c>
      <c r="EC150" t="s">
        <v>3</v>
      </c>
      <c r="EE150">
        <v>64094909</v>
      </c>
      <c r="EF150">
        <v>3</v>
      </c>
      <c r="EG150" t="s">
        <v>22</v>
      </c>
      <c r="EH150">
        <v>0</v>
      </c>
      <c r="EI150" t="s">
        <v>3</v>
      </c>
      <c r="EJ150">
        <v>2</v>
      </c>
      <c r="EK150">
        <v>108001</v>
      </c>
      <c r="EL150" t="s">
        <v>23</v>
      </c>
      <c r="EM150" t="s">
        <v>24</v>
      </c>
      <c r="EO150" t="s">
        <v>3</v>
      </c>
      <c r="EQ150">
        <v>0</v>
      </c>
      <c r="ER150">
        <v>182.57</v>
      </c>
      <c r="ES150">
        <v>182.57</v>
      </c>
      <c r="ET150">
        <v>0</v>
      </c>
      <c r="EU150">
        <v>0</v>
      </c>
      <c r="EV150">
        <v>0</v>
      </c>
      <c r="EW150">
        <v>0</v>
      </c>
      <c r="EX150">
        <v>0</v>
      </c>
      <c r="FQ150">
        <v>0</v>
      </c>
      <c r="FR150">
        <f t="shared" si="204"/>
        <v>0</v>
      </c>
      <c r="FS150">
        <v>0</v>
      </c>
      <c r="FX150">
        <v>95</v>
      </c>
      <c r="FY150">
        <v>65</v>
      </c>
      <c r="GA150" t="s">
        <v>3</v>
      </c>
      <c r="GD150">
        <v>1</v>
      </c>
      <c r="GF150">
        <v>1816655405</v>
      </c>
      <c r="GG150">
        <v>2</v>
      </c>
      <c r="GH150">
        <v>1</v>
      </c>
      <c r="GI150">
        <v>2</v>
      </c>
      <c r="GJ150">
        <v>0</v>
      </c>
      <c r="GK150">
        <v>0</v>
      </c>
      <c r="GL150">
        <f t="shared" si="205"/>
        <v>0</v>
      </c>
      <c r="GM150">
        <f t="shared" si="206"/>
        <v>1743.54</v>
      </c>
      <c r="GN150">
        <f t="shared" si="207"/>
        <v>0</v>
      </c>
      <c r="GO150">
        <f t="shared" si="208"/>
        <v>1743.54</v>
      </c>
      <c r="GP150">
        <f t="shared" si="209"/>
        <v>0</v>
      </c>
      <c r="GR150">
        <v>0</v>
      </c>
      <c r="GS150">
        <v>3</v>
      </c>
      <c r="GT150">
        <v>0</v>
      </c>
      <c r="GU150" t="s">
        <v>3</v>
      </c>
      <c r="GV150">
        <f t="shared" si="210"/>
        <v>0</v>
      </c>
      <c r="GW150">
        <v>1</v>
      </c>
      <c r="GX150">
        <f t="shared" si="211"/>
        <v>0</v>
      </c>
      <c r="HA150">
        <v>0</v>
      </c>
      <c r="HB150">
        <v>0</v>
      </c>
      <c r="HC150">
        <f t="shared" si="212"/>
        <v>0</v>
      </c>
      <c r="HE150" t="s">
        <v>3</v>
      </c>
      <c r="HF150" t="s">
        <v>3</v>
      </c>
      <c r="IK150">
        <v>0</v>
      </c>
    </row>
    <row r="151" spans="1:245" x14ac:dyDescent="0.2">
      <c r="A151">
        <v>17</v>
      </c>
      <c r="B151">
        <v>1</v>
      </c>
      <c r="C151">
        <f>ROW(SmtRes!A458)</f>
        <v>458</v>
      </c>
      <c r="D151">
        <f>ROW(EtalonRes!A449)</f>
        <v>449</v>
      </c>
      <c r="E151" t="s">
        <v>517</v>
      </c>
      <c r="F151" t="s">
        <v>518</v>
      </c>
      <c r="G151" t="s">
        <v>519</v>
      </c>
      <c r="H151" t="s">
        <v>29</v>
      </c>
      <c r="I151">
        <f>ROUND(3,5)</f>
        <v>3</v>
      </c>
      <c r="J151">
        <v>0</v>
      </c>
      <c r="O151">
        <f t="shared" si="179"/>
        <v>680.14</v>
      </c>
      <c r="P151">
        <f t="shared" si="180"/>
        <v>14.88</v>
      </c>
      <c r="Q151">
        <f t="shared" si="181"/>
        <v>0</v>
      </c>
      <c r="R151">
        <f t="shared" si="182"/>
        <v>0</v>
      </c>
      <c r="S151">
        <f t="shared" si="183"/>
        <v>665.26</v>
      </c>
      <c r="T151">
        <f t="shared" si="184"/>
        <v>0</v>
      </c>
      <c r="U151">
        <f t="shared" si="185"/>
        <v>2.0250000000000004</v>
      </c>
      <c r="V151">
        <f t="shared" si="186"/>
        <v>0</v>
      </c>
      <c r="W151">
        <f t="shared" si="187"/>
        <v>0</v>
      </c>
      <c r="X151">
        <f t="shared" si="188"/>
        <v>532.21</v>
      </c>
      <c r="Y151">
        <f t="shared" si="189"/>
        <v>399.16</v>
      </c>
      <c r="AA151">
        <v>68990560</v>
      </c>
      <c r="AB151">
        <f t="shared" si="190"/>
        <v>7</v>
      </c>
      <c r="AC151">
        <f t="shared" si="178"/>
        <v>0.41</v>
      </c>
      <c r="AD151">
        <f>ROUND(((((ET151*1.35))-((EU151*1.35)))+AE151),2)</f>
        <v>0</v>
      </c>
      <c r="AE151">
        <f>ROUND(((EU151*1.35)),2)</f>
        <v>0</v>
      </c>
      <c r="AF151">
        <f>ROUND(((EV151*1.35)),2)</f>
        <v>6.59</v>
      </c>
      <c r="AG151">
        <f t="shared" si="191"/>
        <v>0</v>
      </c>
      <c r="AH151">
        <f>((EW151*1.35))</f>
        <v>0.67500000000000004</v>
      </c>
      <c r="AI151">
        <f>((EX151*1.35))</f>
        <v>0</v>
      </c>
      <c r="AJ151">
        <f t="shared" si="192"/>
        <v>0</v>
      </c>
      <c r="AK151">
        <v>5.29</v>
      </c>
      <c r="AL151">
        <v>0.41</v>
      </c>
      <c r="AM151">
        <v>0</v>
      </c>
      <c r="AN151">
        <v>0</v>
      </c>
      <c r="AO151">
        <v>4.88</v>
      </c>
      <c r="AP151">
        <v>0</v>
      </c>
      <c r="AQ151">
        <v>0.5</v>
      </c>
      <c r="AR151">
        <v>0</v>
      </c>
      <c r="AS151">
        <v>0</v>
      </c>
      <c r="AT151">
        <v>80</v>
      </c>
      <c r="AU151">
        <v>60</v>
      </c>
      <c r="AV151">
        <v>1</v>
      </c>
      <c r="AW151">
        <v>1</v>
      </c>
      <c r="AZ151">
        <v>1</v>
      </c>
      <c r="BA151">
        <v>33.65</v>
      </c>
      <c r="BB151">
        <v>1</v>
      </c>
      <c r="BC151">
        <v>12.1</v>
      </c>
      <c r="BD151" t="s">
        <v>3</v>
      </c>
      <c r="BE151" t="s">
        <v>3</v>
      </c>
      <c r="BF151" t="s">
        <v>3</v>
      </c>
      <c r="BG151" t="s">
        <v>3</v>
      </c>
      <c r="BH151">
        <v>0</v>
      </c>
      <c r="BI151">
        <v>2</v>
      </c>
      <c r="BJ151" t="s">
        <v>520</v>
      </c>
      <c r="BM151">
        <v>110011</v>
      </c>
      <c r="BN151">
        <v>0</v>
      </c>
      <c r="BO151" t="s">
        <v>518</v>
      </c>
      <c r="BP151">
        <v>1</v>
      </c>
      <c r="BQ151">
        <v>3</v>
      </c>
      <c r="BR151">
        <v>0</v>
      </c>
      <c r="BS151">
        <v>33.65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3</v>
      </c>
      <c r="BZ151">
        <v>80</v>
      </c>
      <c r="CA151">
        <v>60</v>
      </c>
      <c r="CE151">
        <v>0</v>
      </c>
      <c r="CF151">
        <v>0</v>
      </c>
      <c r="CG151">
        <v>0</v>
      </c>
      <c r="CM151">
        <v>0</v>
      </c>
      <c r="CN151" t="s">
        <v>1329</v>
      </c>
      <c r="CO151">
        <v>0</v>
      </c>
      <c r="CP151">
        <f t="shared" si="193"/>
        <v>680.14</v>
      </c>
      <c r="CQ151">
        <f t="shared" si="194"/>
        <v>4.9609999999999994</v>
      </c>
      <c r="CR151">
        <f t="shared" si="195"/>
        <v>0</v>
      </c>
      <c r="CS151">
        <f t="shared" si="196"/>
        <v>0</v>
      </c>
      <c r="CT151">
        <f t="shared" si="197"/>
        <v>221.75349999999997</v>
      </c>
      <c r="CU151">
        <f t="shared" si="198"/>
        <v>0</v>
      </c>
      <c r="CV151">
        <f t="shared" si="199"/>
        <v>0.67500000000000004</v>
      </c>
      <c r="CW151">
        <f t="shared" si="200"/>
        <v>0</v>
      </c>
      <c r="CX151">
        <f t="shared" si="201"/>
        <v>0</v>
      </c>
      <c r="CY151">
        <f t="shared" si="202"/>
        <v>532.20800000000008</v>
      </c>
      <c r="CZ151">
        <f t="shared" si="203"/>
        <v>399.15600000000001</v>
      </c>
      <c r="DC151" t="s">
        <v>3</v>
      </c>
      <c r="DD151" t="s">
        <v>3</v>
      </c>
      <c r="DE151" t="s">
        <v>200</v>
      </c>
      <c r="DF151" t="s">
        <v>200</v>
      </c>
      <c r="DG151" t="s">
        <v>200</v>
      </c>
      <c r="DH151" t="s">
        <v>3</v>
      </c>
      <c r="DI151" t="s">
        <v>200</v>
      </c>
      <c r="DJ151" t="s">
        <v>200</v>
      </c>
      <c r="DK151" t="s">
        <v>3</v>
      </c>
      <c r="DL151" t="s">
        <v>3</v>
      </c>
      <c r="DM151" t="s">
        <v>3</v>
      </c>
      <c r="DN151">
        <v>0</v>
      </c>
      <c r="DO151">
        <v>0</v>
      </c>
      <c r="DP151">
        <v>1</v>
      </c>
      <c r="DQ151">
        <v>1</v>
      </c>
      <c r="DU151">
        <v>1013</v>
      </c>
      <c r="DV151" t="s">
        <v>29</v>
      </c>
      <c r="DW151" t="s">
        <v>29</v>
      </c>
      <c r="DX151">
        <v>1</v>
      </c>
      <c r="DZ151" t="s">
        <v>3</v>
      </c>
      <c r="EA151" t="s">
        <v>3</v>
      </c>
      <c r="EB151" t="s">
        <v>3</v>
      </c>
      <c r="EC151" t="s">
        <v>3</v>
      </c>
      <c r="EE151">
        <v>64094956</v>
      </c>
      <c r="EF151">
        <v>3</v>
      </c>
      <c r="EG151" t="s">
        <v>22</v>
      </c>
      <c r="EH151">
        <v>0</v>
      </c>
      <c r="EI151" t="s">
        <v>3</v>
      </c>
      <c r="EJ151">
        <v>2</v>
      </c>
      <c r="EK151">
        <v>110011</v>
      </c>
      <c r="EL151" t="s">
        <v>31</v>
      </c>
      <c r="EM151" t="s">
        <v>32</v>
      </c>
      <c r="EO151" t="s">
        <v>42</v>
      </c>
      <c r="EQ151">
        <v>0</v>
      </c>
      <c r="ER151">
        <v>5.29</v>
      </c>
      <c r="ES151">
        <v>0.41</v>
      </c>
      <c r="ET151">
        <v>0</v>
      </c>
      <c r="EU151">
        <v>0</v>
      </c>
      <c r="EV151">
        <v>4.88</v>
      </c>
      <c r="EW151">
        <v>0.5</v>
      </c>
      <c r="EX151">
        <v>0</v>
      </c>
      <c r="EY151">
        <v>0</v>
      </c>
      <c r="FQ151">
        <v>0</v>
      </c>
      <c r="FR151">
        <f t="shared" si="204"/>
        <v>0</v>
      </c>
      <c r="FS151">
        <v>0</v>
      </c>
      <c r="FX151">
        <v>80</v>
      </c>
      <c r="FY151">
        <v>60</v>
      </c>
      <c r="GA151" t="s">
        <v>3</v>
      </c>
      <c r="GD151">
        <v>1</v>
      </c>
      <c r="GF151">
        <v>-1449379032</v>
      </c>
      <c r="GG151">
        <v>2</v>
      </c>
      <c r="GH151">
        <v>1</v>
      </c>
      <c r="GI151">
        <v>2</v>
      </c>
      <c r="GJ151">
        <v>0</v>
      </c>
      <c r="GK151">
        <v>0</v>
      </c>
      <c r="GL151">
        <f t="shared" si="205"/>
        <v>0</v>
      </c>
      <c r="GM151">
        <f t="shared" si="206"/>
        <v>1611.51</v>
      </c>
      <c r="GN151">
        <f t="shared" si="207"/>
        <v>0</v>
      </c>
      <c r="GO151">
        <f t="shared" si="208"/>
        <v>1611.51</v>
      </c>
      <c r="GP151">
        <f t="shared" si="209"/>
        <v>0</v>
      </c>
      <c r="GR151">
        <v>0</v>
      </c>
      <c r="GS151">
        <v>3</v>
      </c>
      <c r="GT151">
        <v>0</v>
      </c>
      <c r="GU151" t="s">
        <v>3</v>
      </c>
      <c r="GV151">
        <f t="shared" si="210"/>
        <v>0</v>
      </c>
      <c r="GW151">
        <v>1</v>
      </c>
      <c r="GX151">
        <f t="shared" si="211"/>
        <v>0</v>
      </c>
      <c r="HA151">
        <v>0</v>
      </c>
      <c r="HB151">
        <v>0</v>
      </c>
      <c r="HC151">
        <f t="shared" si="212"/>
        <v>0</v>
      </c>
      <c r="HE151" t="s">
        <v>3</v>
      </c>
      <c r="HF151" t="s">
        <v>3</v>
      </c>
      <c r="IK151">
        <v>0</v>
      </c>
    </row>
    <row r="152" spans="1:245" x14ac:dyDescent="0.2">
      <c r="A152">
        <v>18</v>
      </c>
      <c r="B152">
        <v>1</v>
      </c>
      <c r="C152">
        <v>457</v>
      </c>
      <c r="E152" t="s">
        <v>521</v>
      </c>
      <c r="F152" t="s">
        <v>522</v>
      </c>
      <c r="G152" t="s">
        <v>523</v>
      </c>
      <c r="H152" t="s">
        <v>29</v>
      </c>
      <c r="I152">
        <f>I151*J152</f>
        <v>3</v>
      </c>
      <c r="J152">
        <v>1</v>
      </c>
      <c r="O152">
        <f t="shared" si="179"/>
        <v>414.83</v>
      </c>
      <c r="P152">
        <f t="shared" si="180"/>
        <v>414.83</v>
      </c>
      <c r="Q152">
        <f t="shared" si="181"/>
        <v>0</v>
      </c>
      <c r="R152">
        <f t="shared" si="182"/>
        <v>0</v>
      </c>
      <c r="S152">
        <f t="shared" si="183"/>
        <v>0</v>
      </c>
      <c r="T152">
        <f t="shared" si="184"/>
        <v>0</v>
      </c>
      <c r="U152">
        <f t="shared" si="185"/>
        <v>0</v>
      </c>
      <c r="V152">
        <f t="shared" si="186"/>
        <v>0</v>
      </c>
      <c r="W152">
        <f t="shared" si="187"/>
        <v>0</v>
      </c>
      <c r="X152">
        <f t="shared" si="188"/>
        <v>0</v>
      </c>
      <c r="Y152">
        <f t="shared" si="189"/>
        <v>0</v>
      </c>
      <c r="AA152">
        <v>68990560</v>
      </c>
      <c r="AB152">
        <f t="shared" si="190"/>
        <v>20.7</v>
      </c>
      <c r="AC152">
        <f t="shared" si="178"/>
        <v>20.7</v>
      </c>
      <c r="AD152">
        <f>ROUND((((ET152)-(EU152))+AE152),2)</f>
        <v>0</v>
      </c>
      <c r="AE152">
        <f>ROUND((EU152),2)</f>
        <v>0</v>
      </c>
      <c r="AF152">
        <f>ROUND((EV152),2)</f>
        <v>0</v>
      </c>
      <c r="AG152">
        <f t="shared" si="191"/>
        <v>0</v>
      </c>
      <c r="AH152">
        <f>(EW152)</f>
        <v>0</v>
      </c>
      <c r="AI152">
        <f>(EX152)</f>
        <v>0</v>
      </c>
      <c r="AJ152">
        <f t="shared" si="192"/>
        <v>0</v>
      </c>
      <c r="AK152">
        <v>20.7</v>
      </c>
      <c r="AL152">
        <v>20.7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80</v>
      </c>
      <c r="AU152">
        <v>60</v>
      </c>
      <c r="AV152">
        <v>1</v>
      </c>
      <c r="AW152">
        <v>1</v>
      </c>
      <c r="AZ152">
        <v>1</v>
      </c>
      <c r="BA152">
        <v>1</v>
      </c>
      <c r="BB152">
        <v>1</v>
      </c>
      <c r="BC152">
        <v>6.68</v>
      </c>
      <c r="BD152" t="s">
        <v>3</v>
      </c>
      <c r="BE152" t="s">
        <v>3</v>
      </c>
      <c r="BF152" t="s">
        <v>3</v>
      </c>
      <c r="BG152" t="s">
        <v>3</v>
      </c>
      <c r="BH152">
        <v>3</v>
      </c>
      <c r="BI152">
        <v>2</v>
      </c>
      <c r="BJ152" t="s">
        <v>524</v>
      </c>
      <c r="BM152">
        <v>110011</v>
      </c>
      <c r="BN152">
        <v>0</v>
      </c>
      <c r="BO152" t="s">
        <v>522</v>
      </c>
      <c r="BP152">
        <v>1</v>
      </c>
      <c r="BQ152">
        <v>3</v>
      </c>
      <c r="BR152">
        <v>0</v>
      </c>
      <c r="BS152">
        <v>1</v>
      </c>
      <c r="BT152">
        <v>1</v>
      </c>
      <c r="BU152">
        <v>1</v>
      </c>
      <c r="BV152">
        <v>1</v>
      </c>
      <c r="BW152">
        <v>1</v>
      </c>
      <c r="BX152">
        <v>1</v>
      </c>
      <c r="BY152" t="s">
        <v>3</v>
      </c>
      <c r="BZ152">
        <v>80</v>
      </c>
      <c r="CA152">
        <v>60</v>
      </c>
      <c r="CE152">
        <v>0</v>
      </c>
      <c r="CF152">
        <v>0</v>
      </c>
      <c r="CG152">
        <v>0</v>
      </c>
      <c r="CM152">
        <v>0</v>
      </c>
      <c r="CN152" t="s">
        <v>3</v>
      </c>
      <c r="CO152">
        <v>0</v>
      </c>
      <c r="CP152">
        <f t="shared" si="193"/>
        <v>414.83</v>
      </c>
      <c r="CQ152">
        <f t="shared" si="194"/>
        <v>138.27599999999998</v>
      </c>
      <c r="CR152">
        <f t="shared" si="195"/>
        <v>0</v>
      </c>
      <c r="CS152">
        <f t="shared" si="196"/>
        <v>0</v>
      </c>
      <c r="CT152">
        <f t="shared" si="197"/>
        <v>0</v>
      </c>
      <c r="CU152">
        <f t="shared" si="198"/>
        <v>0</v>
      </c>
      <c r="CV152">
        <f t="shared" si="199"/>
        <v>0</v>
      </c>
      <c r="CW152">
        <f t="shared" si="200"/>
        <v>0</v>
      </c>
      <c r="CX152">
        <f t="shared" si="201"/>
        <v>0</v>
      </c>
      <c r="CY152">
        <f t="shared" si="202"/>
        <v>0</v>
      </c>
      <c r="CZ152">
        <f t="shared" si="203"/>
        <v>0</v>
      </c>
      <c r="DC152" t="s">
        <v>3</v>
      </c>
      <c r="DD152" t="s">
        <v>3</v>
      </c>
      <c r="DE152" t="s">
        <v>3</v>
      </c>
      <c r="DF152" t="s">
        <v>3</v>
      </c>
      <c r="DG152" t="s">
        <v>3</v>
      </c>
      <c r="DH152" t="s">
        <v>3</v>
      </c>
      <c r="DI152" t="s">
        <v>3</v>
      </c>
      <c r="DJ152" t="s">
        <v>3</v>
      </c>
      <c r="DK152" t="s">
        <v>3</v>
      </c>
      <c r="DL152" t="s">
        <v>3</v>
      </c>
      <c r="DM152" t="s">
        <v>3</v>
      </c>
      <c r="DN152">
        <v>0</v>
      </c>
      <c r="DO152">
        <v>0</v>
      </c>
      <c r="DP152">
        <v>1</v>
      </c>
      <c r="DQ152">
        <v>1</v>
      </c>
      <c r="DU152">
        <v>1013</v>
      </c>
      <c r="DV152" t="s">
        <v>29</v>
      </c>
      <c r="DW152" t="s">
        <v>29</v>
      </c>
      <c r="DX152">
        <v>1</v>
      </c>
      <c r="DZ152" t="s">
        <v>3</v>
      </c>
      <c r="EA152" t="s">
        <v>3</v>
      </c>
      <c r="EB152" t="s">
        <v>3</v>
      </c>
      <c r="EC152" t="s">
        <v>3</v>
      </c>
      <c r="EE152">
        <v>64094956</v>
      </c>
      <c r="EF152">
        <v>3</v>
      </c>
      <c r="EG152" t="s">
        <v>22</v>
      </c>
      <c r="EH152">
        <v>0</v>
      </c>
      <c r="EI152" t="s">
        <v>3</v>
      </c>
      <c r="EJ152">
        <v>2</v>
      </c>
      <c r="EK152">
        <v>110011</v>
      </c>
      <c r="EL152" t="s">
        <v>31</v>
      </c>
      <c r="EM152" t="s">
        <v>32</v>
      </c>
      <c r="EO152" t="s">
        <v>3</v>
      </c>
      <c r="EQ152">
        <v>0</v>
      </c>
      <c r="ER152">
        <v>20.7</v>
      </c>
      <c r="ES152">
        <v>20.7</v>
      </c>
      <c r="ET152">
        <v>0</v>
      </c>
      <c r="EU152">
        <v>0</v>
      </c>
      <c r="EV152">
        <v>0</v>
      </c>
      <c r="EW152">
        <v>0</v>
      </c>
      <c r="EX152">
        <v>0</v>
      </c>
      <c r="FQ152">
        <v>0</v>
      </c>
      <c r="FR152">
        <f t="shared" si="204"/>
        <v>0</v>
      </c>
      <c r="FS152">
        <v>0</v>
      </c>
      <c r="FX152">
        <v>80</v>
      </c>
      <c r="FY152">
        <v>60</v>
      </c>
      <c r="GA152" t="s">
        <v>3</v>
      </c>
      <c r="GD152">
        <v>1</v>
      </c>
      <c r="GF152">
        <v>1010832350</v>
      </c>
      <c r="GG152">
        <v>2</v>
      </c>
      <c r="GH152">
        <v>1</v>
      </c>
      <c r="GI152">
        <v>2</v>
      </c>
      <c r="GJ152">
        <v>0</v>
      </c>
      <c r="GK152">
        <v>0</v>
      </c>
      <c r="GL152">
        <f t="shared" si="205"/>
        <v>0</v>
      </c>
      <c r="GM152">
        <f t="shared" si="206"/>
        <v>414.83</v>
      </c>
      <c r="GN152">
        <f t="shared" si="207"/>
        <v>0</v>
      </c>
      <c r="GO152">
        <f t="shared" si="208"/>
        <v>414.83</v>
      </c>
      <c r="GP152">
        <f t="shared" si="209"/>
        <v>0</v>
      </c>
      <c r="GR152">
        <v>0</v>
      </c>
      <c r="GS152">
        <v>3</v>
      </c>
      <c r="GT152">
        <v>0</v>
      </c>
      <c r="GU152" t="s">
        <v>3</v>
      </c>
      <c r="GV152">
        <f t="shared" si="210"/>
        <v>0</v>
      </c>
      <c r="GW152">
        <v>1</v>
      </c>
      <c r="GX152">
        <f t="shared" si="211"/>
        <v>0</v>
      </c>
      <c r="HA152">
        <v>0</v>
      </c>
      <c r="HB152">
        <v>0</v>
      </c>
      <c r="HC152">
        <f t="shared" si="212"/>
        <v>0</v>
      </c>
      <c r="HE152" t="s">
        <v>3</v>
      </c>
      <c r="HF152" t="s">
        <v>3</v>
      </c>
      <c r="IK152">
        <v>0</v>
      </c>
    </row>
    <row r="153" spans="1:245" x14ac:dyDescent="0.2">
      <c r="A153">
        <v>17</v>
      </c>
      <c r="B153">
        <v>1</v>
      </c>
      <c r="C153">
        <f>ROW(SmtRes!A468)</f>
        <v>468</v>
      </c>
      <c r="D153">
        <f>ROW(EtalonRes!A458)</f>
        <v>458</v>
      </c>
      <c r="E153" t="s">
        <v>525</v>
      </c>
      <c r="F153" t="s">
        <v>526</v>
      </c>
      <c r="G153" t="s">
        <v>527</v>
      </c>
      <c r="H153" t="s">
        <v>18</v>
      </c>
      <c r="I153">
        <f>ROUND(3/100,5)</f>
        <v>0.03</v>
      </c>
      <c r="J153">
        <v>0</v>
      </c>
      <c r="O153">
        <f t="shared" si="179"/>
        <v>450.88</v>
      </c>
      <c r="P153">
        <f t="shared" si="180"/>
        <v>21.75</v>
      </c>
      <c r="Q153">
        <f t="shared" si="181"/>
        <v>1.93</v>
      </c>
      <c r="R153">
        <f t="shared" si="182"/>
        <v>0.87</v>
      </c>
      <c r="S153">
        <f t="shared" si="183"/>
        <v>427.2</v>
      </c>
      <c r="T153">
        <f t="shared" si="184"/>
        <v>0</v>
      </c>
      <c r="U153">
        <f t="shared" si="185"/>
        <v>1.2798</v>
      </c>
      <c r="V153">
        <f t="shared" si="186"/>
        <v>2.0249999999999999E-3</v>
      </c>
      <c r="W153">
        <f t="shared" si="187"/>
        <v>0</v>
      </c>
      <c r="X153">
        <f t="shared" si="188"/>
        <v>406.67</v>
      </c>
      <c r="Y153">
        <f t="shared" si="189"/>
        <v>278.25</v>
      </c>
      <c r="AA153">
        <v>68990560</v>
      </c>
      <c r="AB153">
        <f t="shared" si="190"/>
        <v>535.45000000000005</v>
      </c>
      <c r="AC153">
        <f t="shared" si="178"/>
        <v>105.83</v>
      </c>
      <c r="AD153">
        <f>ROUND(((((ET153*1.35))-((EU153*1.35)))+AE153),2)</f>
        <v>6.44</v>
      </c>
      <c r="AE153">
        <f>ROUND(((EU153*1.35)),2)</f>
        <v>0.86</v>
      </c>
      <c r="AF153">
        <f>ROUND(((EV153*1.35)),2)</f>
        <v>423.18</v>
      </c>
      <c r="AG153">
        <f t="shared" si="191"/>
        <v>0</v>
      </c>
      <c r="AH153">
        <f>((EW153*1.35))</f>
        <v>42.660000000000004</v>
      </c>
      <c r="AI153">
        <f>((EX153*1.35))</f>
        <v>6.7500000000000004E-2</v>
      </c>
      <c r="AJ153">
        <f t="shared" si="192"/>
        <v>0</v>
      </c>
      <c r="AK153">
        <v>424.07</v>
      </c>
      <c r="AL153">
        <v>105.83</v>
      </c>
      <c r="AM153">
        <v>4.7699999999999996</v>
      </c>
      <c r="AN153">
        <v>0.64</v>
      </c>
      <c r="AO153">
        <v>313.47000000000003</v>
      </c>
      <c r="AP153">
        <v>0</v>
      </c>
      <c r="AQ153">
        <v>31.6</v>
      </c>
      <c r="AR153">
        <v>0.05</v>
      </c>
      <c r="AS153">
        <v>0</v>
      </c>
      <c r="AT153">
        <v>95</v>
      </c>
      <c r="AU153">
        <v>65</v>
      </c>
      <c r="AV153">
        <v>1</v>
      </c>
      <c r="AW153">
        <v>1</v>
      </c>
      <c r="AZ153">
        <v>1</v>
      </c>
      <c r="BA153">
        <v>33.65</v>
      </c>
      <c r="BB153">
        <v>10</v>
      </c>
      <c r="BC153">
        <v>6.85</v>
      </c>
      <c r="BD153" t="s">
        <v>3</v>
      </c>
      <c r="BE153" t="s">
        <v>3</v>
      </c>
      <c r="BF153" t="s">
        <v>3</v>
      </c>
      <c r="BG153" t="s">
        <v>3</v>
      </c>
      <c r="BH153">
        <v>0</v>
      </c>
      <c r="BI153">
        <v>2</v>
      </c>
      <c r="BJ153" t="s">
        <v>528</v>
      </c>
      <c r="BM153">
        <v>108001</v>
      </c>
      <c r="BN153">
        <v>0</v>
      </c>
      <c r="BO153" t="s">
        <v>526</v>
      </c>
      <c r="BP153">
        <v>1</v>
      </c>
      <c r="BQ153">
        <v>3</v>
      </c>
      <c r="BR153">
        <v>0</v>
      </c>
      <c r="BS153">
        <v>33.65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3</v>
      </c>
      <c r="BZ153">
        <v>95</v>
      </c>
      <c r="CA153">
        <v>65</v>
      </c>
      <c r="CE153">
        <v>0</v>
      </c>
      <c r="CF153">
        <v>0</v>
      </c>
      <c r="CG153">
        <v>0</v>
      </c>
      <c r="CM153">
        <v>0</v>
      </c>
      <c r="CN153" t="s">
        <v>1329</v>
      </c>
      <c r="CO153">
        <v>0</v>
      </c>
      <c r="CP153">
        <f t="shared" si="193"/>
        <v>450.88</v>
      </c>
      <c r="CQ153">
        <f t="shared" si="194"/>
        <v>724.93549999999993</v>
      </c>
      <c r="CR153">
        <f t="shared" si="195"/>
        <v>64.400000000000006</v>
      </c>
      <c r="CS153">
        <f t="shared" si="196"/>
        <v>28.939</v>
      </c>
      <c r="CT153">
        <f t="shared" si="197"/>
        <v>14240.007</v>
      </c>
      <c r="CU153">
        <f t="shared" si="198"/>
        <v>0</v>
      </c>
      <c r="CV153">
        <f t="shared" si="199"/>
        <v>42.660000000000004</v>
      </c>
      <c r="CW153">
        <f t="shared" si="200"/>
        <v>6.7500000000000004E-2</v>
      </c>
      <c r="CX153">
        <f t="shared" si="201"/>
        <v>0</v>
      </c>
      <c r="CY153">
        <f t="shared" si="202"/>
        <v>406.66650000000004</v>
      </c>
      <c r="CZ153">
        <f t="shared" si="203"/>
        <v>278.24549999999999</v>
      </c>
      <c r="DC153" t="s">
        <v>3</v>
      </c>
      <c r="DD153" t="s">
        <v>3</v>
      </c>
      <c r="DE153" t="s">
        <v>200</v>
      </c>
      <c r="DF153" t="s">
        <v>200</v>
      </c>
      <c r="DG153" t="s">
        <v>200</v>
      </c>
      <c r="DH153" t="s">
        <v>3</v>
      </c>
      <c r="DI153" t="s">
        <v>200</v>
      </c>
      <c r="DJ153" t="s">
        <v>200</v>
      </c>
      <c r="DK153" t="s">
        <v>3</v>
      </c>
      <c r="DL153" t="s">
        <v>3</v>
      </c>
      <c r="DM153" t="s">
        <v>3</v>
      </c>
      <c r="DN153">
        <v>0</v>
      </c>
      <c r="DO153">
        <v>0</v>
      </c>
      <c r="DP153">
        <v>1</v>
      </c>
      <c r="DQ153">
        <v>1</v>
      </c>
      <c r="DU153">
        <v>1013</v>
      </c>
      <c r="DV153" t="s">
        <v>18</v>
      </c>
      <c r="DW153" t="s">
        <v>18</v>
      </c>
      <c r="DX153">
        <v>1</v>
      </c>
      <c r="DZ153" t="s">
        <v>3</v>
      </c>
      <c r="EA153" t="s">
        <v>3</v>
      </c>
      <c r="EB153" t="s">
        <v>3</v>
      </c>
      <c r="EC153" t="s">
        <v>3</v>
      </c>
      <c r="EE153">
        <v>64094909</v>
      </c>
      <c r="EF153">
        <v>3</v>
      </c>
      <c r="EG153" t="s">
        <v>22</v>
      </c>
      <c r="EH153">
        <v>0</v>
      </c>
      <c r="EI153" t="s">
        <v>3</v>
      </c>
      <c r="EJ153">
        <v>2</v>
      </c>
      <c r="EK153">
        <v>108001</v>
      </c>
      <c r="EL153" t="s">
        <v>23</v>
      </c>
      <c r="EM153" t="s">
        <v>24</v>
      </c>
      <c r="EO153" t="s">
        <v>42</v>
      </c>
      <c r="EQ153">
        <v>0</v>
      </c>
      <c r="ER153">
        <v>424.07</v>
      </c>
      <c r="ES153">
        <v>105.83</v>
      </c>
      <c r="ET153">
        <v>4.7699999999999996</v>
      </c>
      <c r="EU153">
        <v>0.64</v>
      </c>
      <c r="EV153">
        <v>313.47000000000003</v>
      </c>
      <c r="EW153">
        <v>31.6</v>
      </c>
      <c r="EX153">
        <v>0.05</v>
      </c>
      <c r="EY153">
        <v>0</v>
      </c>
      <c r="FQ153">
        <v>0</v>
      </c>
      <c r="FR153">
        <f t="shared" si="204"/>
        <v>0</v>
      </c>
      <c r="FS153">
        <v>0</v>
      </c>
      <c r="FX153">
        <v>95</v>
      </c>
      <c r="FY153">
        <v>65</v>
      </c>
      <c r="GA153" t="s">
        <v>3</v>
      </c>
      <c r="GD153">
        <v>1</v>
      </c>
      <c r="GF153">
        <v>954034435</v>
      </c>
      <c r="GG153">
        <v>2</v>
      </c>
      <c r="GH153">
        <v>1</v>
      </c>
      <c r="GI153">
        <v>2</v>
      </c>
      <c r="GJ153">
        <v>0</v>
      </c>
      <c r="GK153">
        <v>0</v>
      </c>
      <c r="GL153">
        <f t="shared" si="205"/>
        <v>0</v>
      </c>
      <c r="GM153">
        <f t="shared" si="206"/>
        <v>1135.8</v>
      </c>
      <c r="GN153">
        <f t="shared" si="207"/>
        <v>0</v>
      </c>
      <c r="GO153">
        <f t="shared" si="208"/>
        <v>1135.8</v>
      </c>
      <c r="GP153">
        <f t="shared" si="209"/>
        <v>0</v>
      </c>
      <c r="GR153">
        <v>0</v>
      </c>
      <c r="GS153">
        <v>3</v>
      </c>
      <c r="GT153">
        <v>0</v>
      </c>
      <c r="GU153" t="s">
        <v>3</v>
      </c>
      <c r="GV153">
        <f t="shared" si="210"/>
        <v>0</v>
      </c>
      <c r="GW153">
        <v>1</v>
      </c>
      <c r="GX153">
        <f t="shared" si="211"/>
        <v>0</v>
      </c>
      <c r="HA153">
        <v>0</v>
      </c>
      <c r="HB153">
        <v>0</v>
      </c>
      <c r="HC153">
        <f t="shared" si="212"/>
        <v>0</v>
      </c>
      <c r="HE153" t="s">
        <v>3</v>
      </c>
      <c r="HF153" t="s">
        <v>3</v>
      </c>
      <c r="IK153">
        <v>0</v>
      </c>
    </row>
    <row r="154" spans="1:245" x14ac:dyDescent="0.2">
      <c r="A154">
        <v>18</v>
      </c>
      <c r="B154">
        <v>1</v>
      </c>
      <c r="C154">
        <v>467</v>
      </c>
      <c r="E154" t="s">
        <v>529</v>
      </c>
      <c r="F154" t="s">
        <v>530</v>
      </c>
      <c r="G154" t="s">
        <v>531</v>
      </c>
      <c r="H154" t="s">
        <v>29</v>
      </c>
      <c r="I154">
        <f>I153*J154</f>
        <v>3</v>
      </c>
      <c r="J154">
        <v>100</v>
      </c>
      <c r="O154">
        <f t="shared" si="179"/>
        <v>1042.94</v>
      </c>
      <c r="P154">
        <f t="shared" si="180"/>
        <v>1042.94</v>
      </c>
      <c r="Q154">
        <f t="shared" si="181"/>
        <v>0</v>
      </c>
      <c r="R154">
        <f t="shared" si="182"/>
        <v>0</v>
      </c>
      <c r="S154">
        <f t="shared" si="183"/>
        <v>0</v>
      </c>
      <c r="T154">
        <f t="shared" si="184"/>
        <v>0</v>
      </c>
      <c r="U154">
        <f t="shared" si="185"/>
        <v>0</v>
      </c>
      <c r="V154">
        <f t="shared" si="186"/>
        <v>0</v>
      </c>
      <c r="W154">
        <f t="shared" si="187"/>
        <v>0</v>
      </c>
      <c r="X154">
        <f t="shared" si="188"/>
        <v>0</v>
      </c>
      <c r="Y154">
        <f t="shared" si="189"/>
        <v>0</v>
      </c>
      <c r="AA154">
        <v>68990560</v>
      </c>
      <c r="AB154">
        <f t="shared" si="190"/>
        <v>51.2</v>
      </c>
      <c r="AC154">
        <f t="shared" si="178"/>
        <v>51.2</v>
      </c>
      <c r="AD154">
        <f>ROUND((((ET154)-(EU154))+AE154),2)</f>
        <v>0</v>
      </c>
      <c r="AE154">
        <f>ROUND((EU154),2)</f>
        <v>0</v>
      </c>
      <c r="AF154">
        <f>ROUND((EV154),2)</f>
        <v>0</v>
      </c>
      <c r="AG154">
        <f t="shared" si="191"/>
        <v>0</v>
      </c>
      <c r="AH154">
        <f>(EW154)</f>
        <v>0</v>
      </c>
      <c r="AI154">
        <f>(EX154)</f>
        <v>0</v>
      </c>
      <c r="AJ154">
        <f t="shared" si="192"/>
        <v>0</v>
      </c>
      <c r="AK154">
        <v>51.2</v>
      </c>
      <c r="AL154">
        <v>51.2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95</v>
      </c>
      <c r="AU154">
        <v>65</v>
      </c>
      <c r="AV154">
        <v>1</v>
      </c>
      <c r="AW154">
        <v>1</v>
      </c>
      <c r="AZ154">
        <v>1</v>
      </c>
      <c r="BA154">
        <v>1</v>
      </c>
      <c r="BB154">
        <v>1</v>
      </c>
      <c r="BC154">
        <v>6.79</v>
      </c>
      <c r="BD154" t="s">
        <v>3</v>
      </c>
      <c r="BE154" t="s">
        <v>3</v>
      </c>
      <c r="BF154" t="s">
        <v>3</v>
      </c>
      <c r="BG154" t="s">
        <v>3</v>
      </c>
      <c r="BH154">
        <v>3</v>
      </c>
      <c r="BI154">
        <v>2</v>
      </c>
      <c r="BJ154" t="s">
        <v>532</v>
      </c>
      <c r="BM154">
        <v>108001</v>
      </c>
      <c r="BN154">
        <v>0</v>
      </c>
      <c r="BO154" t="s">
        <v>530</v>
      </c>
      <c r="BP154">
        <v>1</v>
      </c>
      <c r="BQ154">
        <v>3</v>
      </c>
      <c r="BR154">
        <v>0</v>
      </c>
      <c r="BS154">
        <v>1</v>
      </c>
      <c r="BT154">
        <v>1</v>
      </c>
      <c r="BU154">
        <v>1</v>
      </c>
      <c r="BV154">
        <v>1</v>
      </c>
      <c r="BW154">
        <v>1</v>
      </c>
      <c r="BX154">
        <v>1</v>
      </c>
      <c r="BY154" t="s">
        <v>3</v>
      </c>
      <c r="BZ154">
        <v>95</v>
      </c>
      <c r="CA154">
        <v>65</v>
      </c>
      <c r="CE154">
        <v>0</v>
      </c>
      <c r="CF154">
        <v>0</v>
      </c>
      <c r="CG154">
        <v>0</v>
      </c>
      <c r="CM154">
        <v>0</v>
      </c>
      <c r="CN154" t="s">
        <v>3</v>
      </c>
      <c r="CO154">
        <v>0</v>
      </c>
      <c r="CP154">
        <f t="shared" si="193"/>
        <v>1042.94</v>
      </c>
      <c r="CQ154">
        <f t="shared" si="194"/>
        <v>347.64800000000002</v>
      </c>
      <c r="CR154">
        <f t="shared" si="195"/>
        <v>0</v>
      </c>
      <c r="CS154">
        <f t="shared" si="196"/>
        <v>0</v>
      </c>
      <c r="CT154">
        <f t="shared" si="197"/>
        <v>0</v>
      </c>
      <c r="CU154">
        <f t="shared" si="198"/>
        <v>0</v>
      </c>
      <c r="CV154">
        <f t="shared" si="199"/>
        <v>0</v>
      </c>
      <c r="CW154">
        <f t="shared" si="200"/>
        <v>0</v>
      </c>
      <c r="CX154">
        <f t="shared" si="201"/>
        <v>0</v>
      </c>
      <c r="CY154">
        <f t="shared" si="202"/>
        <v>0</v>
      </c>
      <c r="CZ154">
        <f t="shared" si="203"/>
        <v>0</v>
      </c>
      <c r="DC154" t="s">
        <v>3</v>
      </c>
      <c r="DD154" t="s">
        <v>3</v>
      </c>
      <c r="DE154" t="s">
        <v>3</v>
      </c>
      <c r="DF154" t="s">
        <v>3</v>
      </c>
      <c r="DG154" t="s">
        <v>3</v>
      </c>
      <c r="DH154" t="s">
        <v>3</v>
      </c>
      <c r="DI154" t="s">
        <v>3</v>
      </c>
      <c r="DJ154" t="s">
        <v>3</v>
      </c>
      <c r="DK154" t="s">
        <v>3</v>
      </c>
      <c r="DL154" t="s">
        <v>3</v>
      </c>
      <c r="DM154" t="s">
        <v>3</v>
      </c>
      <c r="DN154">
        <v>0</v>
      </c>
      <c r="DO154">
        <v>0</v>
      </c>
      <c r="DP154">
        <v>1</v>
      </c>
      <c r="DQ154">
        <v>1</v>
      </c>
      <c r="DU154">
        <v>1013</v>
      </c>
      <c r="DV154" t="s">
        <v>29</v>
      </c>
      <c r="DW154" t="s">
        <v>29</v>
      </c>
      <c r="DX154">
        <v>1</v>
      </c>
      <c r="DZ154" t="s">
        <v>3</v>
      </c>
      <c r="EA154" t="s">
        <v>3</v>
      </c>
      <c r="EB154" t="s">
        <v>3</v>
      </c>
      <c r="EC154" t="s">
        <v>3</v>
      </c>
      <c r="EE154">
        <v>64094909</v>
      </c>
      <c r="EF154">
        <v>3</v>
      </c>
      <c r="EG154" t="s">
        <v>22</v>
      </c>
      <c r="EH154">
        <v>0</v>
      </c>
      <c r="EI154" t="s">
        <v>3</v>
      </c>
      <c r="EJ154">
        <v>2</v>
      </c>
      <c r="EK154">
        <v>108001</v>
      </c>
      <c r="EL154" t="s">
        <v>23</v>
      </c>
      <c r="EM154" t="s">
        <v>24</v>
      </c>
      <c r="EO154" t="s">
        <v>3</v>
      </c>
      <c r="EQ154">
        <v>0</v>
      </c>
      <c r="ER154">
        <v>51.2</v>
      </c>
      <c r="ES154">
        <v>51.2</v>
      </c>
      <c r="ET154">
        <v>0</v>
      </c>
      <c r="EU154">
        <v>0</v>
      </c>
      <c r="EV154">
        <v>0</v>
      </c>
      <c r="EW154">
        <v>0</v>
      </c>
      <c r="EX154">
        <v>0</v>
      </c>
      <c r="FQ154">
        <v>0</v>
      </c>
      <c r="FR154">
        <f t="shared" si="204"/>
        <v>0</v>
      </c>
      <c r="FS154">
        <v>0</v>
      </c>
      <c r="FX154">
        <v>95</v>
      </c>
      <c r="FY154">
        <v>65</v>
      </c>
      <c r="GA154" t="s">
        <v>3</v>
      </c>
      <c r="GD154">
        <v>1</v>
      </c>
      <c r="GF154">
        <v>1028657543</v>
      </c>
      <c r="GG154">
        <v>2</v>
      </c>
      <c r="GH154">
        <v>1</v>
      </c>
      <c r="GI154">
        <v>2</v>
      </c>
      <c r="GJ154">
        <v>0</v>
      </c>
      <c r="GK154">
        <v>0</v>
      </c>
      <c r="GL154">
        <f t="shared" si="205"/>
        <v>0</v>
      </c>
      <c r="GM154">
        <f t="shared" si="206"/>
        <v>1042.94</v>
      </c>
      <c r="GN154">
        <f t="shared" si="207"/>
        <v>0</v>
      </c>
      <c r="GO154">
        <f t="shared" si="208"/>
        <v>1042.94</v>
      </c>
      <c r="GP154">
        <f t="shared" si="209"/>
        <v>0</v>
      </c>
      <c r="GR154">
        <v>0</v>
      </c>
      <c r="GS154">
        <v>3</v>
      </c>
      <c r="GT154">
        <v>0</v>
      </c>
      <c r="GU154" t="s">
        <v>3</v>
      </c>
      <c r="GV154">
        <f t="shared" si="210"/>
        <v>0</v>
      </c>
      <c r="GW154">
        <v>1</v>
      </c>
      <c r="GX154">
        <f t="shared" si="211"/>
        <v>0</v>
      </c>
      <c r="HA154">
        <v>0</v>
      </c>
      <c r="HB154">
        <v>0</v>
      </c>
      <c r="HC154">
        <f t="shared" si="212"/>
        <v>0</v>
      </c>
      <c r="HE154" t="s">
        <v>3</v>
      </c>
      <c r="HF154" t="s">
        <v>3</v>
      </c>
      <c r="IK154">
        <v>0</v>
      </c>
    </row>
    <row r="155" spans="1:245" x14ac:dyDescent="0.2">
      <c r="A155">
        <v>17</v>
      </c>
      <c r="B155">
        <v>1</v>
      </c>
      <c r="C155">
        <f>ROW(SmtRes!A475)</f>
        <v>475</v>
      </c>
      <c r="D155">
        <f>ROW(EtalonRes!A464)</f>
        <v>464</v>
      </c>
      <c r="E155" t="s">
        <v>533</v>
      </c>
      <c r="F155" t="s">
        <v>534</v>
      </c>
      <c r="G155" t="s">
        <v>535</v>
      </c>
      <c r="H155" t="s">
        <v>29</v>
      </c>
      <c r="I155">
        <f>ROUND(1,5)</f>
        <v>1</v>
      </c>
      <c r="J155">
        <v>0</v>
      </c>
      <c r="O155">
        <f t="shared" si="179"/>
        <v>582.69000000000005</v>
      </c>
      <c r="P155">
        <f t="shared" si="180"/>
        <v>11.5</v>
      </c>
      <c r="Q155">
        <f t="shared" si="181"/>
        <v>124.99</v>
      </c>
      <c r="R155">
        <f t="shared" si="182"/>
        <v>57.21</v>
      </c>
      <c r="S155">
        <f t="shared" si="183"/>
        <v>446.2</v>
      </c>
      <c r="T155">
        <f t="shared" si="184"/>
        <v>0</v>
      </c>
      <c r="U155">
        <f t="shared" si="185"/>
        <v>1.3365</v>
      </c>
      <c r="V155">
        <f t="shared" si="186"/>
        <v>0.13500000000000001</v>
      </c>
      <c r="W155">
        <f t="shared" si="187"/>
        <v>0</v>
      </c>
      <c r="X155">
        <f t="shared" si="188"/>
        <v>478.24</v>
      </c>
      <c r="Y155">
        <f t="shared" si="189"/>
        <v>327.22000000000003</v>
      </c>
      <c r="AA155">
        <v>68990560</v>
      </c>
      <c r="AB155">
        <f t="shared" si="190"/>
        <v>26.3</v>
      </c>
      <c r="AC155">
        <f t="shared" si="178"/>
        <v>0.81</v>
      </c>
      <c r="AD155">
        <f>ROUND(((((ET155*1.35))-((EU155*1.35)))+AE155),2)</f>
        <v>12.23</v>
      </c>
      <c r="AE155">
        <f>ROUND(((EU155*1.35)),2)</f>
        <v>1.7</v>
      </c>
      <c r="AF155">
        <f>ROUND(((EV155*1.35)),2)</f>
        <v>13.26</v>
      </c>
      <c r="AG155">
        <f t="shared" si="191"/>
        <v>0</v>
      </c>
      <c r="AH155">
        <f>((EW155*1.35))</f>
        <v>1.3365</v>
      </c>
      <c r="AI155">
        <f>((EX155*1.35))</f>
        <v>0.13500000000000001</v>
      </c>
      <c r="AJ155">
        <f t="shared" si="192"/>
        <v>0</v>
      </c>
      <c r="AK155">
        <v>19.690000000000001</v>
      </c>
      <c r="AL155">
        <v>0.81</v>
      </c>
      <c r="AM155">
        <v>9.06</v>
      </c>
      <c r="AN155">
        <v>1.26</v>
      </c>
      <c r="AO155">
        <v>9.82</v>
      </c>
      <c r="AP155">
        <v>0</v>
      </c>
      <c r="AQ155">
        <v>0.99</v>
      </c>
      <c r="AR155">
        <v>0.1</v>
      </c>
      <c r="AS155">
        <v>0</v>
      </c>
      <c r="AT155">
        <v>95</v>
      </c>
      <c r="AU155">
        <v>65</v>
      </c>
      <c r="AV155">
        <v>1</v>
      </c>
      <c r="AW155">
        <v>1</v>
      </c>
      <c r="AZ155">
        <v>1</v>
      </c>
      <c r="BA155">
        <v>33.65</v>
      </c>
      <c r="BB155">
        <v>10.220000000000001</v>
      </c>
      <c r="BC155">
        <v>14.2</v>
      </c>
      <c r="BD155" t="s">
        <v>3</v>
      </c>
      <c r="BE155" t="s">
        <v>3</v>
      </c>
      <c r="BF155" t="s">
        <v>3</v>
      </c>
      <c r="BG155" t="s">
        <v>3</v>
      </c>
      <c r="BH155">
        <v>0</v>
      </c>
      <c r="BI155">
        <v>2</v>
      </c>
      <c r="BJ155" t="s">
        <v>536</v>
      </c>
      <c r="BM155">
        <v>108001</v>
      </c>
      <c r="BN155">
        <v>0</v>
      </c>
      <c r="BO155" t="s">
        <v>534</v>
      </c>
      <c r="BP155">
        <v>1</v>
      </c>
      <c r="BQ155">
        <v>3</v>
      </c>
      <c r="BR155">
        <v>0</v>
      </c>
      <c r="BS155">
        <v>33.65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3</v>
      </c>
      <c r="BZ155">
        <v>95</v>
      </c>
      <c r="CA155">
        <v>65</v>
      </c>
      <c r="CE155">
        <v>0</v>
      </c>
      <c r="CF155">
        <v>0</v>
      </c>
      <c r="CG155">
        <v>0</v>
      </c>
      <c r="CM155">
        <v>0</v>
      </c>
      <c r="CN155" t="s">
        <v>1329</v>
      </c>
      <c r="CO155">
        <v>0</v>
      </c>
      <c r="CP155">
        <f t="shared" si="193"/>
        <v>582.69000000000005</v>
      </c>
      <c r="CQ155">
        <f t="shared" si="194"/>
        <v>11.502000000000001</v>
      </c>
      <c r="CR155">
        <f t="shared" si="195"/>
        <v>124.99060000000001</v>
      </c>
      <c r="CS155">
        <f t="shared" si="196"/>
        <v>57.204999999999998</v>
      </c>
      <c r="CT155">
        <f t="shared" si="197"/>
        <v>446.19899999999996</v>
      </c>
      <c r="CU155">
        <f t="shared" si="198"/>
        <v>0</v>
      </c>
      <c r="CV155">
        <f t="shared" si="199"/>
        <v>1.3365</v>
      </c>
      <c r="CW155">
        <f t="shared" si="200"/>
        <v>0.13500000000000001</v>
      </c>
      <c r="CX155">
        <f t="shared" si="201"/>
        <v>0</v>
      </c>
      <c r="CY155">
        <f t="shared" si="202"/>
        <v>478.23949999999996</v>
      </c>
      <c r="CZ155">
        <f t="shared" si="203"/>
        <v>327.2165</v>
      </c>
      <c r="DC155" t="s">
        <v>3</v>
      </c>
      <c r="DD155" t="s">
        <v>3</v>
      </c>
      <c r="DE155" t="s">
        <v>200</v>
      </c>
      <c r="DF155" t="s">
        <v>200</v>
      </c>
      <c r="DG155" t="s">
        <v>200</v>
      </c>
      <c r="DH155" t="s">
        <v>3</v>
      </c>
      <c r="DI155" t="s">
        <v>200</v>
      </c>
      <c r="DJ155" t="s">
        <v>200</v>
      </c>
      <c r="DK155" t="s">
        <v>3</v>
      </c>
      <c r="DL155" t="s">
        <v>3</v>
      </c>
      <c r="DM155" t="s">
        <v>3</v>
      </c>
      <c r="DN155">
        <v>0</v>
      </c>
      <c r="DO155">
        <v>0</v>
      </c>
      <c r="DP155">
        <v>1</v>
      </c>
      <c r="DQ155">
        <v>1</v>
      </c>
      <c r="DU155">
        <v>1013</v>
      </c>
      <c r="DV155" t="s">
        <v>29</v>
      </c>
      <c r="DW155" t="s">
        <v>29</v>
      </c>
      <c r="DX155">
        <v>1</v>
      </c>
      <c r="DZ155" t="s">
        <v>3</v>
      </c>
      <c r="EA155" t="s">
        <v>3</v>
      </c>
      <c r="EB155" t="s">
        <v>3</v>
      </c>
      <c r="EC155" t="s">
        <v>3</v>
      </c>
      <c r="EE155">
        <v>64094909</v>
      </c>
      <c r="EF155">
        <v>3</v>
      </c>
      <c r="EG155" t="s">
        <v>22</v>
      </c>
      <c r="EH155">
        <v>0</v>
      </c>
      <c r="EI155" t="s">
        <v>3</v>
      </c>
      <c r="EJ155">
        <v>2</v>
      </c>
      <c r="EK155">
        <v>108001</v>
      </c>
      <c r="EL155" t="s">
        <v>23</v>
      </c>
      <c r="EM155" t="s">
        <v>24</v>
      </c>
      <c r="EO155" t="s">
        <v>42</v>
      </c>
      <c r="EQ155">
        <v>0</v>
      </c>
      <c r="ER155">
        <v>19.690000000000001</v>
      </c>
      <c r="ES155">
        <v>0.81</v>
      </c>
      <c r="ET155">
        <v>9.06</v>
      </c>
      <c r="EU155">
        <v>1.26</v>
      </c>
      <c r="EV155">
        <v>9.82</v>
      </c>
      <c r="EW155">
        <v>0.99</v>
      </c>
      <c r="EX155">
        <v>0.1</v>
      </c>
      <c r="EY155">
        <v>0</v>
      </c>
      <c r="FQ155">
        <v>0</v>
      </c>
      <c r="FR155">
        <f t="shared" si="204"/>
        <v>0</v>
      </c>
      <c r="FS155">
        <v>0</v>
      </c>
      <c r="FX155">
        <v>95</v>
      </c>
      <c r="FY155">
        <v>65</v>
      </c>
      <c r="GA155" t="s">
        <v>3</v>
      </c>
      <c r="GD155">
        <v>1</v>
      </c>
      <c r="GF155">
        <v>-480720182</v>
      </c>
      <c r="GG155">
        <v>2</v>
      </c>
      <c r="GH155">
        <v>1</v>
      </c>
      <c r="GI155">
        <v>2</v>
      </c>
      <c r="GJ155">
        <v>0</v>
      </c>
      <c r="GK155">
        <v>0</v>
      </c>
      <c r="GL155">
        <f t="shared" si="205"/>
        <v>0</v>
      </c>
      <c r="GM155">
        <f t="shared" si="206"/>
        <v>1388.15</v>
      </c>
      <c r="GN155">
        <f t="shared" si="207"/>
        <v>0</v>
      </c>
      <c r="GO155">
        <f t="shared" si="208"/>
        <v>1388.15</v>
      </c>
      <c r="GP155">
        <f t="shared" si="209"/>
        <v>0</v>
      </c>
      <c r="GR155">
        <v>0</v>
      </c>
      <c r="GS155">
        <v>3</v>
      </c>
      <c r="GT155">
        <v>0</v>
      </c>
      <c r="GU155" t="s">
        <v>3</v>
      </c>
      <c r="GV155">
        <f t="shared" si="210"/>
        <v>0</v>
      </c>
      <c r="GW155">
        <v>1</v>
      </c>
      <c r="GX155">
        <f t="shared" si="211"/>
        <v>0</v>
      </c>
      <c r="HA155">
        <v>0</v>
      </c>
      <c r="HB155">
        <v>0</v>
      </c>
      <c r="HC155">
        <f t="shared" si="212"/>
        <v>0</v>
      </c>
      <c r="HE155" t="s">
        <v>3</v>
      </c>
      <c r="HF155" t="s">
        <v>3</v>
      </c>
      <c r="IK155">
        <v>0</v>
      </c>
    </row>
    <row r="156" spans="1:245" x14ac:dyDescent="0.2">
      <c r="A156">
        <v>18</v>
      </c>
      <c r="B156">
        <v>1</v>
      </c>
      <c r="C156">
        <v>474</v>
      </c>
      <c r="E156" t="s">
        <v>537</v>
      </c>
      <c r="F156" t="s">
        <v>538</v>
      </c>
      <c r="G156" t="s">
        <v>539</v>
      </c>
      <c r="H156" t="s">
        <v>29</v>
      </c>
      <c r="I156">
        <f>I155*J156</f>
        <v>1</v>
      </c>
      <c r="J156">
        <v>1</v>
      </c>
      <c r="O156">
        <f t="shared" si="179"/>
        <v>10855.38</v>
      </c>
      <c r="P156">
        <f t="shared" si="180"/>
        <v>10855.38</v>
      </c>
      <c r="Q156">
        <f t="shared" si="181"/>
        <v>0</v>
      </c>
      <c r="R156">
        <f t="shared" si="182"/>
        <v>0</v>
      </c>
      <c r="S156">
        <f t="shared" si="183"/>
        <v>0</v>
      </c>
      <c r="T156">
        <f t="shared" si="184"/>
        <v>0</v>
      </c>
      <c r="U156">
        <f t="shared" si="185"/>
        <v>0</v>
      </c>
      <c r="V156">
        <f t="shared" si="186"/>
        <v>0</v>
      </c>
      <c r="W156">
        <f t="shared" si="187"/>
        <v>0</v>
      </c>
      <c r="X156">
        <f t="shared" si="188"/>
        <v>0</v>
      </c>
      <c r="Y156">
        <f t="shared" si="189"/>
        <v>0</v>
      </c>
      <c r="AA156">
        <v>68990560</v>
      </c>
      <c r="AB156">
        <f t="shared" si="190"/>
        <v>1855.62</v>
      </c>
      <c r="AC156">
        <f t="shared" si="178"/>
        <v>1855.62</v>
      </c>
      <c r="AD156">
        <f>ROUND((((ET156)-(EU156))+AE156),2)</f>
        <v>0</v>
      </c>
      <c r="AE156">
        <f>ROUND((EU156),2)</f>
        <v>0</v>
      </c>
      <c r="AF156">
        <f>ROUND((EV156),2)</f>
        <v>0</v>
      </c>
      <c r="AG156">
        <f t="shared" si="191"/>
        <v>0</v>
      </c>
      <c r="AH156">
        <f>(EW156)</f>
        <v>0</v>
      </c>
      <c r="AI156">
        <f>(EX156)</f>
        <v>0</v>
      </c>
      <c r="AJ156">
        <f t="shared" si="192"/>
        <v>0</v>
      </c>
      <c r="AK156">
        <v>1855.62</v>
      </c>
      <c r="AL156">
        <v>1855.62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95</v>
      </c>
      <c r="AU156">
        <v>65</v>
      </c>
      <c r="AV156">
        <v>1</v>
      </c>
      <c r="AW156">
        <v>1</v>
      </c>
      <c r="AZ156">
        <v>1</v>
      </c>
      <c r="BA156">
        <v>1</v>
      </c>
      <c r="BB156">
        <v>1</v>
      </c>
      <c r="BC156">
        <v>5.85</v>
      </c>
      <c r="BD156" t="s">
        <v>3</v>
      </c>
      <c r="BE156" t="s">
        <v>3</v>
      </c>
      <c r="BF156" t="s">
        <v>3</v>
      </c>
      <c r="BG156" t="s">
        <v>3</v>
      </c>
      <c r="BH156">
        <v>3</v>
      </c>
      <c r="BI156">
        <v>2</v>
      </c>
      <c r="BJ156" t="s">
        <v>540</v>
      </c>
      <c r="BM156">
        <v>108001</v>
      </c>
      <c r="BN156">
        <v>0</v>
      </c>
      <c r="BO156" t="s">
        <v>538</v>
      </c>
      <c r="BP156">
        <v>1</v>
      </c>
      <c r="BQ156">
        <v>3</v>
      </c>
      <c r="BR156">
        <v>0</v>
      </c>
      <c r="BS156">
        <v>1</v>
      </c>
      <c r="BT156">
        <v>1</v>
      </c>
      <c r="BU156">
        <v>1</v>
      </c>
      <c r="BV156">
        <v>1</v>
      </c>
      <c r="BW156">
        <v>1</v>
      </c>
      <c r="BX156">
        <v>1</v>
      </c>
      <c r="BY156" t="s">
        <v>3</v>
      </c>
      <c r="BZ156">
        <v>95</v>
      </c>
      <c r="CA156">
        <v>65</v>
      </c>
      <c r="CE156">
        <v>0</v>
      </c>
      <c r="CF156">
        <v>0</v>
      </c>
      <c r="CG156">
        <v>0</v>
      </c>
      <c r="CM156">
        <v>0</v>
      </c>
      <c r="CN156" t="s">
        <v>3</v>
      </c>
      <c r="CO156">
        <v>0</v>
      </c>
      <c r="CP156">
        <f t="shared" si="193"/>
        <v>10855.38</v>
      </c>
      <c r="CQ156">
        <f t="shared" si="194"/>
        <v>10855.376999999999</v>
      </c>
      <c r="CR156">
        <f t="shared" si="195"/>
        <v>0</v>
      </c>
      <c r="CS156">
        <f t="shared" si="196"/>
        <v>0</v>
      </c>
      <c r="CT156">
        <f t="shared" si="197"/>
        <v>0</v>
      </c>
      <c r="CU156">
        <f t="shared" si="198"/>
        <v>0</v>
      </c>
      <c r="CV156">
        <f t="shared" si="199"/>
        <v>0</v>
      </c>
      <c r="CW156">
        <f t="shared" si="200"/>
        <v>0</v>
      </c>
      <c r="CX156">
        <f t="shared" si="201"/>
        <v>0</v>
      </c>
      <c r="CY156">
        <f t="shared" si="202"/>
        <v>0</v>
      </c>
      <c r="CZ156">
        <f t="shared" si="203"/>
        <v>0</v>
      </c>
      <c r="DC156" t="s">
        <v>3</v>
      </c>
      <c r="DD156" t="s">
        <v>3</v>
      </c>
      <c r="DE156" t="s">
        <v>3</v>
      </c>
      <c r="DF156" t="s">
        <v>3</v>
      </c>
      <c r="DG156" t="s">
        <v>3</v>
      </c>
      <c r="DH156" t="s">
        <v>3</v>
      </c>
      <c r="DI156" t="s">
        <v>3</v>
      </c>
      <c r="DJ156" t="s">
        <v>3</v>
      </c>
      <c r="DK156" t="s">
        <v>3</v>
      </c>
      <c r="DL156" t="s">
        <v>3</v>
      </c>
      <c r="DM156" t="s">
        <v>3</v>
      </c>
      <c r="DN156">
        <v>0</v>
      </c>
      <c r="DO156">
        <v>0</v>
      </c>
      <c r="DP156">
        <v>1</v>
      </c>
      <c r="DQ156">
        <v>1</v>
      </c>
      <c r="DU156">
        <v>1013</v>
      </c>
      <c r="DV156" t="s">
        <v>29</v>
      </c>
      <c r="DW156" t="s">
        <v>29</v>
      </c>
      <c r="DX156">
        <v>1</v>
      </c>
      <c r="DZ156" t="s">
        <v>3</v>
      </c>
      <c r="EA156" t="s">
        <v>3</v>
      </c>
      <c r="EB156" t="s">
        <v>3</v>
      </c>
      <c r="EC156" t="s">
        <v>3</v>
      </c>
      <c r="EE156">
        <v>64094909</v>
      </c>
      <c r="EF156">
        <v>3</v>
      </c>
      <c r="EG156" t="s">
        <v>22</v>
      </c>
      <c r="EH156">
        <v>0</v>
      </c>
      <c r="EI156" t="s">
        <v>3</v>
      </c>
      <c r="EJ156">
        <v>2</v>
      </c>
      <c r="EK156">
        <v>108001</v>
      </c>
      <c r="EL156" t="s">
        <v>23</v>
      </c>
      <c r="EM156" t="s">
        <v>24</v>
      </c>
      <c r="EO156" t="s">
        <v>3</v>
      </c>
      <c r="EQ156">
        <v>0</v>
      </c>
      <c r="ER156">
        <v>1855.62</v>
      </c>
      <c r="ES156">
        <v>1855.62</v>
      </c>
      <c r="ET156">
        <v>0</v>
      </c>
      <c r="EU156">
        <v>0</v>
      </c>
      <c r="EV156">
        <v>0</v>
      </c>
      <c r="EW156">
        <v>0</v>
      </c>
      <c r="EX156">
        <v>0</v>
      </c>
      <c r="FQ156">
        <v>0</v>
      </c>
      <c r="FR156">
        <f t="shared" si="204"/>
        <v>0</v>
      </c>
      <c r="FS156">
        <v>0</v>
      </c>
      <c r="FX156">
        <v>95</v>
      </c>
      <c r="FY156">
        <v>65</v>
      </c>
      <c r="GA156" t="s">
        <v>3</v>
      </c>
      <c r="GD156">
        <v>1</v>
      </c>
      <c r="GF156">
        <v>1697853901</v>
      </c>
      <c r="GG156">
        <v>2</v>
      </c>
      <c r="GH156">
        <v>1</v>
      </c>
      <c r="GI156">
        <v>2</v>
      </c>
      <c r="GJ156">
        <v>0</v>
      </c>
      <c r="GK156">
        <v>0</v>
      </c>
      <c r="GL156">
        <f t="shared" si="205"/>
        <v>0</v>
      </c>
      <c r="GM156">
        <f t="shared" si="206"/>
        <v>10855.38</v>
      </c>
      <c r="GN156">
        <f t="shared" si="207"/>
        <v>0</v>
      </c>
      <c r="GO156">
        <f t="shared" si="208"/>
        <v>10855.38</v>
      </c>
      <c r="GP156">
        <f t="shared" si="209"/>
        <v>0</v>
      </c>
      <c r="GR156">
        <v>0</v>
      </c>
      <c r="GS156">
        <v>3</v>
      </c>
      <c r="GT156">
        <v>0</v>
      </c>
      <c r="GU156" t="s">
        <v>3</v>
      </c>
      <c r="GV156">
        <f t="shared" si="210"/>
        <v>0</v>
      </c>
      <c r="GW156">
        <v>1</v>
      </c>
      <c r="GX156">
        <f t="shared" si="211"/>
        <v>0</v>
      </c>
      <c r="HA156">
        <v>0</v>
      </c>
      <c r="HB156">
        <v>0</v>
      </c>
      <c r="HC156">
        <f t="shared" si="212"/>
        <v>0</v>
      </c>
      <c r="HE156" t="s">
        <v>3</v>
      </c>
      <c r="HF156" t="s">
        <v>3</v>
      </c>
      <c r="IK156">
        <v>0</v>
      </c>
    </row>
    <row r="157" spans="1:245" x14ac:dyDescent="0.2">
      <c r="A157">
        <v>17</v>
      </c>
      <c r="B157">
        <v>1</v>
      </c>
      <c r="C157">
        <f>ROW(SmtRes!A480)</f>
        <v>480</v>
      </c>
      <c r="D157">
        <f>ROW(EtalonRes!A467)</f>
        <v>467</v>
      </c>
      <c r="E157" t="s">
        <v>541</v>
      </c>
      <c r="F157" t="s">
        <v>542</v>
      </c>
      <c r="G157" t="s">
        <v>543</v>
      </c>
      <c r="H157" t="s">
        <v>90</v>
      </c>
      <c r="I157">
        <f>ROUND(122/100,5)</f>
        <v>1.22</v>
      </c>
      <c r="J157">
        <v>0</v>
      </c>
      <c r="O157">
        <f t="shared" si="179"/>
        <v>8070.11</v>
      </c>
      <c r="P157">
        <f t="shared" si="180"/>
        <v>336.55</v>
      </c>
      <c r="Q157">
        <f t="shared" si="181"/>
        <v>0</v>
      </c>
      <c r="R157">
        <f t="shared" si="182"/>
        <v>0</v>
      </c>
      <c r="S157">
        <f t="shared" si="183"/>
        <v>7733.56</v>
      </c>
      <c r="T157">
        <f t="shared" si="184"/>
        <v>0</v>
      </c>
      <c r="U157">
        <f t="shared" si="185"/>
        <v>25.034399999999998</v>
      </c>
      <c r="V157">
        <f t="shared" si="186"/>
        <v>0</v>
      </c>
      <c r="W157">
        <f t="shared" si="187"/>
        <v>0</v>
      </c>
      <c r="X157">
        <f t="shared" si="188"/>
        <v>7346.88</v>
      </c>
      <c r="Y157">
        <f t="shared" si="189"/>
        <v>5026.8100000000004</v>
      </c>
      <c r="AA157">
        <v>68990560</v>
      </c>
      <c r="AB157">
        <f t="shared" si="190"/>
        <v>205.17</v>
      </c>
      <c r="AC157">
        <f t="shared" si="178"/>
        <v>16.79</v>
      </c>
      <c r="AD157">
        <f>ROUND(((((ET157*1.35))-((EU157*1.35)))+AE157),2)</f>
        <v>0</v>
      </c>
      <c r="AE157">
        <f>ROUND(((EU157*1.35)),2)</f>
        <v>0</v>
      </c>
      <c r="AF157">
        <f>ROUND(((EV157*1.35)),2)</f>
        <v>188.38</v>
      </c>
      <c r="AG157">
        <f t="shared" si="191"/>
        <v>0</v>
      </c>
      <c r="AH157">
        <f>((EW157*1.35))</f>
        <v>20.52</v>
      </c>
      <c r="AI157">
        <f>((EX157*1.35))</f>
        <v>0</v>
      </c>
      <c r="AJ157">
        <f t="shared" si="192"/>
        <v>0</v>
      </c>
      <c r="AK157">
        <v>156.33000000000001</v>
      </c>
      <c r="AL157">
        <v>16.79</v>
      </c>
      <c r="AM157">
        <v>0</v>
      </c>
      <c r="AN157">
        <v>0</v>
      </c>
      <c r="AO157">
        <v>139.54</v>
      </c>
      <c r="AP157">
        <v>0</v>
      </c>
      <c r="AQ157">
        <v>15.2</v>
      </c>
      <c r="AR157">
        <v>0</v>
      </c>
      <c r="AS157">
        <v>0</v>
      </c>
      <c r="AT157">
        <v>95</v>
      </c>
      <c r="AU157">
        <v>65</v>
      </c>
      <c r="AV157">
        <v>1</v>
      </c>
      <c r="AW157">
        <v>1</v>
      </c>
      <c r="AZ157">
        <v>1</v>
      </c>
      <c r="BA157">
        <v>33.65</v>
      </c>
      <c r="BB157">
        <v>1</v>
      </c>
      <c r="BC157">
        <v>16.43</v>
      </c>
      <c r="BD157" t="s">
        <v>3</v>
      </c>
      <c r="BE157" t="s">
        <v>3</v>
      </c>
      <c r="BF157" t="s">
        <v>3</v>
      </c>
      <c r="BG157" t="s">
        <v>3</v>
      </c>
      <c r="BH157">
        <v>0</v>
      </c>
      <c r="BI157">
        <v>2</v>
      </c>
      <c r="BJ157" t="s">
        <v>544</v>
      </c>
      <c r="BM157">
        <v>108001</v>
      </c>
      <c r="BN157">
        <v>0</v>
      </c>
      <c r="BO157" t="s">
        <v>542</v>
      </c>
      <c r="BP157">
        <v>1</v>
      </c>
      <c r="BQ157">
        <v>3</v>
      </c>
      <c r="BR157">
        <v>0</v>
      </c>
      <c r="BS157">
        <v>33.65</v>
      </c>
      <c r="BT157">
        <v>1</v>
      </c>
      <c r="BU157">
        <v>1</v>
      </c>
      <c r="BV157">
        <v>1</v>
      </c>
      <c r="BW157">
        <v>1</v>
      </c>
      <c r="BX157">
        <v>1</v>
      </c>
      <c r="BY157" t="s">
        <v>3</v>
      </c>
      <c r="BZ157">
        <v>95</v>
      </c>
      <c r="CA157">
        <v>65</v>
      </c>
      <c r="CE157">
        <v>0</v>
      </c>
      <c r="CF157">
        <v>0</v>
      </c>
      <c r="CG157">
        <v>0</v>
      </c>
      <c r="CM157">
        <v>0</v>
      </c>
      <c r="CN157" t="s">
        <v>1329</v>
      </c>
      <c r="CO157">
        <v>0</v>
      </c>
      <c r="CP157">
        <f t="shared" si="193"/>
        <v>8070.1100000000006</v>
      </c>
      <c r="CQ157">
        <f t="shared" si="194"/>
        <v>275.85969999999998</v>
      </c>
      <c r="CR157">
        <f t="shared" si="195"/>
        <v>0</v>
      </c>
      <c r="CS157">
        <f t="shared" si="196"/>
        <v>0</v>
      </c>
      <c r="CT157">
        <f t="shared" si="197"/>
        <v>6338.9869999999992</v>
      </c>
      <c r="CU157">
        <f t="shared" si="198"/>
        <v>0</v>
      </c>
      <c r="CV157">
        <f t="shared" si="199"/>
        <v>20.52</v>
      </c>
      <c r="CW157">
        <f t="shared" si="200"/>
        <v>0</v>
      </c>
      <c r="CX157">
        <f t="shared" si="201"/>
        <v>0</v>
      </c>
      <c r="CY157">
        <f t="shared" si="202"/>
        <v>7346.8820000000005</v>
      </c>
      <c r="CZ157">
        <f t="shared" si="203"/>
        <v>5026.8140000000003</v>
      </c>
      <c r="DC157" t="s">
        <v>3</v>
      </c>
      <c r="DD157" t="s">
        <v>3</v>
      </c>
      <c r="DE157" t="s">
        <v>200</v>
      </c>
      <c r="DF157" t="s">
        <v>200</v>
      </c>
      <c r="DG157" t="s">
        <v>200</v>
      </c>
      <c r="DH157" t="s">
        <v>3</v>
      </c>
      <c r="DI157" t="s">
        <v>200</v>
      </c>
      <c r="DJ157" t="s">
        <v>200</v>
      </c>
      <c r="DK157" t="s">
        <v>3</v>
      </c>
      <c r="DL157" t="s">
        <v>3</v>
      </c>
      <c r="DM157" t="s">
        <v>3</v>
      </c>
      <c r="DN157">
        <v>0</v>
      </c>
      <c r="DO157">
        <v>0</v>
      </c>
      <c r="DP157">
        <v>1</v>
      </c>
      <c r="DQ157">
        <v>1</v>
      </c>
      <c r="DU157">
        <v>1003</v>
      </c>
      <c r="DV157" t="s">
        <v>90</v>
      </c>
      <c r="DW157" t="s">
        <v>90</v>
      </c>
      <c r="DX157">
        <v>100</v>
      </c>
      <c r="DZ157" t="s">
        <v>3</v>
      </c>
      <c r="EA157" t="s">
        <v>3</v>
      </c>
      <c r="EB157" t="s">
        <v>3</v>
      </c>
      <c r="EC157" t="s">
        <v>3</v>
      </c>
      <c r="EE157">
        <v>64094909</v>
      </c>
      <c r="EF157">
        <v>3</v>
      </c>
      <c r="EG157" t="s">
        <v>22</v>
      </c>
      <c r="EH157">
        <v>0</v>
      </c>
      <c r="EI157" t="s">
        <v>3</v>
      </c>
      <c r="EJ157">
        <v>2</v>
      </c>
      <c r="EK157">
        <v>108001</v>
      </c>
      <c r="EL157" t="s">
        <v>23</v>
      </c>
      <c r="EM157" t="s">
        <v>24</v>
      </c>
      <c r="EO157" t="s">
        <v>42</v>
      </c>
      <c r="EQ157">
        <v>0</v>
      </c>
      <c r="ER157">
        <v>156.33000000000001</v>
      </c>
      <c r="ES157">
        <v>16.79</v>
      </c>
      <c r="ET157">
        <v>0</v>
      </c>
      <c r="EU157">
        <v>0</v>
      </c>
      <c r="EV157">
        <v>139.54</v>
      </c>
      <c r="EW157">
        <v>15.2</v>
      </c>
      <c r="EX157">
        <v>0</v>
      </c>
      <c r="EY157">
        <v>0</v>
      </c>
      <c r="FQ157">
        <v>0</v>
      </c>
      <c r="FR157">
        <f t="shared" si="204"/>
        <v>0</v>
      </c>
      <c r="FS157">
        <v>0</v>
      </c>
      <c r="FX157">
        <v>95</v>
      </c>
      <c r="FY157">
        <v>65</v>
      </c>
      <c r="GA157" t="s">
        <v>3</v>
      </c>
      <c r="GD157">
        <v>1</v>
      </c>
      <c r="GF157">
        <v>1032387993</v>
      </c>
      <c r="GG157">
        <v>2</v>
      </c>
      <c r="GH157">
        <v>1</v>
      </c>
      <c r="GI157">
        <v>2</v>
      </c>
      <c r="GJ157">
        <v>0</v>
      </c>
      <c r="GK157">
        <v>0</v>
      </c>
      <c r="GL157">
        <f t="shared" si="205"/>
        <v>0</v>
      </c>
      <c r="GM157">
        <f t="shared" si="206"/>
        <v>20443.8</v>
      </c>
      <c r="GN157">
        <f t="shared" si="207"/>
        <v>0</v>
      </c>
      <c r="GO157">
        <f t="shared" si="208"/>
        <v>20443.8</v>
      </c>
      <c r="GP157">
        <f t="shared" si="209"/>
        <v>0</v>
      </c>
      <c r="GR157">
        <v>0</v>
      </c>
      <c r="GS157">
        <v>3</v>
      </c>
      <c r="GT157">
        <v>0</v>
      </c>
      <c r="GU157" t="s">
        <v>3</v>
      </c>
      <c r="GV157">
        <f t="shared" si="210"/>
        <v>0</v>
      </c>
      <c r="GW157">
        <v>1</v>
      </c>
      <c r="GX157">
        <f t="shared" si="211"/>
        <v>0</v>
      </c>
      <c r="HA157">
        <v>0</v>
      </c>
      <c r="HB157">
        <v>0</v>
      </c>
      <c r="HC157">
        <f t="shared" si="212"/>
        <v>0</v>
      </c>
      <c r="HE157" t="s">
        <v>3</v>
      </c>
      <c r="HF157" t="s">
        <v>3</v>
      </c>
      <c r="IK157">
        <v>0</v>
      </c>
    </row>
    <row r="158" spans="1:245" x14ac:dyDescent="0.2">
      <c r="A158">
        <v>18</v>
      </c>
      <c r="B158">
        <v>1</v>
      </c>
      <c r="C158">
        <v>478</v>
      </c>
      <c r="E158" t="s">
        <v>545</v>
      </c>
      <c r="F158" t="s">
        <v>546</v>
      </c>
      <c r="G158" t="s">
        <v>547</v>
      </c>
      <c r="H158" t="s">
        <v>18</v>
      </c>
      <c r="I158">
        <f>I157*J158</f>
        <v>1.22</v>
      </c>
      <c r="J158">
        <v>1</v>
      </c>
      <c r="O158">
        <f t="shared" si="179"/>
        <v>515.99</v>
      </c>
      <c r="P158">
        <f t="shared" si="180"/>
        <v>515.99</v>
      </c>
      <c r="Q158">
        <f t="shared" si="181"/>
        <v>0</v>
      </c>
      <c r="R158">
        <f t="shared" si="182"/>
        <v>0</v>
      </c>
      <c r="S158">
        <f t="shared" si="183"/>
        <v>0</v>
      </c>
      <c r="T158">
        <f t="shared" si="184"/>
        <v>0</v>
      </c>
      <c r="U158">
        <f t="shared" si="185"/>
        <v>0</v>
      </c>
      <c r="V158">
        <f t="shared" si="186"/>
        <v>0</v>
      </c>
      <c r="W158">
        <f t="shared" si="187"/>
        <v>0</v>
      </c>
      <c r="X158">
        <f t="shared" si="188"/>
        <v>0</v>
      </c>
      <c r="Y158">
        <f t="shared" si="189"/>
        <v>0</v>
      </c>
      <c r="AA158">
        <v>68990560</v>
      </c>
      <c r="AB158">
        <f t="shared" si="190"/>
        <v>38</v>
      </c>
      <c r="AC158">
        <f t="shared" si="178"/>
        <v>38</v>
      </c>
      <c r="AD158">
        <f>ROUND((((ET158)-(EU158))+AE158),2)</f>
        <v>0</v>
      </c>
      <c r="AE158">
        <f>ROUND((EU158),2)</f>
        <v>0</v>
      </c>
      <c r="AF158">
        <f>ROUND((EV158),2)</f>
        <v>0</v>
      </c>
      <c r="AG158">
        <f t="shared" si="191"/>
        <v>0</v>
      </c>
      <c r="AH158">
        <f>(EW158)</f>
        <v>0</v>
      </c>
      <c r="AI158">
        <f>(EX158)</f>
        <v>0</v>
      </c>
      <c r="AJ158">
        <f t="shared" si="192"/>
        <v>0</v>
      </c>
      <c r="AK158">
        <v>38</v>
      </c>
      <c r="AL158">
        <v>38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95</v>
      </c>
      <c r="AU158">
        <v>65</v>
      </c>
      <c r="AV158">
        <v>1</v>
      </c>
      <c r="AW158">
        <v>1</v>
      </c>
      <c r="AZ158">
        <v>1</v>
      </c>
      <c r="BA158">
        <v>1</v>
      </c>
      <c r="BB158">
        <v>1</v>
      </c>
      <c r="BC158">
        <v>11.13</v>
      </c>
      <c r="BD158" t="s">
        <v>3</v>
      </c>
      <c r="BE158" t="s">
        <v>3</v>
      </c>
      <c r="BF158" t="s">
        <v>3</v>
      </c>
      <c r="BG158" t="s">
        <v>3</v>
      </c>
      <c r="BH158">
        <v>3</v>
      </c>
      <c r="BI158">
        <v>2</v>
      </c>
      <c r="BJ158" t="s">
        <v>548</v>
      </c>
      <c r="BM158">
        <v>108001</v>
      </c>
      <c r="BN158">
        <v>0</v>
      </c>
      <c r="BO158" t="s">
        <v>546</v>
      </c>
      <c r="BP158">
        <v>1</v>
      </c>
      <c r="BQ158">
        <v>3</v>
      </c>
      <c r="BR158">
        <v>0</v>
      </c>
      <c r="BS158">
        <v>1</v>
      </c>
      <c r="BT158">
        <v>1</v>
      </c>
      <c r="BU158">
        <v>1</v>
      </c>
      <c r="BV158">
        <v>1</v>
      </c>
      <c r="BW158">
        <v>1</v>
      </c>
      <c r="BX158">
        <v>1</v>
      </c>
      <c r="BY158" t="s">
        <v>3</v>
      </c>
      <c r="BZ158">
        <v>95</v>
      </c>
      <c r="CA158">
        <v>65</v>
      </c>
      <c r="CE158">
        <v>0</v>
      </c>
      <c r="CF158">
        <v>0</v>
      </c>
      <c r="CG158">
        <v>0</v>
      </c>
      <c r="CM158">
        <v>0</v>
      </c>
      <c r="CN158" t="s">
        <v>3</v>
      </c>
      <c r="CO158">
        <v>0</v>
      </c>
      <c r="CP158">
        <f t="shared" si="193"/>
        <v>515.99</v>
      </c>
      <c r="CQ158">
        <f t="shared" si="194"/>
        <v>422.94000000000005</v>
      </c>
      <c r="CR158">
        <f t="shared" si="195"/>
        <v>0</v>
      </c>
      <c r="CS158">
        <f t="shared" si="196"/>
        <v>0</v>
      </c>
      <c r="CT158">
        <f t="shared" si="197"/>
        <v>0</v>
      </c>
      <c r="CU158">
        <f t="shared" si="198"/>
        <v>0</v>
      </c>
      <c r="CV158">
        <f t="shared" si="199"/>
        <v>0</v>
      </c>
      <c r="CW158">
        <f t="shared" si="200"/>
        <v>0</v>
      </c>
      <c r="CX158">
        <f t="shared" si="201"/>
        <v>0</v>
      </c>
      <c r="CY158">
        <f t="shared" si="202"/>
        <v>0</v>
      </c>
      <c r="CZ158">
        <f t="shared" si="203"/>
        <v>0</v>
      </c>
      <c r="DC158" t="s">
        <v>3</v>
      </c>
      <c r="DD158" t="s">
        <v>3</v>
      </c>
      <c r="DE158" t="s">
        <v>3</v>
      </c>
      <c r="DF158" t="s">
        <v>3</v>
      </c>
      <c r="DG158" t="s">
        <v>3</v>
      </c>
      <c r="DH158" t="s">
        <v>3</v>
      </c>
      <c r="DI158" t="s">
        <v>3</v>
      </c>
      <c r="DJ158" t="s">
        <v>3</v>
      </c>
      <c r="DK158" t="s">
        <v>3</v>
      </c>
      <c r="DL158" t="s">
        <v>3</v>
      </c>
      <c r="DM158" t="s">
        <v>3</v>
      </c>
      <c r="DN158">
        <v>0</v>
      </c>
      <c r="DO158">
        <v>0</v>
      </c>
      <c r="DP158">
        <v>1</v>
      </c>
      <c r="DQ158">
        <v>1</v>
      </c>
      <c r="DU158">
        <v>1013</v>
      </c>
      <c r="DV158" t="s">
        <v>18</v>
      </c>
      <c r="DW158" t="s">
        <v>18</v>
      </c>
      <c r="DX158">
        <v>1</v>
      </c>
      <c r="DZ158" t="s">
        <v>3</v>
      </c>
      <c r="EA158" t="s">
        <v>3</v>
      </c>
      <c r="EB158" t="s">
        <v>3</v>
      </c>
      <c r="EC158" t="s">
        <v>3</v>
      </c>
      <c r="EE158">
        <v>64094909</v>
      </c>
      <c r="EF158">
        <v>3</v>
      </c>
      <c r="EG158" t="s">
        <v>22</v>
      </c>
      <c r="EH158">
        <v>0</v>
      </c>
      <c r="EI158" t="s">
        <v>3</v>
      </c>
      <c r="EJ158">
        <v>2</v>
      </c>
      <c r="EK158">
        <v>108001</v>
      </c>
      <c r="EL158" t="s">
        <v>23</v>
      </c>
      <c r="EM158" t="s">
        <v>24</v>
      </c>
      <c r="EO158" t="s">
        <v>3</v>
      </c>
      <c r="EQ158">
        <v>0</v>
      </c>
      <c r="ER158">
        <v>38</v>
      </c>
      <c r="ES158">
        <v>38</v>
      </c>
      <c r="ET158">
        <v>0</v>
      </c>
      <c r="EU158">
        <v>0</v>
      </c>
      <c r="EV158">
        <v>0</v>
      </c>
      <c r="EW158">
        <v>0</v>
      </c>
      <c r="EX158">
        <v>0</v>
      </c>
      <c r="FQ158">
        <v>0</v>
      </c>
      <c r="FR158">
        <f t="shared" si="204"/>
        <v>0</v>
      </c>
      <c r="FS158">
        <v>0</v>
      </c>
      <c r="FX158">
        <v>95</v>
      </c>
      <c r="FY158">
        <v>65</v>
      </c>
      <c r="GA158" t="s">
        <v>3</v>
      </c>
      <c r="GD158">
        <v>1</v>
      </c>
      <c r="GF158">
        <v>1862872504</v>
      </c>
      <c r="GG158">
        <v>2</v>
      </c>
      <c r="GH158">
        <v>1</v>
      </c>
      <c r="GI158">
        <v>2</v>
      </c>
      <c r="GJ158">
        <v>0</v>
      </c>
      <c r="GK158">
        <v>0</v>
      </c>
      <c r="GL158">
        <f t="shared" si="205"/>
        <v>0</v>
      </c>
      <c r="GM158">
        <f t="shared" si="206"/>
        <v>515.99</v>
      </c>
      <c r="GN158">
        <f t="shared" si="207"/>
        <v>0</v>
      </c>
      <c r="GO158">
        <f t="shared" si="208"/>
        <v>515.99</v>
      </c>
      <c r="GP158">
        <f t="shared" si="209"/>
        <v>0</v>
      </c>
      <c r="GR158">
        <v>0</v>
      </c>
      <c r="GS158">
        <v>3</v>
      </c>
      <c r="GT158">
        <v>0</v>
      </c>
      <c r="GU158" t="s">
        <v>3</v>
      </c>
      <c r="GV158">
        <f t="shared" si="210"/>
        <v>0</v>
      </c>
      <c r="GW158">
        <v>1</v>
      </c>
      <c r="GX158">
        <f t="shared" si="211"/>
        <v>0</v>
      </c>
      <c r="HA158">
        <v>0</v>
      </c>
      <c r="HB158">
        <v>0</v>
      </c>
      <c r="HC158">
        <f t="shared" si="212"/>
        <v>0</v>
      </c>
      <c r="HE158" t="s">
        <v>3</v>
      </c>
      <c r="HF158" t="s">
        <v>3</v>
      </c>
      <c r="IK158">
        <v>0</v>
      </c>
    </row>
    <row r="159" spans="1:245" x14ac:dyDescent="0.2">
      <c r="A159">
        <v>18</v>
      </c>
      <c r="B159">
        <v>1</v>
      </c>
      <c r="C159">
        <v>479</v>
      </c>
      <c r="E159" t="s">
        <v>549</v>
      </c>
      <c r="F159" t="s">
        <v>550</v>
      </c>
      <c r="G159" t="s">
        <v>551</v>
      </c>
      <c r="H159" t="s">
        <v>379</v>
      </c>
      <c r="I159">
        <f>I157*J159</f>
        <v>122</v>
      </c>
      <c r="J159">
        <v>100</v>
      </c>
      <c r="O159">
        <f t="shared" si="179"/>
        <v>1214.78</v>
      </c>
      <c r="P159">
        <f t="shared" si="180"/>
        <v>1214.78</v>
      </c>
      <c r="Q159">
        <f t="shared" si="181"/>
        <v>0</v>
      </c>
      <c r="R159">
        <f t="shared" si="182"/>
        <v>0</v>
      </c>
      <c r="S159">
        <f t="shared" si="183"/>
        <v>0</v>
      </c>
      <c r="T159">
        <f t="shared" si="184"/>
        <v>0</v>
      </c>
      <c r="U159">
        <f t="shared" si="185"/>
        <v>0</v>
      </c>
      <c r="V159">
        <f t="shared" si="186"/>
        <v>0</v>
      </c>
      <c r="W159">
        <f t="shared" si="187"/>
        <v>0</v>
      </c>
      <c r="X159">
        <f t="shared" si="188"/>
        <v>0</v>
      </c>
      <c r="Y159">
        <f t="shared" si="189"/>
        <v>0</v>
      </c>
      <c r="AA159">
        <v>68990560</v>
      </c>
      <c r="AB159">
        <f t="shared" si="190"/>
        <v>1.24</v>
      </c>
      <c r="AC159">
        <f t="shared" si="178"/>
        <v>1.24</v>
      </c>
      <c r="AD159">
        <f>ROUND((((ET159)-(EU159))+AE159),2)</f>
        <v>0</v>
      </c>
      <c r="AE159">
        <f>ROUND((EU159),2)</f>
        <v>0</v>
      </c>
      <c r="AF159">
        <f>ROUND((EV159),2)</f>
        <v>0</v>
      </c>
      <c r="AG159">
        <f t="shared" si="191"/>
        <v>0</v>
      </c>
      <c r="AH159">
        <f>(EW159)</f>
        <v>0</v>
      </c>
      <c r="AI159">
        <f>(EX159)</f>
        <v>0</v>
      </c>
      <c r="AJ159">
        <f t="shared" si="192"/>
        <v>0</v>
      </c>
      <c r="AK159">
        <v>1.24</v>
      </c>
      <c r="AL159">
        <v>1.24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95</v>
      </c>
      <c r="AU159">
        <v>65</v>
      </c>
      <c r="AV159">
        <v>1</v>
      </c>
      <c r="AW159">
        <v>1</v>
      </c>
      <c r="AZ159">
        <v>1</v>
      </c>
      <c r="BA159">
        <v>1</v>
      </c>
      <c r="BB159">
        <v>1</v>
      </c>
      <c r="BC159">
        <v>8.0299999999999994</v>
      </c>
      <c r="BD159" t="s">
        <v>3</v>
      </c>
      <c r="BE159" t="s">
        <v>3</v>
      </c>
      <c r="BF159" t="s">
        <v>3</v>
      </c>
      <c r="BG159" t="s">
        <v>3</v>
      </c>
      <c r="BH159">
        <v>3</v>
      </c>
      <c r="BI159">
        <v>2</v>
      </c>
      <c r="BJ159" t="s">
        <v>552</v>
      </c>
      <c r="BM159">
        <v>108001</v>
      </c>
      <c r="BN159">
        <v>0</v>
      </c>
      <c r="BO159" t="s">
        <v>550</v>
      </c>
      <c r="BP159">
        <v>1</v>
      </c>
      <c r="BQ159">
        <v>3</v>
      </c>
      <c r="BR159">
        <v>0</v>
      </c>
      <c r="BS159">
        <v>1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3</v>
      </c>
      <c r="BZ159">
        <v>95</v>
      </c>
      <c r="CA159">
        <v>65</v>
      </c>
      <c r="CE159">
        <v>0</v>
      </c>
      <c r="CF159">
        <v>0</v>
      </c>
      <c r="CG159">
        <v>0</v>
      </c>
      <c r="CM159">
        <v>0</v>
      </c>
      <c r="CN159" t="s">
        <v>3</v>
      </c>
      <c r="CO159">
        <v>0</v>
      </c>
      <c r="CP159">
        <f t="shared" si="193"/>
        <v>1214.78</v>
      </c>
      <c r="CQ159">
        <f t="shared" si="194"/>
        <v>9.9571999999999985</v>
      </c>
      <c r="CR159">
        <f t="shared" si="195"/>
        <v>0</v>
      </c>
      <c r="CS159">
        <f t="shared" si="196"/>
        <v>0</v>
      </c>
      <c r="CT159">
        <f t="shared" si="197"/>
        <v>0</v>
      </c>
      <c r="CU159">
        <f t="shared" si="198"/>
        <v>0</v>
      </c>
      <c r="CV159">
        <f t="shared" si="199"/>
        <v>0</v>
      </c>
      <c r="CW159">
        <f t="shared" si="200"/>
        <v>0</v>
      </c>
      <c r="CX159">
        <f t="shared" si="201"/>
        <v>0</v>
      </c>
      <c r="CY159">
        <f t="shared" si="202"/>
        <v>0</v>
      </c>
      <c r="CZ159">
        <f t="shared" si="203"/>
        <v>0</v>
      </c>
      <c r="DC159" t="s">
        <v>3</v>
      </c>
      <c r="DD159" t="s">
        <v>3</v>
      </c>
      <c r="DE159" t="s">
        <v>3</v>
      </c>
      <c r="DF159" t="s">
        <v>3</v>
      </c>
      <c r="DG159" t="s">
        <v>3</v>
      </c>
      <c r="DH159" t="s">
        <v>3</v>
      </c>
      <c r="DI159" t="s">
        <v>3</v>
      </c>
      <c r="DJ159" t="s">
        <v>3</v>
      </c>
      <c r="DK159" t="s">
        <v>3</v>
      </c>
      <c r="DL159" t="s">
        <v>3</v>
      </c>
      <c r="DM159" t="s">
        <v>3</v>
      </c>
      <c r="DN159">
        <v>0</v>
      </c>
      <c r="DO159">
        <v>0</v>
      </c>
      <c r="DP159">
        <v>1</v>
      </c>
      <c r="DQ159">
        <v>1</v>
      </c>
      <c r="DU159">
        <v>1003</v>
      </c>
      <c r="DV159" t="s">
        <v>379</v>
      </c>
      <c r="DW159" t="s">
        <v>379</v>
      </c>
      <c r="DX159">
        <v>1</v>
      </c>
      <c r="DZ159" t="s">
        <v>3</v>
      </c>
      <c r="EA159" t="s">
        <v>3</v>
      </c>
      <c r="EB159" t="s">
        <v>3</v>
      </c>
      <c r="EC159" t="s">
        <v>3</v>
      </c>
      <c r="EE159">
        <v>64094909</v>
      </c>
      <c r="EF159">
        <v>3</v>
      </c>
      <c r="EG159" t="s">
        <v>22</v>
      </c>
      <c r="EH159">
        <v>0</v>
      </c>
      <c r="EI159" t="s">
        <v>3</v>
      </c>
      <c r="EJ159">
        <v>2</v>
      </c>
      <c r="EK159">
        <v>108001</v>
      </c>
      <c r="EL159" t="s">
        <v>23</v>
      </c>
      <c r="EM159" t="s">
        <v>24</v>
      </c>
      <c r="EO159" t="s">
        <v>3</v>
      </c>
      <c r="EQ159">
        <v>0</v>
      </c>
      <c r="ER159">
        <v>1.24</v>
      </c>
      <c r="ES159">
        <v>1.24</v>
      </c>
      <c r="ET159">
        <v>0</v>
      </c>
      <c r="EU159">
        <v>0</v>
      </c>
      <c r="EV159">
        <v>0</v>
      </c>
      <c r="EW159">
        <v>0</v>
      </c>
      <c r="EX159">
        <v>0</v>
      </c>
      <c r="FQ159">
        <v>0</v>
      </c>
      <c r="FR159">
        <f t="shared" si="204"/>
        <v>0</v>
      </c>
      <c r="FS159">
        <v>0</v>
      </c>
      <c r="FX159">
        <v>95</v>
      </c>
      <c r="FY159">
        <v>65</v>
      </c>
      <c r="GA159" t="s">
        <v>3</v>
      </c>
      <c r="GD159">
        <v>1</v>
      </c>
      <c r="GF159">
        <v>559914826</v>
      </c>
      <c r="GG159">
        <v>2</v>
      </c>
      <c r="GH159">
        <v>1</v>
      </c>
      <c r="GI159">
        <v>2</v>
      </c>
      <c r="GJ159">
        <v>0</v>
      </c>
      <c r="GK159">
        <v>0</v>
      </c>
      <c r="GL159">
        <f t="shared" si="205"/>
        <v>0</v>
      </c>
      <c r="GM159">
        <f t="shared" si="206"/>
        <v>1214.78</v>
      </c>
      <c r="GN159">
        <f t="shared" si="207"/>
        <v>0</v>
      </c>
      <c r="GO159">
        <f t="shared" si="208"/>
        <v>1214.78</v>
      </c>
      <c r="GP159">
        <f t="shared" si="209"/>
        <v>0</v>
      </c>
      <c r="GR159">
        <v>0</v>
      </c>
      <c r="GS159">
        <v>3</v>
      </c>
      <c r="GT159">
        <v>0</v>
      </c>
      <c r="GU159" t="s">
        <v>3</v>
      </c>
      <c r="GV159">
        <f t="shared" si="210"/>
        <v>0</v>
      </c>
      <c r="GW159">
        <v>1</v>
      </c>
      <c r="GX159">
        <f t="shared" si="211"/>
        <v>0</v>
      </c>
      <c r="HA159">
        <v>0</v>
      </c>
      <c r="HB159">
        <v>0</v>
      </c>
      <c r="HC159">
        <f t="shared" si="212"/>
        <v>0</v>
      </c>
      <c r="HE159" t="s">
        <v>3</v>
      </c>
      <c r="HF159" t="s">
        <v>3</v>
      </c>
      <c r="IK159">
        <v>0</v>
      </c>
    </row>
    <row r="160" spans="1:245" x14ac:dyDescent="0.2">
      <c r="A160">
        <v>17</v>
      </c>
      <c r="B160">
        <v>1</v>
      </c>
      <c r="C160">
        <f>ROW(SmtRes!A491)</f>
        <v>491</v>
      </c>
      <c r="D160">
        <f>ROW(EtalonRes!A477)</f>
        <v>477</v>
      </c>
      <c r="E160" t="s">
        <v>553</v>
      </c>
      <c r="F160" t="s">
        <v>554</v>
      </c>
      <c r="G160" t="s">
        <v>555</v>
      </c>
      <c r="H160" t="s">
        <v>90</v>
      </c>
      <c r="I160">
        <f>ROUND(122/100,5)</f>
        <v>1.22</v>
      </c>
      <c r="J160">
        <v>0</v>
      </c>
      <c r="O160">
        <f t="shared" si="179"/>
        <v>3627.47</v>
      </c>
      <c r="P160">
        <f t="shared" si="180"/>
        <v>258.82</v>
      </c>
      <c r="Q160">
        <f t="shared" si="181"/>
        <v>91.39</v>
      </c>
      <c r="R160">
        <f t="shared" si="182"/>
        <v>42.28</v>
      </c>
      <c r="S160">
        <f t="shared" si="183"/>
        <v>3277.26</v>
      </c>
      <c r="T160">
        <f t="shared" si="184"/>
        <v>0</v>
      </c>
      <c r="U160">
        <f t="shared" si="185"/>
        <v>10.359629999999999</v>
      </c>
      <c r="V160">
        <f t="shared" si="186"/>
        <v>9.8820000000000005E-2</v>
      </c>
      <c r="W160">
        <f t="shared" si="187"/>
        <v>0</v>
      </c>
      <c r="X160">
        <f t="shared" si="188"/>
        <v>3153.56</v>
      </c>
      <c r="Y160">
        <f t="shared" si="189"/>
        <v>2157.6999999999998</v>
      </c>
      <c r="AA160">
        <v>68990560</v>
      </c>
      <c r="AB160">
        <f t="shared" si="190"/>
        <v>109.85</v>
      </c>
      <c r="AC160">
        <f t="shared" si="178"/>
        <v>22.69</v>
      </c>
      <c r="AD160">
        <f>ROUND(((((ET160*1.35))-((EU160*1.35)))+AE160),2)</f>
        <v>7.33</v>
      </c>
      <c r="AE160">
        <f>ROUND(((EU160*1.35)),2)</f>
        <v>1.03</v>
      </c>
      <c r="AF160">
        <f>ROUND(((EV160*1.35)),2)</f>
        <v>79.83</v>
      </c>
      <c r="AG160">
        <f t="shared" si="191"/>
        <v>0</v>
      </c>
      <c r="AH160">
        <f>((EW160*1.35))</f>
        <v>8.4915000000000003</v>
      </c>
      <c r="AI160">
        <f>((EX160*1.35))</f>
        <v>8.1000000000000003E-2</v>
      </c>
      <c r="AJ160">
        <f t="shared" si="192"/>
        <v>0</v>
      </c>
      <c r="AK160">
        <v>87.25</v>
      </c>
      <c r="AL160">
        <v>22.69</v>
      </c>
      <c r="AM160">
        <v>5.43</v>
      </c>
      <c r="AN160">
        <v>0.76</v>
      </c>
      <c r="AO160">
        <v>59.13</v>
      </c>
      <c r="AP160">
        <v>0</v>
      </c>
      <c r="AQ160">
        <v>6.29</v>
      </c>
      <c r="AR160">
        <v>0.06</v>
      </c>
      <c r="AS160">
        <v>0</v>
      </c>
      <c r="AT160">
        <v>95</v>
      </c>
      <c r="AU160">
        <v>65</v>
      </c>
      <c r="AV160">
        <v>1</v>
      </c>
      <c r="AW160">
        <v>1</v>
      </c>
      <c r="AZ160">
        <v>1</v>
      </c>
      <c r="BA160">
        <v>33.65</v>
      </c>
      <c r="BB160">
        <v>10.220000000000001</v>
      </c>
      <c r="BC160">
        <v>9.35</v>
      </c>
      <c r="BD160" t="s">
        <v>3</v>
      </c>
      <c r="BE160" t="s">
        <v>3</v>
      </c>
      <c r="BF160" t="s">
        <v>3</v>
      </c>
      <c r="BG160" t="s">
        <v>3</v>
      </c>
      <c r="BH160">
        <v>0</v>
      </c>
      <c r="BI160">
        <v>2</v>
      </c>
      <c r="BJ160" t="s">
        <v>556</v>
      </c>
      <c r="BM160">
        <v>108001</v>
      </c>
      <c r="BN160">
        <v>0</v>
      </c>
      <c r="BO160" t="s">
        <v>554</v>
      </c>
      <c r="BP160">
        <v>1</v>
      </c>
      <c r="BQ160">
        <v>3</v>
      </c>
      <c r="BR160">
        <v>0</v>
      </c>
      <c r="BS160">
        <v>33.65</v>
      </c>
      <c r="BT160">
        <v>1</v>
      </c>
      <c r="BU160">
        <v>1</v>
      </c>
      <c r="BV160">
        <v>1</v>
      </c>
      <c r="BW160">
        <v>1</v>
      </c>
      <c r="BX160">
        <v>1</v>
      </c>
      <c r="BY160" t="s">
        <v>3</v>
      </c>
      <c r="BZ160">
        <v>95</v>
      </c>
      <c r="CA160">
        <v>65</v>
      </c>
      <c r="CE160">
        <v>0</v>
      </c>
      <c r="CF160">
        <v>0</v>
      </c>
      <c r="CG160">
        <v>0</v>
      </c>
      <c r="CM160">
        <v>0</v>
      </c>
      <c r="CN160" t="s">
        <v>1329</v>
      </c>
      <c r="CO160">
        <v>0</v>
      </c>
      <c r="CP160">
        <f t="shared" si="193"/>
        <v>3627.4700000000003</v>
      </c>
      <c r="CQ160">
        <f t="shared" si="194"/>
        <v>212.1515</v>
      </c>
      <c r="CR160">
        <f t="shared" si="195"/>
        <v>74.912600000000012</v>
      </c>
      <c r="CS160">
        <f t="shared" si="196"/>
        <v>34.659500000000001</v>
      </c>
      <c r="CT160">
        <f t="shared" si="197"/>
        <v>2686.2794999999996</v>
      </c>
      <c r="CU160">
        <f t="shared" si="198"/>
        <v>0</v>
      </c>
      <c r="CV160">
        <f t="shared" si="199"/>
        <v>8.4915000000000003</v>
      </c>
      <c r="CW160">
        <f t="shared" si="200"/>
        <v>8.1000000000000003E-2</v>
      </c>
      <c r="CX160">
        <f t="shared" si="201"/>
        <v>0</v>
      </c>
      <c r="CY160">
        <f t="shared" si="202"/>
        <v>3153.5630000000006</v>
      </c>
      <c r="CZ160">
        <f t="shared" si="203"/>
        <v>2157.7010000000005</v>
      </c>
      <c r="DC160" t="s">
        <v>3</v>
      </c>
      <c r="DD160" t="s">
        <v>3</v>
      </c>
      <c r="DE160" t="s">
        <v>200</v>
      </c>
      <c r="DF160" t="s">
        <v>200</v>
      </c>
      <c r="DG160" t="s">
        <v>200</v>
      </c>
      <c r="DH160" t="s">
        <v>3</v>
      </c>
      <c r="DI160" t="s">
        <v>200</v>
      </c>
      <c r="DJ160" t="s">
        <v>200</v>
      </c>
      <c r="DK160" t="s">
        <v>3</v>
      </c>
      <c r="DL160" t="s">
        <v>3</v>
      </c>
      <c r="DM160" t="s">
        <v>3</v>
      </c>
      <c r="DN160">
        <v>0</v>
      </c>
      <c r="DO160">
        <v>0</v>
      </c>
      <c r="DP160">
        <v>1</v>
      </c>
      <c r="DQ160">
        <v>1</v>
      </c>
      <c r="DU160">
        <v>1003</v>
      </c>
      <c r="DV160" t="s">
        <v>90</v>
      </c>
      <c r="DW160" t="s">
        <v>90</v>
      </c>
      <c r="DX160">
        <v>100</v>
      </c>
      <c r="DZ160" t="s">
        <v>3</v>
      </c>
      <c r="EA160" t="s">
        <v>3</v>
      </c>
      <c r="EB160" t="s">
        <v>3</v>
      </c>
      <c r="EC160" t="s">
        <v>3</v>
      </c>
      <c r="EE160">
        <v>64094909</v>
      </c>
      <c r="EF160">
        <v>3</v>
      </c>
      <c r="EG160" t="s">
        <v>22</v>
      </c>
      <c r="EH160">
        <v>0</v>
      </c>
      <c r="EI160" t="s">
        <v>3</v>
      </c>
      <c r="EJ160">
        <v>2</v>
      </c>
      <c r="EK160">
        <v>108001</v>
      </c>
      <c r="EL160" t="s">
        <v>23</v>
      </c>
      <c r="EM160" t="s">
        <v>24</v>
      </c>
      <c r="EO160" t="s">
        <v>42</v>
      </c>
      <c r="EQ160">
        <v>0</v>
      </c>
      <c r="ER160">
        <v>87.25</v>
      </c>
      <c r="ES160">
        <v>22.69</v>
      </c>
      <c r="ET160">
        <v>5.43</v>
      </c>
      <c r="EU160">
        <v>0.76</v>
      </c>
      <c r="EV160">
        <v>59.13</v>
      </c>
      <c r="EW160">
        <v>6.29</v>
      </c>
      <c r="EX160">
        <v>0.06</v>
      </c>
      <c r="EY160">
        <v>0</v>
      </c>
      <c r="FQ160">
        <v>0</v>
      </c>
      <c r="FR160">
        <f t="shared" si="204"/>
        <v>0</v>
      </c>
      <c r="FS160">
        <v>0</v>
      </c>
      <c r="FX160">
        <v>95</v>
      </c>
      <c r="FY160">
        <v>65</v>
      </c>
      <c r="GA160" t="s">
        <v>3</v>
      </c>
      <c r="GD160">
        <v>1</v>
      </c>
      <c r="GF160">
        <v>-1567188795</v>
      </c>
      <c r="GG160">
        <v>2</v>
      </c>
      <c r="GH160">
        <v>1</v>
      </c>
      <c r="GI160">
        <v>2</v>
      </c>
      <c r="GJ160">
        <v>0</v>
      </c>
      <c r="GK160">
        <v>0</v>
      </c>
      <c r="GL160">
        <f t="shared" si="205"/>
        <v>0</v>
      </c>
      <c r="GM160">
        <f t="shared" si="206"/>
        <v>8938.73</v>
      </c>
      <c r="GN160">
        <f t="shared" si="207"/>
        <v>0</v>
      </c>
      <c r="GO160">
        <f t="shared" si="208"/>
        <v>8938.73</v>
      </c>
      <c r="GP160">
        <f t="shared" si="209"/>
        <v>0</v>
      </c>
      <c r="GR160">
        <v>0</v>
      </c>
      <c r="GS160">
        <v>3</v>
      </c>
      <c r="GT160">
        <v>0</v>
      </c>
      <c r="GU160" t="s">
        <v>3</v>
      </c>
      <c r="GV160">
        <f t="shared" si="210"/>
        <v>0</v>
      </c>
      <c r="GW160">
        <v>1</v>
      </c>
      <c r="GX160">
        <f t="shared" si="211"/>
        <v>0</v>
      </c>
      <c r="HA160">
        <v>0</v>
      </c>
      <c r="HB160">
        <v>0</v>
      </c>
      <c r="HC160">
        <f t="shared" si="212"/>
        <v>0</v>
      </c>
      <c r="HE160" t="s">
        <v>3</v>
      </c>
      <c r="HF160" t="s">
        <v>3</v>
      </c>
      <c r="IK160">
        <v>0</v>
      </c>
    </row>
    <row r="161" spans="1:245" x14ac:dyDescent="0.2">
      <c r="A161">
        <v>18</v>
      </c>
      <c r="B161">
        <v>1</v>
      </c>
      <c r="C161">
        <v>490</v>
      </c>
      <c r="E161" t="s">
        <v>557</v>
      </c>
      <c r="F161" t="s">
        <v>558</v>
      </c>
      <c r="G161" t="s">
        <v>559</v>
      </c>
      <c r="H161" t="s">
        <v>560</v>
      </c>
      <c r="I161">
        <f>I160*J161</f>
        <v>0.122</v>
      </c>
      <c r="J161">
        <v>0.1</v>
      </c>
      <c r="O161">
        <f t="shared" si="179"/>
        <v>11639.36</v>
      </c>
      <c r="P161">
        <f t="shared" si="180"/>
        <v>11639.36</v>
      </c>
      <c r="Q161">
        <f t="shared" si="181"/>
        <v>0</v>
      </c>
      <c r="R161">
        <f t="shared" si="182"/>
        <v>0</v>
      </c>
      <c r="S161">
        <f t="shared" si="183"/>
        <v>0</v>
      </c>
      <c r="T161">
        <f t="shared" si="184"/>
        <v>0</v>
      </c>
      <c r="U161">
        <f t="shared" si="185"/>
        <v>0</v>
      </c>
      <c r="V161">
        <f t="shared" si="186"/>
        <v>0</v>
      </c>
      <c r="W161">
        <f t="shared" si="187"/>
        <v>0</v>
      </c>
      <c r="X161">
        <f t="shared" si="188"/>
        <v>0</v>
      </c>
      <c r="Y161">
        <f t="shared" si="189"/>
        <v>0</v>
      </c>
      <c r="AA161">
        <v>68990560</v>
      </c>
      <c r="AB161">
        <f t="shared" si="190"/>
        <v>11836.8</v>
      </c>
      <c r="AC161">
        <f t="shared" si="178"/>
        <v>11836.8</v>
      </c>
      <c r="AD161">
        <f>ROUND((((ET161)-(EU161))+AE161),2)</f>
        <v>0</v>
      </c>
      <c r="AE161">
        <f>ROUND((EU161),2)</f>
        <v>0</v>
      </c>
      <c r="AF161">
        <f>ROUND((EV161),2)</f>
        <v>0</v>
      </c>
      <c r="AG161">
        <f t="shared" si="191"/>
        <v>0</v>
      </c>
      <c r="AH161">
        <f>(EW161)</f>
        <v>0</v>
      </c>
      <c r="AI161">
        <f>(EX161)</f>
        <v>0</v>
      </c>
      <c r="AJ161">
        <f t="shared" si="192"/>
        <v>0</v>
      </c>
      <c r="AK161">
        <v>11836.8</v>
      </c>
      <c r="AL161">
        <v>11836.8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95</v>
      </c>
      <c r="AU161">
        <v>65</v>
      </c>
      <c r="AV161">
        <v>1</v>
      </c>
      <c r="AW161">
        <v>1</v>
      </c>
      <c r="AZ161">
        <v>1</v>
      </c>
      <c r="BA161">
        <v>1</v>
      </c>
      <c r="BB161">
        <v>1</v>
      </c>
      <c r="BC161">
        <v>8.06</v>
      </c>
      <c r="BD161" t="s">
        <v>3</v>
      </c>
      <c r="BE161" t="s">
        <v>3</v>
      </c>
      <c r="BF161" t="s">
        <v>3</v>
      </c>
      <c r="BG161" t="s">
        <v>3</v>
      </c>
      <c r="BH161">
        <v>3</v>
      </c>
      <c r="BI161">
        <v>2</v>
      </c>
      <c r="BJ161" t="s">
        <v>561</v>
      </c>
      <c r="BM161">
        <v>108001</v>
      </c>
      <c r="BN161">
        <v>0</v>
      </c>
      <c r="BO161" t="s">
        <v>558</v>
      </c>
      <c r="BP161">
        <v>1</v>
      </c>
      <c r="BQ161">
        <v>3</v>
      </c>
      <c r="BR161">
        <v>0</v>
      </c>
      <c r="BS161">
        <v>1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3</v>
      </c>
      <c r="BZ161">
        <v>95</v>
      </c>
      <c r="CA161">
        <v>65</v>
      </c>
      <c r="CE161">
        <v>0</v>
      </c>
      <c r="CF161">
        <v>0</v>
      </c>
      <c r="CG161">
        <v>0</v>
      </c>
      <c r="CM161">
        <v>0</v>
      </c>
      <c r="CN161" t="s">
        <v>3</v>
      </c>
      <c r="CO161">
        <v>0</v>
      </c>
      <c r="CP161">
        <f t="shared" si="193"/>
        <v>11639.36</v>
      </c>
      <c r="CQ161">
        <f t="shared" si="194"/>
        <v>95404.607999999993</v>
      </c>
      <c r="CR161">
        <f t="shared" si="195"/>
        <v>0</v>
      </c>
      <c r="CS161">
        <f t="shared" si="196"/>
        <v>0</v>
      </c>
      <c r="CT161">
        <f t="shared" si="197"/>
        <v>0</v>
      </c>
      <c r="CU161">
        <f t="shared" si="198"/>
        <v>0</v>
      </c>
      <c r="CV161">
        <f t="shared" si="199"/>
        <v>0</v>
      </c>
      <c r="CW161">
        <f t="shared" si="200"/>
        <v>0</v>
      </c>
      <c r="CX161">
        <f t="shared" si="201"/>
        <v>0</v>
      </c>
      <c r="CY161">
        <f t="shared" si="202"/>
        <v>0</v>
      </c>
      <c r="CZ161">
        <f t="shared" si="203"/>
        <v>0</v>
      </c>
      <c r="DC161" t="s">
        <v>3</v>
      </c>
      <c r="DD161" t="s">
        <v>3</v>
      </c>
      <c r="DE161" t="s">
        <v>3</v>
      </c>
      <c r="DF161" t="s">
        <v>3</v>
      </c>
      <c r="DG161" t="s">
        <v>3</v>
      </c>
      <c r="DH161" t="s">
        <v>3</v>
      </c>
      <c r="DI161" t="s">
        <v>3</v>
      </c>
      <c r="DJ161" t="s">
        <v>3</v>
      </c>
      <c r="DK161" t="s">
        <v>3</v>
      </c>
      <c r="DL161" t="s">
        <v>3</v>
      </c>
      <c r="DM161" t="s">
        <v>3</v>
      </c>
      <c r="DN161">
        <v>0</v>
      </c>
      <c r="DO161">
        <v>0</v>
      </c>
      <c r="DP161">
        <v>1</v>
      </c>
      <c r="DQ161">
        <v>1</v>
      </c>
      <c r="DU161">
        <v>1013</v>
      </c>
      <c r="DV161" t="s">
        <v>560</v>
      </c>
      <c r="DW161" t="s">
        <v>562</v>
      </c>
      <c r="DX161">
        <v>1</v>
      </c>
      <c r="DZ161" t="s">
        <v>3</v>
      </c>
      <c r="EA161" t="s">
        <v>3</v>
      </c>
      <c r="EB161" t="s">
        <v>3</v>
      </c>
      <c r="EC161" t="s">
        <v>3</v>
      </c>
      <c r="EE161">
        <v>64094909</v>
      </c>
      <c r="EF161">
        <v>3</v>
      </c>
      <c r="EG161" t="s">
        <v>22</v>
      </c>
      <c r="EH161">
        <v>0</v>
      </c>
      <c r="EI161" t="s">
        <v>3</v>
      </c>
      <c r="EJ161">
        <v>2</v>
      </c>
      <c r="EK161">
        <v>108001</v>
      </c>
      <c r="EL161" t="s">
        <v>23</v>
      </c>
      <c r="EM161" t="s">
        <v>24</v>
      </c>
      <c r="EO161" t="s">
        <v>3</v>
      </c>
      <c r="EQ161">
        <v>0</v>
      </c>
      <c r="ER161">
        <v>11836.8</v>
      </c>
      <c r="ES161">
        <v>11836.8</v>
      </c>
      <c r="ET161">
        <v>0</v>
      </c>
      <c r="EU161">
        <v>0</v>
      </c>
      <c r="EV161">
        <v>0</v>
      </c>
      <c r="EW161">
        <v>0</v>
      </c>
      <c r="EX161">
        <v>0</v>
      </c>
      <c r="FQ161">
        <v>0</v>
      </c>
      <c r="FR161">
        <f t="shared" si="204"/>
        <v>0</v>
      </c>
      <c r="FS161">
        <v>0</v>
      </c>
      <c r="FX161">
        <v>95</v>
      </c>
      <c r="FY161">
        <v>65</v>
      </c>
      <c r="GA161" t="s">
        <v>3</v>
      </c>
      <c r="GD161">
        <v>1</v>
      </c>
      <c r="GF161">
        <v>-757961288</v>
      </c>
      <c r="GG161">
        <v>2</v>
      </c>
      <c r="GH161">
        <v>1</v>
      </c>
      <c r="GI161">
        <v>2</v>
      </c>
      <c r="GJ161">
        <v>0</v>
      </c>
      <c r="GK161">
        <v>0</v>
      </c>
      <c r="GL161">
        <f t="shared" si="205"/>
        <v>0</v>
      </c>
      <c r="GM161">
        <f t="shared" si="206"/>
        <v>11639.36</v>
      </c>
      <c r="GN161">
        <f t="shared" si="207"/>
        <v>0</v>
      </c>
      <c r="GO161">
        <f t="shared" si="208"/>
        <v>11639.36</v>
      </c>
      <c r="GP161">
        <f t="shared" si="209"/>
        <v>0</v>
      </c>
      <c r="GR161">
        <v>0</v>
      </c>
      <c r="GS161">
        <v>3</v>
      </c>
      <c r="GT161">
        <v>0</v>
      </c>
      <c r="GU161" t="s">
        <v>3</v>
      </c>
      <c r="GV161">
        <f t="shared" si="210"/>
        <v>0</v>
      </c>
      <c r="GW161">
        <v>1</v>
      </c>
      <c r="GX161">
        <f t="shared" si="211"/>
        <v>0</v>
      </c>
      <c r="HA161">
        <v>0</v>
      </c>
      <c r="HB161">
        <v>0</v>
      </c>
      <c r="HC161">
        <f t="shared" si="212"/>
        <v>0</v>
      </c>
      <c r="HE161" t="s">
        <v>3</v>
      </c>
      <c r="HF161" t="s">
        <v>3</v>
      </c>
      <c r="IK161">
        <v>0</v>
      </c>
    </row>
    <row r="162" spans="1:245" x14ac:dyDescent="0.2">
      <c r="A162">
        <v>17</v>
      </c>
      <c r="B162">
        <v>1</v>
      </c>
      <c r="C162">
        <f>ROW(SmtRes!A495)</f>
        <v>495</v>
      </c>
      <c r="D162">
        <f>ROW(EtalonRes!A480)</f>
        <v>480</v>
      </c>
      <c r="E162" t="s">
        <v>563</v>
      </c>
      <c r="F162" t="s">
        <v>564</v>
      </c>
      <c r="G162" t="s">
        <v>565</v>
      </c>
      <c r="H162" t="s">
        <v>29</v>
      </c>
      <c r="I162">
        <f>ROUND(1,5)</f>
        <v>1</v>
      </c>
      <c r="J162">
        <v>0</v>
      </c>
      <c r="O162">
        <f t="shared" si="179"/>
        <v>473.01</v>
      </c>
      <c r="P162">
        <f t="shared" si="180"/>
        <v>8.64</v>
      </c>
      <c r="Q162">
        <f t="shared" si="181"/>
        <v>0</v>
      </c>
      <c r="R162">
        <f t="shared" si="182"/>
        <v>0</v>
      </c>
      <c r="S162">
        <f t="shared" si="183"/>
        <v>464.37</v>
      </c>
      <c r="T162">
        <f t="shared" si="184"/>
        <v>0</v>
      </c>
      <c r="U162">
        <f t="shared" si="185"/>
        <v>1.3905000000000001</v>
      </c>
      <c r="V162">
        <f t="shared" si="186"/>
        <v>0</v>
      </c>
      <c r="W162">
        <f t="shared" si="187"/>
        <v>0</v>
      </c>
      <c r="X162">
        <f t="shared" si="188"/>
        <v>441.15</v>
      </c>
      <c r="Y162">
        <f t="shared" si="189"/>
        <v>301.83999999999997</v>
      </c>
      <c r="AA162">
        <v>68990560</v>
      </c>
      <c r="AB162">
        <f t="shared" si="190"/>
        <v>14.18</v>
      </c>
      <c r="AC162">
        <f t="shared" si="178"/>
        <v>0.38</v>
      </c>
      <c r="AD162">
        <f>ROUND(((((ET162*1.35))-((EU162*1.35)))+AE162),2)</f>
        <v>0</v>
      </c>
      <c r="AE162">
        <f>ROUND(((EU162*1.35)),2)</f>
        <v>0</v>
      </c>
      <c r="AF162">
        <f>ROUND(((EV162*1.35)),2)</f>
        <v>13.8</v>
      </c>
      <c r="AG162">
        <f t="shared" si="191"/>
        <v>0</v>
      </c>
      <c r="AH162">
        <f>((EW162*1.35))</f>
        <v>1.3905000000000001</v>
      </c>
      <c r="AI162">
        <f>((EX162*1.35))</f>
        <v>0</v>
      </c>
      <c r="AJ162">
        <f t="shared" si="192"/>
        <v>0</v>
      </c>
      <c r="AK162">
        <v>10.6</v>
      </c>
      <c r="AL162">
        <v>0.38</v>
      </c>
      <c r="AM162">
        <v>0</v>
      </c>
      <c r="AN162">
        <v>0</v>
      </c>
      <c r="AO162">
        <v>10.220000000000001</v>
      </c>
      <c r="AP162">
        <v>0</v>
      </c>
      <c r="AQ162">
        <v>1.03</v>
      </c>
      <c r="AR162">
        <v>0</v>
      </c>
      <c r="AS162">
        <v>0</v>
      </c>
      <c r="AT162">
        <v>95</v>
      </c>
      <c r="AU162">
        <v>65</v>
      </c>
      <c r="AV162">
        <v>1</v>
      </c>
      <c r="AW162">
        <v>1</v>
      </c>
      <c r="AZ162">
        <v>1</v>
      </c>
      <c r="BA162">
        <v>33.65</v>
      </c>
      <c r="BB162">
        <v>1</v>
      </c>
      <c r="BC162">
        <v>22.73</v>
      </c>
      <c r="BD162" t="s">
        <v>3</v>
      </c>
      <c r="BE162" t="s">
        <v>3</v>
      </c>
      <c r="BF162" t="s">
        <v>3</v>
      </c>
      <c r="BG162" t="s">
        <v>3</v>
      </c>
      <c r="BH162">
        <v>0</v>
      </c>
      <c r="BI162">
        <v>2</v>
      </c>
      <c r="BJ162" t="s">
        <v>566</v>
      </c>
      <c r="BM162">
        <v>108001</v>
      </c>
      <c r="BN162">
        <v>0</v>
      </c>
      <c r="BO162" t="s">
        <v>564</v>
      </c>
      <c r="BP162">
        <v>1</v>
      </c>
      <c r="BQ162">
        <v>3</v>
      </c>
      <c r="BR162">
        <v>0</v>
      </c>
      <c r="BS162">
        <v>33.65</v>
      </c>
      <c r="BT162">
        <v>1</v>
      </c>
      <c r="BU162">
        <v>1</v>
      </c>
      <c r="BV162">
        <v>1</v>
      </c>
      <c r="BW162">
        <v>1</v>
      </c>
      <c r="BX162">
        <v>1</v>
      </c>
      <c r="BY162" t="s">
        <v>3</v>
      </c>
      <c r="BZ162">
        <v>95</v>
      </c>
      <c r="CA162">
        <v>65</v>
      </c>
      <c r="CE162">
        <v>0</v>
      </c>
      <c r="CF162">
        <v>0</v>
      </c>
      <c r="CG162">
        <v>0</v>
      </c>
      <c r="CM162">
        <v>0</v>
      </c>
      <c r="CN162" t="s">
        <v>1329</v>
      </c>
      <c r="CO162">
        <v>0</v>
      </c>
      <c r="CP162">
        <f t="shared" si="193"/>
        <v>473.01</v>
      </c>
      <c r="CQ162">
        <f t="shared" si="194"/>
        <v>8.6373999999999995</v>
      </c>
      <c r="CR162">
        <f t="shared" si="195"/>
        <v>0</v>
      </c>
      <c r="CS162">
        <f t="shared" si="196"/>
        <v>0</v>
      </c>
      <c r="CT162">
        <f t="shared" si="197"/>
        <v>464.37</v>
      </c>
      <c r="CU162">
        <f t="shared" si="198"/>
        <v>0</v>
      </c>
      <c r="CV162">
        <f t="shared" si="199"/>
        <v>1.3905000000000001</v>
      </c>
      <c r="CW162">
        <f t="shared" si="200"/>
        <v>0</v>
      </c>
      <c r="CX162">
        <f t="shared" si="201"/>
        <v>0</v>
      </c>
      <c r="CY162">
        <f t="shared" si="202"/>
        <v>441.1515</v>
      </c>
      <c r="CZ162">
        <f t="shared" si="203"/>
        <v>301.84050000000002</v>
      </c>
      <c r="DC162" t="s">
        <v>3</v>
      </c>
      <c r="DD162" t="s">
        <v>3</v>
      </c>
      <c r="DE162" t="s">
        <v>200</v>
      </c>
      <c r="DF162" t="s">
        <v>200</v>
      </c>
      <c r="DG162" t="s">
        <v>200</v>
      </c>
      <c r="DH162" t="s">
        <v>3</v>
      </c>
      <c r="DI162" t="s">
        <v>200</v>
      </c>
      <c r="DJ162" t="s">
        <v>200</v>
      </c>
      <c r="DK162" t="s">
        <v>3</v>
      </c>
      <c r="DL162" t="s">
        <v>3</v>
      </c>
      <c r="DM162" t="s">
        <v>3</v>
      </c>
      <c r="DN162">
        <v>0</v>
      </c>
      <c r="DO162">
        <v>0</v>
      </c>
      <c r="DP162">
        <v>1</v>
      </c>
      <c r="DQ162">
        <v>1</v>
      </c>
      <c r="DU162">
        <v>1013</v>
      </c>
      <c r="DV162" t="s">
        <v>29</v>
      </c>
      <c r="DW162" t="s">
        <v>29</v>
      </c>
      <c r="DX162">
        <v>1</v>
      </c>
      <c r="DZ162" t="s">
        <v>3</v>
      </c>
      <c r="EA162" t="s">
        <v>3</v>
      </c>
      <c r="EB162" t="s">
        <v>3</v>
      </c>
      <c r="EC162" t="s">
        <v>3</v>
      </c>
      <c r="EE162">
        <v>64094909</v>
      </c>
      <c r="EF162">
        <v>3</v>
      </c>
      <c r="EG162" t="s">
        <v>22</v>
      </c>
      <c r="EH162">
        <v>0</v>
      </c>
      <c r="EI162" t="s">
        <v>3</v>
      </c>
      <c r="EJ162">
        <v>2</v>
      </c>
      <c r="EK162">
        <v>108001</v>
      </c>
      <c r="EL162" t="s">
        <v>23</v>
      </c>
      <c r="EM162" t="s">
        <v>24</v>
      </c>
      <c r="EO162" t="s">
        <v>42</v>
      </c>
      <c r="EQ162">
        <v>0</v>
      </c>
      <c r="ER162">
        <v>10.6</v>
      </c>
      <c r="ES162">
        <v>0.38</v>
      </c>
      <c r="ET162">
        <v>0</v>
      </c>
      <c r="EU162">
        <v>0</v>
      </c>
      <c r="EV162">
        <v>10.220000000000001</v>
      </c>
      <c r="EW162">
        <v>1.03</v>
      </c>
      <c r="EX162">
        <v>0</v>
      </c>
      <c r="EY162">
        <v>0</v>
      </c>
      <c r="FQ162">
        <v>0</v>
      </c>
      <c r="FR162">
        <f t="shared" si="204"/>
        <v>0</v>
      </c>
      <c r="FS162">
        <v>0</v>
      </c>
      <c r="FX162">
        <v>95</v>
      </c>
      <c r="FY162">
        <v>65</v>
      </c>
      <c r="GA162" t="s">
        <v>3</v>
      </c>
      <c r="GD162">
        <v>1</v>
      </c>
      <c r="GF162">
        <v>-1682597467</v>
      </c>
      <c r="GG162">
        <v>2</v>
      </c>
      <c r="GH162">
        <v>1</v>
      </c>
      <c r="GI162">
        <v>2</v>
      </c>
      <c r="GJ162">
        <v>0</v>
      </c>
      <c r="GK162">
        <v>0</v>
      </c>
      <c r="GL162">
        <f t="shared" si="205"/>
        <v>0</v>
      </c>
      <c r="GM162">
        <f t="shared" si="206"/>
        <v>1216</v>
      </c>
      <c r="GN162">
        <f t="shared" si="207"/>
        <v>0</v>
      </c>
      <c r="GO162">
        <f t="shared" si="208"/>
        <v>1216</v>
      </c>
      <c r="GP162">
        <f t="shared" si="209"/>
        <v>0</v>
      </c>
      <c r="GR162">
        <v>0</v>
      </c>
      <c r="GS162">
        <v>3</v>
      </c>
      <c r="GT162">
        <v>0</v>
      </c>
      <c r="GU162" t="s">
        <v>3</v>
      </c>
      <c r="GV162">
        <f t="shared" si="210"/>
        <v>0</v>
      </c>
      <c r="GW162">
        <v>1</v>
      </c>
      <c r="GX162">
        <f t="shared" si="211"/>
        <v>0</v>
      </c>
      <c r="HA162">
        <v>0</v>
      </c>
      <c r="HB162">
        <v>0</v>
      </c>
      <c r="HC162">
        <f t="shared" si="212"/>
        <v>0</v>
      </c>
      <c r="HE162" t="s">
        <v>3</v>
      </c>
      <c r="HF162" t="s">
        <v>3</v>
      </c>
      <c r="IK162">
        <v>0</v>
      </c>
    </row>
    <row r="163" spans="1:245" x14ac:dyDescent="0.2">
      <c r="A163">
        <v>18</v>
      </c>
      <c r="B163">
        <v>1</v>
      </c>
      <c r="C163">
        <v>494</v>
      </c>
      <c r="E163" t="s">
        <v>567</v>
      </c>
      <c r="F163" t="s">
        <v>568</v>
      </c>
      <c r="G163" t="s">
        <v>569</v>
      </c>
      <c r="H163" t="s">
        <v>29</v>
      </c>
      <c r="I163">
        <f>I162*J163</f>
        <v>1</v>
      </c>
      <c r="J163">
        <v>1</v>
      </c>
      <c r="O163">
        <f t="shared" si="179"/>
        <v>4613.95</v>
      </c>
      <c r="P163">
        <f t="shared" si="180"/>
        <v>4613.95</v>
      </c>
      <c r="Q163">
        <f t="shared" si="181"/>
        <v>0</v>
      </c>
      <c r="R163">
        <f t="shared" si="182"/>
        <v>0</v>
      </c>
      <c r="S163">
        <f t="shared" si="183"/>
        <v>0</v>
      </c>
      <c r="T163">
        <f t="shared" si="184"/>
        <v>0</v>
      </c>
      <c r="U163">
        <f t="shared" si="185"/>
        <v>0</v>
      </c>
      <c r="V163">
        <f t="shared" si="186"/>
        <v>0</v>
      </c>
      <c r="W163">
        <f t="shared" si="187"/>
        <v>0</v>
      </c>
      <c r="X163">
        <f t="shared" si="188"/>
        <v>0</v>
      </c>
      <c r="Y163">
        <f t="shared" si="189"/>
        <v>0</v>
      </c>
      <c r="AA163">
        <v>68990560</v>
      </c>
      <c r="AB163">
        <f t="shared" si="190"/>
        <v>922.79</v>
      </c>
      <c r="AC163">
        <f t="shared" si="178"/>
        <v>922.79</v>
      </c>
      <c r="AD163">
        <f>ROUND((((ET163)-(EU163))+AE163),2)</f>
        <v>0</v>
      </c>
      <c r="AE163">
        <f>ROUND((EU163),2)</f>
        <v>0</v>
      </c>
      <c r="AF163">
        <f>ROUND((EV163),2)</f>
        <v>0</v>
      </c>
      <c r="AG163">
        <f t="shared" si="191"/>
        <v>0</v>
      </c>
      <c r="AH163">
        <f>(EW163)</f>
        <v>0</v>
      </c>
      <c r="AI163">
        <f>(EX163)</f>
        <v>0</v>
      </c>
      <c r="AJ163">
        <f t="shared" si="192"/>
        <v>0</v>
      </c>
      <c r="AK163">
        <v>922.79</v>
      </c>
      <c r="AL163">
        <v>922.79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95</v>
      </c>
      <c r="AU163">
        <v>65</v>
      </c>
      <c r="AV163">
        <v>1</v>
      </c>
      <c r="AW163">
        <v>1</v>
      </c>
      <c r="AZ163">
        <v>1</v>
      </c>
      <c r="BA163">
        <v>1</v>
      </c>
      <c r="BB163">
        <v>1</v>
      </c>
      <c r="BC163">
        <v>5</v>
      </c>
      <c r="BD163" t="s">
        <v>3</v>
      </c>
      <c r="BE163" t="s">
        <v>3</v>
      </c>
      <c r="BF163" t="s">
        <v>3</v>
      </c>
      <c r="BG163" t="s">
        <v>3</v>
      </c>
      <c r="BH163">
        <v>3</v>
      </c>
      <c r="BI163">
        <v>2</v>
      </c>
      <c r="BJ163" t="s">
        <v>570</v>
      </c>
      <c r="BM163">
        <v>108001</v>
      </c>
      <c r="BN163">
        <v>0</v>
      </c>
      <c r="BO163" t="s">
        <v>568</v>
      </c>
      <c r="BP163">
        <v>1</v>
      </c>
      <c r="BQ163">
        <v>3</v>
      </c>
      <c r="BR163">
        <v>0</v>
      </c>
      <c r="BS163">
        <v>1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3</v>
      </c>
      <c r="BZ163">
        <v>95</v>
      </c>
      <c r="CA163">
        <v>65</v>
      </c>
      <c r="CE163">
        <v>0</v>
      </c>
      <c r="CF163">
        <v>0</v>
      </c>
      <c r="CG163">
        <v>0</v>
      </c>
      <c r="CM163">
        <v>0</v>
      </c>
      <c r="CN163" t="s">
        <v>3</v>
      </c>
      <c r="CO163">
        <v>0</v>
      </c>
      <c r="CP163">
        <f t="shared" si="193"/>
        <v>4613.95</v>
      </c>
      <c r="CQ163">
        <f t="shared" si="194"/>
        <v>4613.95</v>
      </c>
      <c r="CR163">
        <f t="shared" si="195"/>
        <v>0</v>
      </c>
      <c r="CS163">
        <f t="shared" si="196"/>
        <v>0</v>
      </c>
      <c r="CT163">
        <f t="shared" si="197"/>
        <v>0</v>
      </c>
      <c r="CU163">
        <f t="shared" si="198"/>
        <v>0</v>
      </c>
      <c r="CV163">
        <f t="shared" si="199"/>
        <v>0</v>
      </c>
      <c r="CW163">
        <f t="shared" si="200"/>
        <v>0</v>
      </c>
      <c r="CX163">
        <f t="shared" si="201"/>
        <v>0</v>
      </c>
      <c r="CY163">
        <f t="shared" si="202"/>
        <v>0</v>
      </c>
      <c r="CZ163">
        <f t="shared" si="203"/>
        <v>0</v>
      </c>
      <c r="DC163" t="s">
        <v>3</v>
      </c>
      <c r="DD163" t="s">
        <v>3</v>
      </c>
      <c r="DE163" t="s">
        <v>3</v>
      </c>
      <c r="DF163" t="s">
        <v>3</v>
      </c>
      <c r="DG163" t="s">
        <v>3</v>
      </c>
      <c r="DH163" t="s">
        <v>3</v>
      </c>
      <c r="DI163" t="s">
        <v>3</v>
      </c>
      <c r="DJ163" t="s">
        <v>3</v>
      </c>
      <c r="DK163" t="s">
        <v>3</v>
      </c>
      <c r="DL163" t="s">
        <v>3</v>
      </c>
      <c r="DM163" t="s">
        <v>3</v>
      </c>
      <c r="DN163">
        <v>0</v>
      </c>
      <c r="DO163">
        <v>0</v>
      </c>
      <c r="DP163">
        <v>1</v>
      </c>
      <c r="DQ163">
        <v>1</v>
      </c>
      <c r="DU163">
        <v>1013</v>
      </c>
      <c r="DV163" t="s">
        <v>29</v>
      </c>
      <c r="DW163" t="s">
        <v>29</v>
      </c>
      <c r="DX163">
        <v>1</v>
      </c>
      <c r="DZ163" t="s">
        <v>3</v>
      </c>
      <c r="EA163" t="s">
        <v>3</v>
      </c>
      <c r="EB163" t="s">
        <v>3</v>
      </c>
      <c r="EC163" t="s">
        <v>3</v>
      </c>
      <c r="EE163">
        <v>64094909</v>
      </c>
      <c r="EF163">
        <v>3</v>
      </c>
      <c r="EG163" t="s">
        <v>22</v>
      </c>
      <c r="EH163">
        <v>0</v>
      </c>
      <c r="EI163" t="s">
        <v>3</v>
      </c>
      <c r="EJ163">
        <v>2</v>
      </c>
      <c r="EK163">
        <v>108001</v>
      </c>
      <c r="EL163" t="s">
        <v>23</v>
      </c>
      <c r="EM163" t="s">
        <v>24</v>
      </c>
      <c r="EO163" t="s">
        <v>3</v>
      </c>
      <c r="EQ163">
        <v>0</v>
      </c>
      <c r="ER163">
        <v>922.79</v>
      </c>
      <c r="ES163">
        <v>922.79</v>
      </c>
      <c r="ET163">
        <v>0</v>
      </c>
      <c r="EU163">
        <v>0</v>
      </c>
      <c r="EV163">
        <v>0</v>
      </c>
      <c r="EW163">
        <v>0</v>
      </c>
      <c r="EX163">
        <v>0</v>
      </c>
      <c r="FQ163">
        <v>0</v>
      </c>
      <c r="FR163">
        <f t="shared" si="204"/>
        <v>0</v>
      </c>
      <c r="FS163">
        <v>0</v>
      </c>
      <c r="FX163">
        <v>95</v>
      </c>
      <c r="FY163">
        <v>65</v>
      </c>
      <c r="GA163" t="s">
        <v>3</v>
      </c>
      <c r="GD163">
        <v>1</v>
      </c>
      <c r="GF163">
        <v>1148322818</v>
      </c>
      <c r="GG163">
        <v>2</v>
      </c>
      <c r="GH163">
        <v>1</v>
      </c>
      <c r="GI163">
        <v>2</v>
      </c>
      <c r="GJ163">
        <v>0</v>
      </c>
      <c r="GK163">
        <v>0</v>
      </c>
      <c r="GL163">
        <f t="shared" si="205"/>
        <v>0</v>
      </c>
      <c r="GM163">
        <f t="shared" si="206"/>
        <v>4613.95</v>
      </c>
      <c r="GN163">
        <f t="shared" si="207"/>
        <v>0</v>
      </c>
      <c r="GO163">
        <f t="shared" si="208"/>
        <v>4613.95</v>
      </c>
      <c r="GP163">
        <f t="shared" si="209"/>
        <v>0</v>
      </c>
      <c r="GR163">
        <v>0</v>
      </c>
      <c r="GS163">
        <v>3</v>
      </c>
      <c r="GT163">
        <v>0</v>
      </c>
      <c r="GU163" t="s">
        <v>3</v>
      </c>
      <c r="GV163">
        <f t="shared" si="210"/>
        <v>0</v>
      </c>
      <c r="GW163">
        <v>1</v>
      </c>
      <c r="GX163">
        <f t="shared" si="211"/>
        <v>0</v>
      </c>
      <c r="HA163">
        <v>0</v>
      </c>
      <c r="HB163">
        <v>0</v>
      </c>
      <c r="HC163">
        <f t="shared" si="212"/>
        <v>0</v>
      </c>
      <c r="HE163" t="s">
        <v>3</v>
      </c>
      <c r="HF163" t="s">
        <v>3</v>
      </c>
      <c r="IK163">
        <v>0</v>
      </c>
    </row>
    <row r="164" spans="1:245" x14ac:dyDescent="0.2">
      <c r="A164">
        <v>17</v>
      </c>
      <c r="B164">
        <v>1</v>
      </c>
      <c r="C164">
        <f>ROW(SmtRes!A500)</f>
        <v>500</v>
      </c>
      <c r="D164">
        <f>ROW(EtalonRes!A483)</f>
        <v>483</v>
      </c>
      <c r="E164" t="s">
        <v>571</v>
      </c>
      <c r="F164" t="s">
        <v>542</v>
      </c>
      <c r="G164" t="s">
        <v>543</v>
      </c>
      <c r="H164" t="s">
        <v>90</v>
      </c>
      <c r="I164">
        <f>ROUND(10/100,5)</f>
        <v>0.1</v>
      </c>
      <c r="J164">
        <v>0</v>
      </c>
      <c r="O164">
        <f t="shared" si="179"/>
        <v>661.49</v>
      </c>
      <c r="P164">
        <f t="shared" si="180"/>
        <v>27.59</v>
      </c>
      <c r="Q164">
        <f t="shared" si="181"/>
        <v>0</v>
      </c>
      <c r="R164">
        <f t="shared" si="182"/>
        <v>0</v>
      </c>
      <c r="S164">
        <f t="shared" si="183"/>
        <v>633.9</v>
      </c>
      <c r="T164">
        <f t="shared" si="184"/>
        <v>0</v>
      </c>
      <c r="U164">
        <f t="shared" si="185"/>
        <v>2.052</v>
      </c>
      <c r="V164">
        <f t="shared" si="186"/>
        <v>0</v>
      </c>
      <c r="W164">
        <f t="shared" si="187"/>
        <v>0</v>
      </c>
      <c r="X164">
        <f t="shared" si="188"/>
        <v>602.21</v>
      </c>
      <c r="Y164">
        <f t="shared" si="189"/>
        <v>412.04</v>
      </c>
      <c r="AA164">
        <v>68990560</v>
      </c>
      <c r="AB164">
        <f t="shared" si="190"/>
        <v>205.17</v>
      </c>
      <c r="AC164">
        <f t="shared" si="178"/>
        <v>16.79</v>
      </c>
      <c r="AD164">
        <f>ROUND(((((ET164*1.35))-((EU164*1.35)))+AE164),2)</f>
        <v>0</v>
      </c>
      <c r="AE164">
        <f>ROUND(((EU164*1.35)),2)</f>
        <v>0</v>
      </c>
      <c r="AF164">
        <f>ROUND(((EV164*1.35)),2)</f>
        <v>188.38</v>
      </c>
      <c r="AG164">
        <f t="shared" si="191"/>
        <v>0</v>
      </c>
      <c r="AH164">
        <f>((EW164*1.35))</f>
        <v>20.52</v>
      </c>
      <c r="AI164">
        <f>((EX164*1.35))</f>
        <v>0</v>
      </c>
      <c r="AJ164">
        <f t="shared" si="192"/>
        <v>0</v>
      </c>
      <c r="AK164">
        <v>156.33000000000001</v>
      </c>
      <c r="AL164">
        <v>16.79</v>
      </c>
      <c r="AM164">
        <v>0</v>
      </c>
      <c r="AN164">
        <v>0</v>
      </c>
      <c r="AO164">
        <v>139.54</v>
      </c>
      <c r="AP164">
        <v>0</v>
      </c>
      <c r="AQ164">
        <v>15.2</v>
      </c>
      <c r="AR164">
        <v>0</v>
      </c>
      <c r="AS164">
        <v>0</v>
      </c>
      <c r="AT164">
        <v>95</v>
      </c>
      <c r="AU164">
        <v>65</v>
      </c>
      <c r="AV164">
        <v>1</v>
      </c>
      <c r="AW164">
        <v>1</v>
      </c>
      <c r="AZ164">
        <v>1</v>
      </c>
      <c r="BA164">
        <v>33.65</v>
      </c>
      <c r="BB164">
        <v>1</v>
      </c>
      <c r="BC164">
        <v>16.43</v>
      </c>
      <c r="BD164" t="s">
        <v>3</v>
      </c>
      <c r="BE164" t="s">
        <v>3</v>
      </c>
      <c r="BF164" t="s">
        <v>3</v>
      </c>
      <c r="BG164" t="s">
        <v>3</v>
      </c>
      <c r="BH164">
        <v>0</v>
      </c>
      <c r="BI164">
        <v>2</v>
      </c>
      <c r="BJ164" t="s">
        <v>544</v>
      </c>
      <c r="BM164">
        <v>108001</v>
      </c>
      <c r="BN164">
        <v>0</v>
      </c>
      <c r="BO164" t="s">
        <v>542</v>
      </c>
      <c r="BP164">
        <v>1</v>
      </c>
      <c r="BQ164">
        <v>3</v>
      </c>
      <c r="BR164">
        <v>0</v>
      </c>
      <c r="BS164">
        <v>33.65</v>
      </c>
      <c r="BT164">
        <v>1</v>
      </c>
      <c r="BU164">
        <v>1</v>
      </c>
      <c r="BV164">
        <v>1</v>
      </c>
      <c r="BW164">
        <v>1</v>
      </c>
      <c r="BX164">
        <v>1</v>
      </c>
      <c r="BY164" t="s">
        <v>3</v>
      </c>
      <c r="BZ164">
        <v>95</v>
      </c>
      <c r="CA164">
        <v>65</v>
      </c>
      <c r="CE164">
        <v>0</v>
      </c>
      <c r="CF164">
        <v>0</v>
      </c>
      <c r="CG164">
        <v>0</v>
      </c>
      <c r="CM164">
        <v>0</v>
      </c>
      <c r="CN164" t="s">
        <v>1329</v>
      </c>
      <c r="CO164">
        <v>0</v>
      </c>
      <c r="CP164">
        <f t="shared" si="193"/>
        <v>661.49</v>
      </c>
      <c r="CQ164">
        <f t="shared" si="194"/>
        <v>275.85969999999998</v>
      </c>
      <c r="CR164">
        <f t="shared" si="195"/>
        <v>0</v>
      </c>
      <c r="CS164">
        <f t="shared" si="196"/>
        <v>0</v>
      </c>
      <c r="CT164">
        <f t="shared" si="197"/>
        <v>6338.9869999999992</v>
      </c>
      <c r="CU164">
        <f t="shared" si="198"/>
        <v>0</v>
      </c>
      <c r="CV164">
        <f t="shared" si="199"/>
        <v>20.52</v>
      </c>
      <c r="CW164">
        <f t="shared" si="200"/>
        <v>0</v>
      </c>
      <c r="CX164">
        <f t="shared" si="201"/>
        <v>0</v>
      </c>
      <c r="CY164">
        <f t="shared" si="202"/>
        <v>602.20500000000004</v>
      </c>
      <c r="CZ164">
        <f t="shared" si="203"/>
        <v>412.03500000000003</v>
      </c>
      <c r="DC164" t="s">
        <v>3</v>
      </c>
      <c r="DD164" t="s">
        <v>3</v>
      </c>
      <c r="DE164" t="s">
        <v>200</v>
      </c>
      <c r="DF164" t="s">
        <v>200</v>
      </c>
      <c r="DG164" t="s">
        <v>200</v>
      </c>
      <c r="DH164" t="s">
        <v>3</v>
      </c>
      <c r="DI164" t="s">
        <v>200</v>
      </c>
      <c r="DJ164" t="s">
        <v>200</v>
      </c>
      <c r="DK164" t="s">
        <v>3</v>
      </c>
      <c r="DL164" t="s">
        <v>3</v>
      </c>
      <c r="DM164" t="s">
        <v>3</v>
      </c>
      <c r="DN164">
        <v>0</v>
      </c>
      <c r="DO164">
        <v>0</v>
      </c>
      <c r="DP164">
        <v>1</v>
      </c>
      <c r="DQ164">
        <v>1</v>
      </c>
      <c r="DU164">
        <v>1003</v>
      </c>
      <c r="DV164" t="s">
        <v>90</v>
      </c>
      <c r="DW164" t="s">
        <v>90</v>
      </c>
      <c r="DX164">
        <v>100</v>
      </c>
      <c r="DZ164" t="s">
        <v>3</v>
      </c>
      <c r="EA164" t="s">
        <v>3</v>
      </c>
      <c r="EB164" t="s">
        <v>3</v>
      </c>
      <c r="EC164" t="s">
        <v>3</v>
      </c>
      <c r="EE164">
        <v>64094909</v>
      </c>
      <c r="EF164">
        <v>3</v>
      </c>
      <c r="EG164" t="s">
        <v>22</v>
      </c>
      <c r="EH164">
        <v>0</v>
      </c>
      <c r="EI164" t="s">
        <v>3</v>
      </c>
      <c r="EJ164">
        <v>2</v>
      </c>
      <c r="EK164">
        <v>108001</v>
      </c>
      <c r="EL164" t="s">
        <v>23</v>
      </c>
      <c r="EM164" t="s">
        <v>24</v>
      </c>
      <c r="EO164" t="s">
        <v>42</v>
      </c>
      <c r="EQ164">
        <v>0</v>
      </c>
      <c r="ER164">
        <v>156.33000000000001</v>
      </c>
      <c r="ES164">
        <v>16.79</v>
      </c>
      <c r="ET164">
        <v>0</v>
      </c>
      <c r="EU164">
        <v>0</v>
      </c>
      <c r="EV164">
        <v>139.54</v>
      </c>
      <c r="EW164">
        <v>15.2</v>
      </c>
      <c r="EX164">
        <v>0</v>
      </c>
      <c r="EY164">
        <v>0</v>
      </c>
      <c r="FQ164">
        <v>0</v>
      </c>
      <c r="FR164">
        <f t="shared" si="204"/>
        <v>0</v>
      </c>
      <c r="FS164">
        <v>0</v>
      </c>
      <c r="FX164">
        <v>95</v>
      </c>
      <c r="FY164">
        <v>65</v>
      </c>
      <c r="GA164" t="s">
        <v>3</v>
      </c>
      <c r="GD164">
        <v>1</v>
      </c>
      <c r="GF164">
        <v>1032387993</v>
      </c>
      <c r="GG164">
        <v>2</v>
      </c>
      <c r="GH164">
        <v>1</v>
      </c>
      <c r="GI164">
        <v>2</v>
      </c>
      <c r="GJ164">
        <v>0</v>
      </c>
      <c r="GK164">
        <v>0</v>
      </c>
      <c r="GL164">
        <f t="shared" si="205"/>
        <v>0</v>
      </c>
      <c r="GM164">
        <f t="shared" si="206"/>
        <v>1675.74</v>
      </c>
      <c r="GN164">
        <f t="shared" si="207"/>
        <v>0</v>
      </c>
      <c r="GO164">
        <f t="shared" si="208"/>
        <v>1675.74</v>
      </c>
      <c r="GP164">
        <f t="shared" si="209"/>
        <v>0</v>
      </c>
      <c r="GR164">
        <v>0</v>
      </c>
      <c r="GS164">
        <v>3</v>
      </c>
      <c r="GT164">
        <v>0</v>
      </c>
      <c r="GU164" t="s">
        <v>3</v>
      </c>
      <c r="GV164">
        <f t="shared" si="210"/>
        <v>0</v>
      </c>
      <c r="GW164">
        <v>1</v>
      </c>
      <c r="GX164">
        <f t="shared" si="211"/>
        <v>0</v>
      </c>
      <c r="HA164">
        <v>0</v>
      </c>
      <c r="HB164">
        <v>0</v>
      </c>
      <c r="HC164">
        <f t="shared" si="212"/>
        <v>0</v>
      </c>
      <c r="HE164" t="s">
        <v>3</v>
      </c>
      <c r="HF164" t="s">
        <v>3</v>
      </c>
      <c r="IK164">
        <v>0</v>
      </c>
    </row>
    <row r="165" spans="1:245" x14ac:dyDescent="0.2">
      <c r="A165">
        <v>18</v>
      </c>
      <c r="B165">
        <v>1</v>
      </c>
      <c r="C165">
        <v>498</v>
      </c>
      <c r="E165" t="s">
        <v>572</v>
      </c>
      <c r="F165" t="s">
        <v>546</v>
      </c>
      <c r="G165" t="s">
        <v>547</v>
      </c>
      <c r="H165" t="s">
        <v>18</v>
      </c>
      <c r="I165">
        <f>I164*J165</f>
        <v>0.1</v>
      </c>
      <c r="J165">
        <v>1</v>
      </c>
      <c r="O165">
        <f t="shared" si="179"/>
        <v>42.29</v>
      </c>
      <c r="P165">
        <f t="shared" si="180"/>
        <v>42.29</v>
      </c>
      <c r="Q165">
        <f t="shared" si="181"/>
        <v>0</v>
      </c>
      <c r="R165">
        <f t="shared" si="182"/>
        <v>0</v>
      </c>
      <c r="S165">
        <f t="shared" si="183"/>
        <v>0</v>
      </c>
      <c r="T165">
        <f t="shared" si="184"/>
        <v>0</v>
      </c>
      <c r="U165">
        <f t="shared" si="185"/>
        <v>0</v>
      </c>
      <c r="V165">
        <f t="shared" si="186"/>
        <v>0</v>
      </c>
      <c r="W165">
        <f t="shared" si="187"/>
        <v>0</v>
      </c>
      <c r="X165">
        <f t="shared" si="188"/>
        <v>0</v>
      </c>
      <c r="Y165">
        <f t="shared" si="189"/>
        <v>0</v>
      </c>
      <c r="AA165">
        <v>68990560</v>
      </c>
      <c r="AB165">
        <f t="shared" si="190"/>
        <v>38</v>
      </c>
      <c r="AC165">
        <f t="shared" si="178"/>
        <v>38</v>
      </c>
      <c r="AD165">
        <f>ROUND((((ET165)-(EU165))+AE165),2)</f>
        <v>0</v>
      </c>
      <c r="AE165">
        <f>ROUND((EU165),2)</f>
        <v>0</v>
      </c>
      <c r="AF165">
        <f>ROUND((EV165),2)</f>
        <v>0</v>
      </c>
      <c r="AG165">
        <f t="shared" si="191"/>
        <v>0</v>
      </c>
      <c r="AH165">
        <f>(EW165)</f>
        <v>0</v>
      </c>
      <c r="AI165">
        <f>(EX165)</f>
        <v>0</v>
      </c>
      <c r="AJ165">
        <f t="shared" si="192"/>
        <v>0</v>
      </c>
      <c r="AK165">
        <v>38</v>
      </c>
      <c r="AL165">
        <v>38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95</v>
      </c>
      <c r="AU165">
        <v>65</v>
      </c>
      <c r="AV165">
        <v>1</v>
      </c>
      <c r="AW165">
        <v>1</v>
      </c>
      <c r="AZ165">
        <v>1</v>
      </c>
      <c r="BA165">
        <v>1</v>
      </c>
      <c r="BB165">
        <v>1</v>
      </c>
      <c r="BC165">
        <v>11.13</v>
      </c>
      <c r="BD165" t="s">
        <v>3</v>
      </c>
      <c r="BE165" t="s">
        <v>3</v>
      </c>
      <c r="BF165" t="s">
        <v>3</v>
      </c>
      <c r="BG165" t="s">
        <v>3</v>
      </c>
      <c r="BH165">
        <v>3</v>
      </c>
      <c r="BI165">
        <v>2</v>
      </c>
      <c r="BJ165" t="s">
        <v>548</v>
      </c>
      <c r="BM165">
        <v>108001</v>
      </c>
      <c r="BN165">
        <v>0</v>
      </c>
      <c r="BO165" t="s">
        <v>546</v>
      </c>
      <c r="BP165">
        <v>1</v>
      </c>
      <c r="BQ165">
        <v>3</v>
      </c>
      <c r="BR165">
        <v>0</v>
      </c>
      <c r="BS165">
        <v>1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3</v>
      </c>
      <c r="BZ165">
        <v>95</v>
      </c>
      <c r="CA165">
        <v>65</v>
      </c>
      <c r="CE165">
        <v>0</v>
      </c>
      <c r="CF165">
        <v>0</v>
      </c>
      <c r="CG165">
        <v>0</v>
      </c>
      <c r="CM165">
        <v>0</v>
      </c>
      <c r="CN165" t="s">
        <v>3</v>
      </c>
      <c r="CO165">
        <v>0</v>
      </c>
      <c r="CP165">
        <f t="shared" si="193"/>
        <v>42.29</v>
      </c>
      <c r="CQ165">
        <f t="shared" si="194"/>
        <v>422.94000000000005</v>
      </c>
      <c r="CR165">
        <f t="shared" si="195"/>
        <v>0</v>
      </c>
      <c r="CS165">
        <f t="shared" si="196"/>
        <v>0</v>
      </c>
      <c r="CT165">
        <f t="shared" si="197"/>
        <v>0</v>
      </c>
      <c r="CU165">
        <f t="shared" si="198"/>
        <v>0</v>
      </c>
      <c r="CV165">
        <f t="shared" si="199"/>
        <v>0</v>
      </c>
      <c r="CW165">
        <f t="shared" si="200"/>
        <v>0</v>
      </c>
      <c r="CX165">
        <f t="shared" si="201"/>
        <v>0</v>
      </c>
      <c r="CY165">
        <f t="shared" si="202"/>
        <v>0</v>
      </c>
      <c r="CZ165">
        <f t="shared" si="203"/>
        <v>0</v>
      </c>
      <c r="DC165" t="s">
        <v>3</v>
      </c>
      <c r="DD165" t="s">
        <v>3</v>
      </c>
      <c r="DE165" t="s">
        <v>3</v>
      </c>
      <c r="DF165" t="s">
        <v>3</v>
      </c>
      <c r="DG165" t="s">
        <v>3</v>
      </c>
      <c r="DH165" t="s">
        <v>3</v>
      </c>
      <c r="DI165" t="s">
        <v>3</v>
      </c>
      <c r="DJ165" t="s">
        <v>3</v>
      </c>
      <c r="DK165" t="s">
        <v>3</v>
      </c>
      <c r="DL165" t="s">
        <v>3</v>
      </c>
      <c r="DM165" t="s">
        <v>3</v>
      </c>
      <c r="DN165">
        <v>0</v>
      </c>
      <c r="DO165">
        <v>0</v>
      </c>
      <c r="DP165">
        <v>1</v>
      </c>
      <c r="DQ165">
        <v>1</v>
      </c>
      <c r="DU165">
        <v>1013</v>
      </c>
      <c r="DV165" t="s">
        <v>18</v>
      </c>
      <c r="DW165" t="s">
        <v>18</v>
      </c>
      <c r="DX165">
        <v>1</v>
      </c>
      <c r="DZ165" t="s">
        <v>3</v>
      </c>
      <c r="EA165" t="s">
        <v>3</v>
      </c>
      <c r="EB165" t="s">
        <v>3</v>
      </c>
      <c r="EC165" t="s">
        <v>3</v>
      </c>
      <c r="EE165">
        <v>64094909</v>
      </c>
      <c r="EF165">
        <v>3</v>
      </c>
      <c r="EG165" t="s">
        <v>22</v>
      </c>
      <c r="EH165">
        <v>0</v>
      </c>
      <c r="EI165" t="s">
        <v>3</v>
      </c>
      <c r="EJ165">
        <v>2</v>
      </c>
      <c r="EK165">
        <v>108001</v>
      </c>
      <c r="EL165" t="s">
        <v>23</v>
      </c>
      <c r="EM165" t="s">
        <v>24</v>
      </c>
      <c r="EO165" t="s">
        <v>3</v>
      </c>
      <c r="EQ165">
        <v>0</v>
      </c>
      <c r="ER165">
        <v>38</v>
      </c>
      <c r="ES165">
        <v>38</v>
      </c>
      <c r="ET165">
        <v>0</v>
      </c>
      <c r="EU165">
        <v>0</v>
      </c>
      <c r="EV165">
        <v>0</v>
      </c>
      <c r="EW165">
        <v>0</v>
      </c>
      <c r="EX165">
        <v>0</v>
      </c>
      <c r="FQ165">
        <v>0</v>
      </c>
      <c r="FR165">
        <f t="shared" si="204"/>
        <v>0</v>
      </c>
      <c r="FS165">
        <v>0</v>
      </c>
      <c r="FX165">
        <v>95</v>
      </c>
      <c r="FY165">
        <v>65</v>
      </c>
      <c r="GA165" t="s">
        <v>3</v>
      </c>
      <c r="GD165">
        <v>1</v>
      </c>
      <c r="GF165">
        <v>1862872504</v>
      </c>
      <c r="GG165">
        <v>2</v>
      </c>
      <c r="GH165">
        <v>1</v>
      </c>
      <c r="GI165">
        <v>2</v>
      </c>
      <c r="GJ165">
        <v>0</v>
      </c>
      <c r="GK165">
        <v>0</v>
      </c>
      <c r="GL165">
        <f t="shared" si="205"/>
        <v>0</v>
      </c>
      <c r="GM165">
        <f t="shared" si="206"/>
        <v>42.29</v>
      </c>
      <c r="GN165">
        <f t="shared" si="207"/>
        <v>0</v>
      </c>
      <c r="GO165">
        <f t="shared" si="208"/>
        <v>42.29</v>
      </c>
      <c r="GP165">
        <f t="shared" si="209"/>
        <v>0</v>
      </c>
      <c r="GR165">
        <v>0</v>
      </c>
      <c r="GS165">
        <v>3</v>
      </c>
      <c r="GT165">
        <v>0</v>
      </c>
      <c r="GU165" t="s">
        <v>3</v>
      </c>
      <c r="GV165">
        <f t="shared" si="210"/>
        <v>0</v>
      </c>
      <c r="GW165">
        <v>1</v>
      </c>
      <c r="GX165">
        <f t="shared" si="211"/>
        <v>0</v>
      </c>
      <c r="HA165">
        <v>0</v>
      </c>
      <c r="HB165">
        <v>0</v>
      </c>
      <c r="HC165">
        <f t="shared" si="212"/>
        <v>0</v>
      </c>
      <c r="HE165" t="s">
        <v>3</v>
      </c>
      <c r="HF165" t="s">
        <v>3</v>
      </c>
      <c r="IK165">
        <v>0</v>
      </c>
    </row>
    <row r="166" spans="1:245" x14ac:dyDescent="0.2">
      <c r="A166">
        <v>18</v>
      </c>
      <c r="B166">
        <v>1</v>
      </c>
      <c r="C166">
        <v>499</v>
      </c>
      <c r="E166" t="s">
        <v>573</v>
      </c>
      <c r="F166" t="s">
        <v>550</v>
      </c>
      <c r="G166" t="s">
        <v>551</v>
      </c>
      <c r="H166" t="s">
        <v>379</v>
      </c>
      <c r="I166">
        <f>I164*J166</f>
        <v>10</v>
      </c>
      <c r="J166">
        <v>100</v>
      </c>
      <c r="O166">
        <f t="shared" si="179"/>
        <v>99.57</v>
      </c>
      <c r="P166">
        <f t="shared" si="180"/>
        <v>99.57</v>
      </c>
      <c r="Q166">
        <f t="shared" si="181"/>
        <v>0</v>
      </c>
      <c r="R166">
        <f t="shared" si="182"/>
        <v>0</v>
      </c>
      <c r="S166">
        <f t="shared" si="183"/>
        <v>0</v>
      </c>
      <c r="T166">
        <f t="shared" si="184"/>
        <v>0</v>
      </c>
      <c r="U166">
        <f t="shared" si="185"/>
        <v>0</v>
      </c>
      <c r="V166">
        <f t="shared" si="186"/>
        <v>0</v>
      </c>
      <c r="W166">
        <f t="shared" si="187"/>
        <v>0</v>
      </c>
      <c r="X166">
        <f t="shared" si="188"/>
        <v>0</v>
      </c>
      <c r="Y166">
        <f t="shared" si="189"/>
        <v>0</v>
      </c>
      <c r="AA166">
        <v>68990560</v>
      </c>
      <c r="AB166">
        <f t="shared" si="190"/>
        <v>1.24</v>
      </c>
      <c r="AC166">
        <f t="shared" si="178"/>
        <v>1.24</v>
      </c>
      <c r="AD166">
        <f>ROUND((((ET166)-(EU166))+AE166),2)</f>
        <v>0</v>
      </c>
      <c r="AE166">
        <f>ROUND((EU166),2)</f>
        <v>0</v>
      </c>
      <c r="AF166">
        <f>ROUND((EV166),2)</f>
        <v>0</v>
      </c>
      <c r="AG166">
        <f t="shared" si="191"/>
        <v>0</v>
      </c>
      <c r="AH166">
        <f>(EW166)</f>
        <v>0</v>
      </c>
      <c r="AI166">
        <f>(EX166)</f>
        <v>0</v>
      </c>
      <c r="AJ166">
        <f t="shared" si="192"/>
        <v>0</v>
      </c>
      <c r="AK166">
        <v>1.24</v>
      </c>
      <c r="AL166">
        <v>1.24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95</v>
      </c>
      <c r="AU166">
        <v>65</v>
      </c>
      <c r="AV166">
        <v>1</v>
      </c>
      <c r="AW166">
        <v>1</v>
      </c>
      <c r="AZ166">
        <v>1</v>
      </c>
      <c r="BA166">
        <v>1</v>
      </c>
      <c r="BB166">
        <v>1</v>
      </c>
      <c r="BC166">
        <v>8.0299999999999994</v>
      </c>
      <c r="BD166" t="s">
        <v>3</v>
      </c>
      <c r="BE166" t="s">
        <v>3</v>
      </c>
      <c r="BF166" t="s">
        <v>3</v>
      </c>
      <c r="BG166" t="s">
        <v>3</v>
      </c>
      <c r="BH166">
        <v>3</v>
      </c>
      <c r="BI166">
        <v>2</v>
      </c>
      <c r="BJ166" t="s">
        <v>552</v>
      </c>
      <c r="BM166">
        <v>108001</v>
      </c>
      <c r="BN166">
        <v>0</v>
      </c>
      <c r="BO166" t="s">
        <v>550</v>
      </c>
      <c r="BP166">
        <v>1</v>
      </c>
      <c r="BQ166">
        <v>3</v>
      </c>
      <c r="BR166">
        <v>0</v>
      </c>
      <c r="BS166">
        <v>1</v>
      </c>
      <c r="BT166">
        <v>1</v>
      </c>
      <c r="BU166">
        <v>1</v>
      </c>
      <c r="BV166">
        <v>1</v>
      </c>
      <c r="BW166">
        <v>1</v>
      </c>
      <c r="BX166">
        <v>1</v>
      </c>
      <c r="BY166" t="s">
        <v>3</v>
      </c>
      <c r="BZ166">
        <v>95</v>
      </c>
      <c r="CA166">
        <v>65</v>
      </c>
      <c r="CE166">
        <v>0</v>
      </c>
      <c r="CF166">
        <v>0</v>
      </c>
      <c r="CG166">
        <v>0</v>
      </c>
      <c r="CM166">
        <v>0</v>
      </c>
      <c r="CN166" t="s">
        <v>3</v>
      </c>
      <c r="CO166">
        <v>0</v>
      </c>
      <c r="CP166">
        <f t="shared" si="193"/>
        <v>99.57</v>
      </c>
      <c r="CQ166">
        <f t="shared" si="194"/>
        <v>9.9571999999999985</v>
      </c>
      <c r="CR166">
        <f t="shared" si="195"/>
        <v>0</v>
      </c>
      <c r="CS166">
        <f t="shared" si="196"/>
        <v>0</v>
      </c>
      <c r="CT166">
        <f t="shared" si="197"/>
        <v>0</v>
      </c>
      <c r="CU166">
        <f t="shared" si="198"/>
        <v>0</v>
      </c>
      <c r="CV166">
        <f t="shared" si="199"/>
        <v>0</v>
      </c>
      <c r="CW166">
        <f t="shared" si="200"/>
        <v>0</v>
      </c>
      <c r="CX166">
        <f t="shared" si="201"/>
        <v>0</v>
      </c>
      <c r="CY166">
        <f t="shared" si="202"/>
        <v>0</v>
      </c>
      <c r="CZ166">
        <f t="shared" si="203"/>
        <v>0</v>
      </c>
      <c r="DC166" t="s">
        <v>3</v>
      </c>
      <c r="DD166" t="s">
        <v>3</v>
      </c>
      <c r="DE166" t="s">
        <v>3</v>
      </c>
      <c r="DF166" t="s">
        <v>3</v>
      </c>
      <c r="DG166" t="s">
        <v>3</v>
      </c>
      <c r="DH166" t="s">
        <v>3</v>
      </c>
      <c r="DI166" t="s">
        <v>3</v>
      </c>
      <c r="DJ166" t="s">
        <v>3</v>
      </c>
      <c r="DK166" t="s">
        <v>3</v>
      </c>
      <c r="DL166" t="s">
        <v>3</v>
      </c>
      <c r="DM166" t="s">
        <v>3</v>
      </c>
      <c r="DN166">
        <v>0</v>
      </c>
      <c r="DO166">
        <v>0</v>
      </c>
      <c r="DP166">
        <v>1</v>
      </c>
      <c r="DQ166">
        <v>1</v>
      </c>
      <c r="DU166">
        <v>1003</v>
      </c>
      <c r="DV166" t="s">
        <v>379</v>
      </c>
      <c r="DW166" t="s">
        <v>379</v>
      </c>
      <c r="DX166">
        <v>1</v>
      </c>
      <c r="DZ166" t="s">
        <v>3</v>
      </c>
      <c r="EA166" t="s">
        <v>3</v>
      </c>
      <c r="EB166" t="s">
        <v>3</v>
      </c>
      <c r="EC166" t="s">
        <v>3</v>
      </c>
      <c r="EE166">
        <v>64094909</v>
      </c>
      <c r="EF166">
        <v>3</v>
      </c>
      <c r="EG166" t="s">
        <v>22</v>
      </c>
      <c r="EH166">
        <v>0</v>
      </c>
      <c r="EI166" t="s">
        <v>3</v>
      </c>
      <c r="EJ166">
        <v>2</v>
      </c>
      <c r="EK166">
        <v>108001</v>
      </c>
      <c r="EL166" t="s">
        <v>23</v>
      </c>
      <c r="EM166" t="s">
        <v>24</v>
      </c>
      <c r="EO166" t="s">
        <v>3</v>
      </c>
      <c r="EQ166">
        <v>0</v>
      </c>
      <c r="ER166">
        <v>1.24</v>
      </c>
      <c r="ES166">
        <v>1.24</v>
      </c>
      <c r="ET166">
        <v>0</v>
      </c>
      <c r="EU166">
        <v>0</v>
      </c>
      <c r="EV166">
        <v>0</v>
      </c>
      <c r="EW166">
        <v>0</v>
      </c>
      <c r="EX166">
        <v>0</v>
      </c>
      <c r="FQ166">
        <v>0</v>
      </c>
      <c r="FR166">
        <f t="shared" si="204"/>
        <v>0</v>
      </c>
      <c r="FS166">
        <v>0</v>
      </c>
      <c r="FX166">
        <v>95</v>
      </c>
      <c r="FY166">
        <v>65</v>
      </c>
      <c r="GA166" t="s">
        <v>3</v>
      </c>
      <c r="GD166">
        <v>1</v>
      </c>
      <c r="GF166">
        <v>559914826</v>
      </c>
      <c r="GG166">
        <v>2</v>
      </c>
      <c r="GH166">
        <v>1</v>
      </c>
      <c r="GI166">
        <v>2</v>
      </c>
      <c r="GJ166">
        <v>0</v>
      </c>
      <c r="GK166">
        <v>0</v>
      </c>
      <c r="GL166">
        <f t="shared" si="205"/>
        <v>0</v>
      </c>
      <c r="GM166">
        <f t="shared" si="206"/>
        <v>99.57</v>
      </c>
      <c r="GN166">
        <f t="shared" si="207"/>
        <v>0</v>
      </c>
      <c r="GO166">
        <f t="shared" si="208"/>
        <v>99.57</v>
      </c>
      <c r="GP166">
        <f t="shared" si="209"/>
        <v>0</v>
      </c>
      <c r="GR166">
        <v>0</v>
      </c>
      <c r="GS166">
        <v>3</v>
      </c>
      <c r="GT166">
        <v>0</v>
      </c>
      <c r="GU166" t="s">
        <v>3</v>
      </c>
      <c r="GV166">
        <f t="shared" si="210"/>
        <v>0</v>
      </c>
      <c r="GW166">
        <v>1</v>
      </c>
      <c r="GX166">
        <f t="shared" si="211"/>
        <v>0</v>
      </c>
      <c r="HA166">
        <v>0</v>
      </c>
      <c r="HB166">
        <v>0</v>
      </c>
      <c r="HC166">
        <f t="shared" si="212"/>
        <v>0</v>
      </c>
      <c r="HE166" t="s">
        <v>3</v>
      </c>
      <c r="HF166" t="s">
        <v>3</v>
      </c>
      <c r="IK166">
        <v>0</v>
      </c>
    </row>
    <row r="167" spans="1:245" x14ac:dyDescent="0.2">
      <c r="A167">
        <v>17</v>
      </c>
      <c r="B167">
        <v>1</v>
      </c>
      <c r="C167">
        <f>ROW(SmtRes!A511)</f>
        <v>511</v>
      </c>
      <c r="D167">
        <f>ROW(EtalonRes!A493)</f>
        <v>493</v>
      </c>
      <c r="E167" t="s">
        <v>574</v>
      </c>
      <c r="F167" t="s">
        <v>575</v>
      </c>
      <c r="G167" t="s">
        <v>576</v>
      </c>
      <c r="H167" t="s">
        <v>90</v>
      </c>
      <c r="I167">
        <f>ROUND(10/100,5)</f>
        <v>0.1</v>
      </c>
      <c r="J167">
        <v>0</v>
      </c>
      <c r="O167">
        <f t="shared" si="179"/>
        <v>247.56</v>
      </c>
      <c r="P167">
        <f t="shared" si="180"/>
        <v>12.39</v>
      </c>
      <c r="Q167">
        <f t="shared" si="181"/>
        <v>5</v>
      </c>
      <c r="R167">
        <f t="shared" si="182"/>
        <v>2.29</v>
      </c>
      <c r="S167">
        <f t="shared" si="183"/>
        <v>230.17</v>
      </c>
      <c r="T167">
        <f t="shared" si="184"/>
        <v>0</v>
      </c>
      <c r="U167">
        <f t="shared" si="185"/>
        <v>0.72765000000000013</v>
      </c>
      <c r="V167">
        <f t="shared" si="186"/>
        <v>5.4000000000000012E-3</v>
      </c>
      <c r="W167">
        <f t="shared" si="187"/>
        <v>0</v>
      </c>
      <c r="X167">
        <f t="shared" si="188"/>
        <v>220.84</v>
      </c>
      <c r="Y167">
        <f t="shared" si="189"/>
        <v>151.1</v>
      </c>
      <c r="AA167">
        <v>68990560</v>
      </c>
      <c r="AB167">
        <f t="shared" si="190"/>
        <v>87.77</v>
      </c>
      <c r="AC167">
        <f t="shared" si="178"/>
        <v>14.48</v>
      </c>
      <c r="AD167">
        <f>ROUND(((((ET167*1.35))-((EU167*1.35)))+AE167),2)</f>
        <v>4.8899999999999997</v>
      </c>
      <c r="AE167">
        <f>ROUND(((EU167*1.35)),2)</f>
        <v>0.68</v>
      </c>
      <c r="AF167">
        <f>ROUND(((EV167*1.35)),2)</f>
        <v>68.400000000000006</v>
      </c>
      <c r="AG167">
        <f t="shared" si="191"/>
        <v>0</v>
      </c>
      <c r="AH167">
        <f>((EW167*1.35))</f>
        <v>7.2765000000000004</v>
      </c>
      <c r="AI167">
        <f>((EX167*1.35))</f>
        <v>5.4000000000000006E-2</v>
      </c>
      <c r="AJ167">
        <f t="shared" si="192"/>
        <v>0</v>
      </c>
      <c r="AK167">
        <v>68.77</v>
      </c>
      <c r="AL167">
        <v>14.48</v>
      </c>
      <c r="AM167">
        <v>3.62</v>
      </c>
      <c r="AN167">
        <v>0.5</v>
      </c>
      <c r="AO167">
        <v>50.67</v>
      </c>
      <c r="AP167">
        <v>0</v>
      </c>
      <c r="AQ167">
        <v>5.39</v>
      </c>
      <c r="AR167">
        <v>0.04</v>
      </c>
      <c r="AS167">
        <v>0</v>
      </c>
      <c r="AT167">
        <v>95</v>
      </c>
      <c r="AU167">
        <v>65</v>
      </c>
      <c r="AV167">
        <v>1</v>
      </c>
      <c r="AW167">
        <v>1</v>
      </c>
      <c r="AZ167">
        <v>1</v>
      </c>
      <c r="BA167">
        <v>33.65</v>
      </c>
      <c r="BB167">
        <v>10.220000000000001</v>
      </c>
      <c r="BC167">
        <v>8.56</v>
      </c>
      <c r="BD167" t="s">
        <v>3</v>
      </c>
      <c r="BE167" t="s">
        <v>3</v>
      </c>
      <c r="BF167" t="s">
        <v>3</v>
      </c>
      <c r="BG167" t="s">
        <v>3</v>
      </c>
      <c r="BH167">
        <v>0</v>
      </c>
      <c r="BI167">
        <v>2</v>
      </c>
      <c r="BJ167" t="s">
        <v>577</v>
      </c>
      <c r="BM167">
        <v>108001</v>
      </c>
      <c r="BN167">
        <v>0</v>
      </c>
      <c r="BO167" t="s">
        <v>575</v>
      </c>
      <c r="BP167">
        <v>1</v>
      </c>
      <c r="BQ167">
        <v>3</v>
      </c>
      <c r="BR167">
        <v>0</v>
      </c>
      <c r="BS167">
        <v>33.65</v>
      </c>
      <c r="BT167">
        <v>1</v>
      </c>
      <c r="BU167">
        <v>1</v>
      </c>
      <c r="BV167">
        <v>1</v>
      </c>
      <c r="BW167">
        <v>1</v>
      </c>
      <c r="BX167">
        <v>1</v>
      </c>
      <c r="BY167" t="s">
        <v>3</v>
      </c>
      <c r="BZ167">
        <v>95</v>
      </c>
      <c r="CA167">
        <v>65</v>
      </c>
      <c r="CE167">
        <v>0</v>
      </c>
      <c r="CF167">
        <v>0</v>
      </c>
      <c r="CG167">
        <v>0</v>
      </c>
      <c r="CM167">
        <v>0</v>
      </c>
      <c r="CN167" t="s">
        <v>1329</v>
      </c>
      <c r="CO167">
        <v>0</v>
      </c>
      <c r="CP167">
        <f t="shared" si="193"/>
        <v>247.56</v>
      </c>
      <c r="CQ167">
        <f t="shared" si="194"/>
        <v>123.94880000000001</v>
      </c>
      <c r="CR167">
        <f t="shared" si="195"/>
        <v>49.9758</v>
      </c>
      <c r="CS167">
        <f t="shared" si="196"/>
        <v>22.882000000000001</v>
      </c>
      <c r="CT167">
        <f t="shared" si="197"/>
        <v>2301.6600000000003</v>
      </c>
      <c r="CU167">
        <f t="shared" si="198"/>
        <v>0</v>
      </c>
      <c r="CV167">
        <f t="shared" si="199"/>
        <v>7.2765000000000004</v>
      </c>
      <c r="CW167">
        <f t="shared" si="200"/>
        <v>5.4000000000000006E-2</v>
      </c>
      <c r="CX167">
        <f t="shared" si="201"/>
        <v>0</v>
      </c>
      <c r="CY167">
        <f t="shared" si="202"/>
        <v>220.83699999999996</v>
      </c>
      <c r="CZ167">
        <f t="shared" si="203"/>
        <v>151.09899999999999</v>
      </c>
      <c r="DC167" t="s">
        <v>3</v>
      </c>
      <c r="DD167" t="s">
        <v>3</v>
      </c>
      <c r="DE167" t="s">
        <v>200</v>
      </c>
      <c r="DF167" t="s">
        <v>200</v>
      </c>
      <c r="DG167" t="s">
        <v>200</v>
      </c>
      <c r="DH167" t="s">
        <v>3</v>
      </c>
      <c r="DI167" t="s">
        <v>200</v>
      </c>
      <c r="DJ167" t="s">
        <v>200</v>
      </c>
      <c r="DK167" t="s">
        <v>3</v>
      </c>
      <c r="DL167" t="s">
        <v>3</v>
      </c>
      <c r="DM167" t="s">
        <v>3</v>
      </c>
      <c r="DN167">
        <v>0</v>
      </c>
      <c r="DO167">
        <v>0</v>
      </c>
      <c r="DP167">
        <v>1</v>
      </c>
      <c r="DQ167">
        <v>1</v>
      </c>
      <c r="DU167">
        <v>1003</v>
      </c>
      <c r="DV167" t="s">
        <v>90</v>
      </c>
      <c r="DW167" t="s">
        <v>90</v>
      </c>
      <c r="DX167">
        <v>100</v>
      </c>
      <c r="DZ167" t="s">
        <v>3</v>
      </c>
      <c r="EA167" t="s">
        <v>3</v>
      </c>
      <c r="EB167" t="s">
        <v>3</v>
      </c>
      <c r="EC167" t="s">
        <v>3</v>
      </c>
      <c r="EE167">
        <v>64094909</v>
      </c>
      <c r="EF167">
        <v>3</v>
      </c>
      <c r="EG167" t="s">
        <v>22</v>
      </c>
      <c r="EH167">
        <v>0</v>
      </c>
      <c r="EI167" t="s">
        <v>3</v>
      </c>
      <c r="EJ167">
        <v>2</v>
      </c>
      <c r="EK167">
        <v>108001</v>
      </c>
      <c r="EL167" t="s">
        <v>23</v>
      </c>
      <c r="EM167" t="s">
        <v>24</v>
      </c>
      <c r="EO167" t="s">
        <v>42</v>
      </c>
      <c r="EQ167">
        <v>0</v>
      </c>
      <c r="ER167">
        <v>68.77</v>
      </c>
      <c r="ES167">
        <v>14.48</v>
      </c>
      <c r="ET167">
        <v>3.62</v>
      </c>
      <c r="EU167">
        <v>0.5</v>
      </c>
      <c r="EV167">
        <v>50.67</v>
      </c>
      <c r="EW167">
        <v>5.39</v>
      </c>
      <c r="EX167">
        <v>0.04</v>
      </c>
      <c r="EY167">
        <v>0</v>
      </c>
      <c r="FQ167">
        <v>0</v>
      </c>
      <c r="FR167">
        <f t="shared" si="204"/>
        <v>0</v>
      </c>
      <c r="FS167">
        <v>0</v>
      </c>
      <c r="FX167">
        <v>95</v>
      </c>
      <c r="FY167">
        <v>65</v>
      </c>
      <c r="GA167" t="s">
        <v>3</v>
      </c>
      <c r="GD167">
        <v>1</v>
      </c>
      <c r="GF167">
        <v>2069076848</v>
      </c>
      <c r="GG167">
        <v>2</v>
      </c>
      <c r="GH167">
        <v>1</v>
      </c>
      <c r="GI167">
        <v>2</v>
      </c>
      <c r="GJ167">
        <v>0</v>
      </c>
      <c r="GK167">
        <v>0</v>
      </c>
      <c r="GL167">
        <f t="shared" si="205"/>
        <v>0</v>
      </c>
      <c r="GM167">
        <f t="shared" si="206"/>
        <v>619.5</v>
      </c>
      <c r="GN167">
        <f t="shared" si="207"/>
        <v>0</v>
      </c>
      <c r="GO167">
        <f t="shared" si="208"/>
        <v>619.5</v>
      </c>
      <c r="GP167">
        <f t="shared" si="209"/>
        <v>0</v>
      </c>
      <c r="GR167">
        <v>0</v>
      </c>
      <c r="GS167">
        <v>3</v>
      </c>
      <c r="GT167">
        <v>0</v>
      </c>
      <c r="GU167" t="s">
        <v>3</v>
      </c>
      <c r="GV167">
        <f t="shared" si="210"/>
        <v>0</v>
      </c>
      <c r="GW167">
        <v>1</v>
      </c>
      <c r="GX167">
        <f t="shared" si="211"/>
        <v>0</v>
      </c>
      <c r="HA167">
        <v>0</v>
      </c>
      <c r="HB167">
        <v>0</v>
      </c>
      <c r="HC167">
        <f t="shared" si="212"/>
        <v>0</v>
      </c>
      <c r="HE167" t="s">
        <v>3</v>
      </c>
      <c r="HF167" t="s">
        <v>3</v>
      </c>
      <c r="IK167">
        <v>0</v>
      </c>
    </row>
    <row r="168" spans="1:245" x14ac:dyDescent="0.2">
      <c r="A168">
        <v>18</v>
      </c>
      <c r="B168">
        <v>1</v>
      </c>
      <c r="C168">
        <v>510</v>
      </c>
      <c r="E168" t="s">
        <v>578</v>
      </c>
      <c r="F168" t="s">
        <v>579</v>
      </c>
      <c r="G168" t="s">
        <v>580</v>
      </c>
      <c r="H168" t="s">
        <v>560</v>
      </c>
      <c r="I168">
        <f>I167*J168</f>
        <v>0.01</v>
      </c>
      <c r="J168">
        <v>9.9999999999999992E-2</v>
      </c>
      <c r="O168">
        <f t="shared" si="179"/>
        <v>486.59</v>
      </c>
      <c r="P168">
        <f t="shared" si="180"/>
        <v>486.59</v>
      </c>
      <c r="Q168">
        <f t="shared" si="181"/>
        <v>0</v>
      </c>
      <c r="R168">
        <f t="shared" si="182"/>
        <v>0</v>
      </c>
      <c r="S168">
        <f t="shared" si="183"/>
        <v>0</v>
      </c>
      <c r="T168">
        <f t="shared" si="184"/>
        <v>0</v>
      </c>
      <c r="U168">
        <f t="shared" si="185"/>
        <v>0</v>
      </c>
      <c r="V168">
        <f t="shared" si="186"/>
        <v>0</v>
      </c>
      <c r="W168">
        <f t="shared" si="187"/>
        <v>0</v>
      </c>
      <c r="X168">
        <f t="shared" si="188"/>
        <v>0</v>
      </c>
      <c r="Y168">
        <f t="shared" si="189"/>
        <v>0</v>
      </c>
      <c r="AA168">
        <v>68990560</v>
      </c>
      <c r="AB168">
        <f t="shared" si="190"/>
        <v>4832.12</v>
      </c>
      <c r="AC168">
        <f t="shared" si="178"/>
        <v>4832.12</v>
      </c>
      <c r="AD168">
        <f>ROUND((((ET168)-(EU168))+AE168),2)</f>
        <v>0</v>
      </c>
      <c r="AE168">
        <f>ROUND((EU168),2)</f>
        <v>0</v>
      </c>
      <c r="AF168">
        <f>ROUND((EV168),2)</f>
        <v>0</v>
      </c>
      <c r="AG168">
        <f t="shared" si="191"/>
        <v>0</v>
      </c>
      <c r="AH168">
        <f>(EW168)</f>
        <v>0</v>
      </c>
      <c r="AI168">
        <f>(EX168)</f>
        <v>0</v>
      </c>
      <c r="AJ168">
        <f t="shared" si="192"/>
        <v>0</v>
      </c>
      <c r="AK168">
        <v>4832.12</v>
      </c>
      <c r="AL168">
        <v>4832.12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95</v>
      </c>
      <c r="AU168">
        <v>65</v>
      </c>
      <c r="AV168">
        <v>1</v>
      </c>
      <c r="AW168">
        <v>1</v>
      </c>
      <c r="AZ168">
        <v>1</v>
      </c>
      <c r="BA168">
        <v>1</v>
      </c>
      <c r="BB168">
        <v>1</v>
      </c>
      <c r="BC168">
        <v>10.07</v>
      </c>
      <c r="BD168" t="s">
        <v>3</v>
      </c>
      <c r="BE168" t="s">
        <v>3</v>
      </c>
      <c r="BF168" t="s">
        <v>3</v>
      </c>
      <c r="BG168" t="s">
        <v>3</v>
      </c>
      <c r="BH168">
        <v>3</v>
      </c>
      <c r="BI168">
        <v>2</v>
      </c>
      <c r="BJ168" t="s">
        <v>581</v>
      </c>
      <c r="BM168">
        <v>108001</v>
      </c>
      <c r="BN168">
        <v>0</v>
      </c>
      <c r="BO168" t="s">
        <v>579</v>
      </c>
      <c r="BP168">
        <v>1</v>
      </c>
      <c r="BQ168">
        <v>3</v>
      </c>
      <c r="BR168">
        <v>0</v>
      </c>
      <c r="BS168">
        <v>1</v>
      </c>
      <c r="BT168">
        <v>1</v>
      </c>
      <c r="BU168">
        <v>1</v>
      </c>
      <c r="BV168">
        <v>1</v>
      </c>
      <c r="BW168">
        <v>1</v>
      </c>
      <c r="BX168">
        <v>1</v>
      </c>
      <c r="BY168" t="s">
        <v>3</v>
      </c>
      <c r="BZ168">
        <v>95</v>
      </c>
      <c r="CA168">
        <v>65</v>
      </c>
      <c r="CE168">
        <v>0</v>
      </c>
      <c r="CF168">
        <v>0</v>
      </c>
      <c r="CG168">
        <v>0</v>
      </c>
      <c r="CM168">
        <v>0</v>
      </c>
      <c r="CN168" t="s">
        <v>3</v>
      </c>
      <c r="CO168">
        <v>0</v>
      </c>
      <c r="CP168">
        <f t="shared" si="193"/>
        <v>486.59</v>
      </c>
      <c r="CQ168">
        <f t="shared" si="194"/>
        <v>48659.448400000001</v>
      </c>
      <c r="CR168">
        <f t="shared" si="195"/>
        <v>0</v>
      </c>
      <c r="CS168">
        <f t="shared" si="196"/>
        <v>0</v>
      </c>
      <c r="CT168">
        <f t="shared" si="197"/>
        <v>0</v>
      </c>
      <c r="CU168">
        <f t="shared" si="198"/>
        <v>0</v>
      </c>
      <c r="CV168">
        <f t="shared" si="199"/>
        <v>0</v>
      </c>
      <c r="CW168">
        <f t="shared" si="200"/>
        <v>0</v>
      </c>
      <c r="CX168">
        <f t="shared" si="201"/>
        <v>0</v>
      </c>
      <c r="CY168">
        <f t="shared" si="202"/>
        <v>0</v>
      </c>
      <c r="CZ168">
        <f t="shared" si="203"/>
        <v>0</v>
      </c>
      <c r="DC168" t="s">
        <v>3</v>
      </c>
      <c r="DD168" t="s">
        <v>3</v>
      </c>
      <c r="DE168" t="s">
        <v>3</v>
      </c>
      <c r="DF168" t="s">
        <v>3</v>
      </c>
      <c r="DG168" t="s">
        <v>3</v>
      </c>
      <c r="DH168" t="s">
        <v>3</v>
      </c>
      <c r="DI168" t="s">
        <v>3</v>
      </c>
      <c r="DJ168" t="s">
        <v>3</v>
      </c>
      <c r="DK168" t="s">
        <v>3</v>
      </c>
      <c r="DL168" t="s">
        <v>3</v>
      </c>
      <c r="DM168" t="s">
        <v>3</v>
      </c>
      <c r="DN168">
        <v>0</v>
      </c>
      <c r="DO168">
        <v>0</v>
      </c>
      <c r="DP168">
        <v>1</v>
      </c>
      <c r="DQ168">
        <v>1</v>
      </c>
      <c r="DU168">
        <v>1013</v>
      </c>
      <c r="DV168" t="s">
        <v>560</v>
      </c>
      <c r="DW168" t="s">
        <v>562</v>
      </c>
      <c r="DX168">
        <v>1</v>
      </c>
      <c r="DZ168" t="s">
        <v>3</v>
      </c>
      <c r="EA168" t="s">
        <v>3</v>
      </c>
      <c r="EB168" t="s">
        <v>3</v>
      </c>
      <c r="EC168" t="s">
        <v>3</v>
      </c>
      <c r="EE168">
        <v>64094909</v>
      </c>
      <c r="EF168">
        <v>3</v>
      </c>
      <c r="EG168" t="s">
        <v>22</v>
      </c>
      <c r="EH168">
        <v>0</v>
      </c>
      <c r="EI168" t="s">
        <v>3</v>
      </c>
      <c r="EJ168">
        <v>2</v>
      </c>
      <c r="EK168">
        <v>108001</v>
      </c>
      <c r="EL168" t="s">
        <v>23</v>
      </c>
      <c r="EM168" t="s">
        <v>24</v>
      </c>
      <c r="EO168" t="s">
        <v>3</v>
      </c>
      <c r="EQ168">
        <v>0</v>
      </c>
      <c r="ER168">
        <v>4832.12</v>
      </c>
      <c r="ES168">
        <v>4832.12</v>
      </c>
      <c r="ET168">
        <v>0</v>
      </c>
      <c r="EU168">
        <v>0</v>
      </c>
      <c r="EV168">
        <v>0</v>
      </c>
      <c r="EW168">
        <v>0</v>
      </c>
      <c r="EX168">
        <v>0</v>
      </c>
      <c r="FQ168">
        <v>0</v>
      </c>
      <c r="FR168">
        <f t="shared" si="204"/>
        <v>0</v>
      </c>
      <c r="FS168">
        <v>0</v>
      </c>
      <c r="FX168">
        <v>95</v>
      </c>
      <c r="FY168">
        <v>65</v>
      </c>
      <c r="GA168" t="s">
        <v>3</v>
      </c>
      <c r="GD168">
        <v>1</v>
      </c>
      <c r="GF168">
        <v>-1990471262</v>
      </c>
      <c r="GG168">
        <v>2</v>
      </c>
      <c r="GH168">
        <v>1</v>
      </c>
      <c r="GI168">
        <v>2</v>
      </c>
      <c r="GJ168">
        <v>0</v>
      </c>
      <c r="GK168">
        <v>0</v>
      </c>
      <c r="GL168">
        <f t="shared" si="205"/>
        <v>0</v>
      </c>
      <c r="GM168">
        <f t="shared" si="206"/>
        <v>486.59</v>
      </c>
      <c r="GN168">
        <f t="shared" si="207"/>
        <v>0</v>
      </c>
      <c r="GO168">
        <f t="shared" si="208"/>
        <v>486.59</v>
      </c>
      <c r="GP168">
        <f t="shared" si="209"/>
        <v>0</v>
      </c>
      <c r="GR168">
        <v>0</v>
      </c>
      <c r="GS168">
        <v>3</v>
      </c>
      <c r="GT168">
        <v>0</v>
      </c>
      <c r="GU168" t="s">
        <v>3</v>
      </c>
      <c r="GV168">
        <f t="shared" si="210"/>
        <v>0</v>
      </c>
      <c r="GW168">
        <v>1</v>
      </c>
      <c r="GX168">
        <f t="shared" si="211"/>
        <v>0</v>
      </c>
      <c r="HA168">
        <v>0</v>
      </c>
      <c r="HB168">
        <v>0</v>
      </c>
      <c r="HC168">
        <f t="shared" si="212"/>
        <v>0</v>
      </c>
      <c r="HE168" t="s">
        <v>3</v>
      </c>
      <c r="HF168" t="s">
        <v>3</v>
      </c>
      <c r="IK168">
        <v>0</v>
      </c>
    </row>
    <row r="169" spans="1:245" x14ac:dyDescent="0.2">
      <c r="A169">
        <v>17</v>
      </c>
      <c r="B169">
        <v>1</v>
      </c>
      <c r="C169">
        <f>ROW(SmtRes!A518)</f>
        <v>518</v>
      </c>
      <c r="D169">
        <f>ROW(EtalonRes!A499)</f>
        <v>499</v>
      </c>
      <c r="E169" t="s">
        <v>582</v>
      </c>
      <c r="F169" t="s">
        <v>583</v>
      </c>
      <c r="G169" t="s">
        <v>584</v>
      </c>
      <c r="H169" t="s">
        <v>90</v>
      </c>
      <c r="I169">
        <f>ROUND(72/100,5)</f>
        <v>0.72</v>
      </c>
      <c r="J169">
        <v>0</v>
      </c>
      <c r="O169">
        <f t="shared" si="179"/>
        <v>5365.76</v>
      </c>
      <c r="P169">
        <f t="shared" si="180"/>
        <v>294.22000000000003</v>
      </c>
      <c r="Q169">
        <f t="shared" si="181"/>
        <v>4.5</v>
      </c>
      <c r="R169">
        <f t="shared" si="182"/>
        <v>4.5999999999999996</v>
      </c>
      <c r="S169">
        <f t="shared" si="183"/>
        <v>5067.04</v>
      </c>
      <c r="T169">
        <f t="shared" si="184"/>
        <v>0</v>
      </c>
      <c r="U169">
        <f t="shared" si="185"/>
        <v>15.833880000000001</v>
      </c>
      <c r="V169">
        <f t="shared" si="186"/>
        <v>9.7200000000000012E-3</v>
      </c>
      <c r="W169">
        <f t="shared" si="187"/>
        <v>0</v>
      </c>
      <c r="X169">
        <f t="shared" si="188"/>
        <v>4818.0600000000004</v>
      </c>
      <c r="Y169">
        <f t="shared" si="189"/>
        <v>3296.57</v>
      </c>
      <c r="AA169">
        <v>68990560</v>
      </c>
      <c r="AB169">
        <f t="shared" si="190"/>
        <v>261.08999999999997</v>
      </c>
      <c r="AC169">
        <f t="shared" si="178"/>
        <v>51.53</v>
      </c>
      <c r="AD169">
        <f>ROUND(((((ET169*1.35))-((EU169*1.35)))+AE169),2)</f>
        <v>0.42</v>
      </c>
      <c r="AE169">
        <f>ROUND(((EU169*1.35)),2)</f>
        <v>0.19</v>
      </c>
      <c r="AF169">
        <f>ROUND(((EV169*1.35)),2)</f>
        <v>209.14</v>
      </c>
      <c r="AG169">
        <f t="shared" si="191"/>
        <v>0</v>
      </c>
      <c r="AH169">
        <f>((EW169*1.35))</f>
        <v>21.991500000000002</v>
      </c>
      <c r="AI169">
        <f>((EX169*1.35))</f>
        <v>1.3500000000000002E-2</v>
      </c>
      <c r="AJ169">
        <f t="shared" si="192"/>
        <v>0</v>
      </c>
      <c r="AK169">
        <v>206.76</v>
      </c>
      <c r="AL169">
        <v>51.53</v>
      </c>
      <c r="AM169">
        <v>0.31</v>
      </c>
      <c r="AN169">
        <v>0.14000000000000001</v>
      </c>
      <c r="AO169">
        <v>154.91999999999999</v>
      </c>
      <c r="AP169">
        <v>0</v>
      </c>
      <c r="AQ169">
        <v>16.29</v>
      </c>
      <c r="AR169">
        <v>0.01</v>
      </c>
      <c r="AS169">
        <v>0</v>
      </c>
      <c r="AT169">
        <v>95</v>
      </c>
      <c r="AU169">
        <v>65</v>
      </c>
      <c r="AV169">
        <v>1</v>
      </c>
      <c r="AW169">
        <v>1</v>
      </c>
      <c r="AZ169">
        <v>1</v>
      </c>
      <c r="BA169">
        <v>33.65</v>
      </c>
      <c r="BB169">
        <v>14.88</v>
      </c>
      <c r="BC169">
        <v>7.93</v>
      </c>
      <c r="BD169" t="s">
        <v>3</v>
      </c>
      <c r="BE169" t="s">
        <v>3</v>
      </c>
      <c r="BF169" t="s">
        <v>3</v>
      </c>
      <c r="BG169" t="s">
        <v>3</v>
      </c>
      <c r="BH169">
        <v>0</v>
      </c>
      <c r="BI169">
        <v>2</v>
      </c>
      <c r="BJ169" t="s">
        <v>585</v>
      </c>
      <c r="BM169">
        <v>108001</v>
      </c>
      <c r="BN169">
        <v>0</v>
      </c>
      <c r="BO169" t="s">
        <v>583</v>
      </c>
      <c r="BP169">
        <v>1</v>
      </c>
      <c r="BQ169">
        <v>3</v>
      </c>
      <c r="BR169">
        <v>0</v>
      </c>
      <c r="BS169">
        <v>33.65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3</v>
      </c>
      <c r="BZ169">
        <v>95</v>
      </c>
      <c r="CA169">
        <v>65</v>
      </c>
      <c r="CE169">
        <v>0</v>
      </c>
      <c r="CF169">
        <v>0</v>
      </c>
      <c r="CG169">
        <v>0</v>
      </c>
      <c r="CM169">
        <v>0</v>
      </c>
      <c r="CN169" t="s">
        <v>1329</v>
      </c>
      <c r="CO169">
        <v>0</v>
      </c>
      <c r="CP169">
        <f t="shared" si="193"/>
        <v>5365.76</v>
      </c>
      <c r="CQ169">
        <f t="shared" si="194"/>
        <v>408.63290000000001</v>
      </c>
      <c r="CR169">
        <f t="shared" si="195"/>
        <v>6.2496</v>
      </c>
      <c r="CS169">
        <f t="shared" si="196"/>
        <v>6.3934999999999995</v>
      </c>
      <c r="CT169">
        <f t="shared" si="197"/>
        <v>7037.5609999999997</v>
      </c>
      <c r="CU169">
        <f t="shared" si="198"/>
        <v>0</v>
      </c>
      <c r="CV169">
        <f t="shared" si="199"/>
        <v>21.991500000000002</v>
      </c>
      <c r="CW169">
        <f t="shared" si="200"/>
        <v>1.3500000000000002E-2</v>
      </c>
      <c r="CX169">
        <f t="shared" si="201"/>
        <v>0</v>
      </c>
      <c r="CY169">
        <f t="shared" si="202"/>
        <v>4818.0580000000009</v>
      </c>
      <c r="CZ169">
        <f t="shared" si="203"/>
        <v>3296.5660000000003</v>
      </c>
      <c r="DC169" t="s">
        <v>3</v>
      </c>
      <c r="DD169" t="s">
        <v>3</v>
      </c>
      <c r="DE169" t="s">
        <v>200</v>
      </c>
      <c r="DF169" t="s">
        <v>200</v>
      </c>
      <c r="DG169" t="s">
        <v>200</v>
      </c>
      <c r="DH169" t="s">
        <v>3</v>
      </c>
      <c r="DI169" t="s">
        <v>200</v>
      </c>
      <c r="DJ169" t="s">
        <v>200</v>
      </c>
      <c r="DK169" t="s">
        <v>3</v>
      </c>
      <c r="DL169" t="s">
        <v>3</v>
      </c>
      <c r="DM169" t="s">
        <v>3</v>
      </c>
      <c r="DN169">
        <v>0</v>
      </c>
      <c r="DO169">
        <v>0</v>
      </c>
      <c r="DP169">
        <v>1</v>
      </c>
      <c r="DQ169">
        <v>1</v>
      </c>
      <c r="DU169">
        <v>1003</v>
      </c>
      <c r="DV169" t="s">
        <v>90</v>
      </c>
      <c r="DW169" t="s">
        <v>90</v>
      </c>
      <c r="DX169">
        <v>100</v>
      </c>
      <c r="DZ169" t="s">
        <v>3</v>
      </c>
      <c r="EA169" t="s">
        <v>3</v>
      </c>
      <c r="EB169" t="s">
        <v>3</v>
      </c>
      <c r="EC169" t="s">
        <v>3</v>
      </c>
      <c r="EE169">
        <v>64094909</v>
      </c>
      <c r="EF169">
        <v>3</v>
      </c>
      <c r="EG169" t="s">
        <v>22</v>
      </c>
      <c r="EH169">
        <v>0</v>
      </c>
      <c r="EI169" t="s">
        <v>3</v>
      </c>
      <c r="EJ169">
        <v>2</v>
      </c>
      <c r="EK169">
        <v>108001</v>
      </c>
      <c r="EL169" t="s">
        <v>23</v>
      </c>
      <c r="EM169" t="s">
        <v>24</v>
      </c>
      <c r="EO169" t="s">
        <v>42</v>
      </c>
      <c r="EQ169">
        <v>0</v>
      </c>
      <c r="ER169">
        <v>206.76</v>
      </c>
      <c r="ES169">
        <v>51.53</v>
      </c>
      <c r="ET169">
        <v>0.31</v>
      </c>
      <c r="EU169">
        <v>0.14000000000000001</v>
      </c>
      <c r="EV169">
        <v>154.91999999999999</v>
      </c>
      <c r="EW169">
        <v>16.29</v>
      </c>
      <c r="EX169">
        <v>0.01</v>
      </c>
      <c r="EY169">
        <v>0</v>
      </c>
      <c r="FQ169">
        <v>0</v>
      </c>
      <c r="FR169">
        <f t="shared" si="204"/>
        <v>0</v>
      </c>
      <c r="FS169">
        <v>0</v>
      </c>
      <c r="FX169">
        <v>95</v>
      </c>
      <c r="FY169">
        <v>65</v>
      </c>
      <c r="GA169" t="s">
        <v>3</v>
      </c>
      <c r="GD169">
        <v>1</v>
      </c>
      <c r="GF169">
        <v>1798457799</v>
      </c>
      <c r="GG169">
        <v>2</v>
      </c>
      <c r="GH169">
        <v>1</v>
      </c>
      <c r="GI169">
        <v>2</v>
      </c>
      <c r="GJ169">
        <v>0</v>
      </c>
      <c r="GK169">
        <v>0</v>
      </c>
      <c r="GL169">
        <f t="shared" si="205"/>
        <v>0</v>
      </c>
      <c r="GM169">
        <f t="shared" si="206"/>
        <v>13480.39</v>
      </c>
      <c r="GN169">
        <f t="shared" si="207"/>
        <v>0</v>
      </c>
      <c r="GO169">
        <f t="shared" si="208"/>
        <v>13480.39</v>
      </c>
      <c r="GP169">
        <f t="shared" si="209"/>
        <v>0</v>
      </c>
      <c r="GR169">
        <v>0</v>
      </c>
      <c r="GS169">
        <v>3</v>
      </c>
      <c r="GT169">
        <v>0</v>
      </c>
      <c r="GU169" t="s">
        <v>3</v>
      </c>
      <c r="GV169">
        <f t="shared" si="210"/>
        <v>0</v>
      </c>
      <c r="GW169">
        <v>1</v>
      </c>
      <c r="GX169">
        <f t="shared" si="211"/>
        <v>0</v>
      </c>
      <c r="HA169">
        <v>0</v>
      </c>
      <c r="HB169">
        <v>0</v>
      </c>
      <c r="HC169">
        <f t="shared" si="212"/>
        <v>0</v>
      </c>
      <c r="HE169" t="s">
        <v>3</v>
      </c>
      <c r="HF169" t="s">
        <v>3</v>
      </c>
      <c r="IK169">
        <v>0</v>
      </c>
    </row>
    <row r="170" spans="1:245" x14ac:dyDescent="0.2">
      <c r="A170">
        <v>18</v>
      </c>
      <c r="B170">
        <v>1</v>
      </c>
      <c r="C170">
        <v>517</v>
      </c>
      <c r="E170" t="s">
        <v>586</v>
      </c>
      <c r="F170" t="s">
        <v>587</v>
      </c>
      <c r="G170" t="s">
        <v>588</v>
      </c>
      <c r="H170" t="s">
        <v>379</v>
      </c>
      <c r="I170">
        <f>I169*J170</f>
        <v>72</v>
      </c>
      <c r="J170">
        <v>100</v>
      </c>
      <c r="O170">
        <f t="shared" si="179"/>
        <v>4555.9799999999996</v>
      </c>
      <c r="P170">
        <f t="shared" si="180"/>
        <v>4555.9799999999996</v>
      </c>
      <c r="Q170">
        <f t="shared" si="181"/>
        <v>0</v>
      </c>
      <c r="R170">
        <f t="shared" si="182"/>
        <v>0</v>
      </c>
      <c r="S170">
        <f t="shared" si="183"/>
        <v>0</v>
      </c>
      <c r="T170">
        <f t="shared" si="184"/>
        <v>0</v>
      </c>
      <c r="U170">
        <f t="shared" si="185"/>
        <v>0</v>
      </c>
      <c r="V170">
        <f t="shared" si="186"/>
        <v>0</v>
      </c>
      <c r="W170">
        <f t="shared" si="187"/>
        <v>0</v>
      </c>
      <c r="X170">
        <f t="shared" si="188"/>
        <v>0</v>
      </c>
      <c r="Y170">
        <f t="shared" si="189"/>
        <v>0</v>
      </c>
      <c r="AA170">
        <v>68990560</v>
      </c>
      <c r="AB170">
        <f t="shared" si="190"/>
        <v>7.15</v>
      </c>
      <c r="AC170">
        <f t="shared" si="178"/>
        <v>7.15</v>
      </c>
      <c r="AD170">
        <f>ROUND((((ET170)-(EU170))+AE170),2)</f>
        <v>0</v>
      </c>
      <c r="AE170">
        <f>ROUND((EU170),2)</f>
        <v>0</v>
      </c>
      <c r="AF170">
        <f>ROUND((EV170),2)</f>
        <v>0</v>
      </c>
      <c r="AG170">
        <f t="shared" si="191"/>
        <v>0</v>
      </c>
      <c r="AH170">
        <f>(EW170)</f>
        <v>0</v>
      </c>
      <c r="AI170">
        <f>(EX170)</f>
        <v>0</v>
      </c>
      <c r="AJ170">
        <f t="shared" si="192"/>
        <v>0</v>
      </c>
      <c r="AK170">
        <v>7.15</v>
      </c>
      <c r="AL170">
        <v>7.15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95</v>
      </c>
      <c r="AU170">
        <v>65</v>
      </c>
      <c r="AV170">
        <v>1</v>
      </c>
      <c r="AW170">
        <v>1</v>
      </c>
      <c r="AZ170">
        <v>1</v>
      </c>
      <c r="BA170">
        <v>1</v>
      </c>
      <c r="BB170">
        <v>1</v>
      </c>
      <c r="BC170">
        <v>8.85</v>
      </c>
      <c r="BD170" t="s">
        <v>3</v>
      </c>
      <c r="BE170" t="s">
        <v>3</v>
      </c>
      <c r="BF170" t="s">
        <v>3</v>
      </c>
      <c r="BG170" t="s">
        <v>3</v>
      </c>
      <c r="BH170">
        <v>3</v>
      </c>
      <c r="BI170">
        <v>2</v>
      </c>
      <c r="BJ170" t="s">
        <v>589</v>
      </c>
      <c r="BM170">
        <v>108001</v>
      </c>
      <c r="BN170">
        <v>0</v>
      </c>
      <c r="BO170" t="s">
        <v>587</v>
      </c>
      <c r="BP170">
        <v>1</v>
      </c>
      <c r="BQ170">
        <v>3</v>
      </c>
      <c r="BR170">
        <v>0</v>
      </c>
      <c r="BS170">
        <v>1</v>
      </c>
      <c r="BT170">
        <v>1</v>
      </c>
      <c r="BU170">
        <v>1</v>
      </c>
      <c r="BV170">
        <v>1</v>
      </c>
      <c r="BW170">
        <v>1</v>
      </c>
      <c r="BX170">
        <v>1</v>
      </c>
      <c r="BY170" t="s">
        <v>3</v>
      </c>
      <c r="BZ170">
        <v>95</v>
      </c>
      <c r="CA170">
        <v>65</v>
      </c>
      <c r="CE170">
        <v>0</v>
      </c>
      <c r="CF170">
        <v>0</v>
      </c>
      <c r="CG170">
        <v>0</v>
      </c>
      <c r="CM170">
        <v>0</v>
      </c>
      <c r="CN170" t="s">
        <v>3</v>
      </c>
      <c r="CO170">
        <v>0</v>
      </c>
      <c r="CP170">
        <f t="shared" si="193"/>
        <v>4555.9799999999996</v>
      </c>
      <c r="CQ170">
        <f t="shared" si="194"/>
        <v>63.277500000000003</v>
      </c>
      <c r="CR170">
        <f t="shared" si="195"/>
        <v>0</v>
      </c>
      <c r="CS170">
        <f t="shared" si="196"/>
        <v>0</v>
      </c>
      <c r="CT170">
        <f t="shared" si="197"/>
        <v>0</v>
      </c>
      <c r="CU170">
        <f t="shared" si="198"/>
        <v>0</v>
      </c>
      <c r="CV170">
        <f t="shared" si="199"/>
        <v>0</v>
      </c>
      <c r="CW170">
        <f t="shared" si="200"/>
        <v>0</v>
      </c>
      <c r="CX170">
        <f t="shared" si="201"/>
        <v>0</v>
      </c>
      <c r="CY170">
        <f t="shared" si="202"/>
        <v>0</v>
      </c>
      <c r="CZ170">
        <f t="shared" si="203"/>
        <v>0</v>
      </c>
      <c r="DC170" t="s">
        <v>3</v>
      </c>
      <c r="DD170" t="s">
        <v>3</v>
      </c>
      <c r="DE170" t="s">
        <v>3</v>
      </c>
      <c r="DF170" t="s">
        <v>3</v>
      </c>
      <c r="DG170" t="s">
        <v>3</v>
      </c>
      <c r="DH170" t="s">
        <v>3</v>
      </c>
      <c r="DI170" t="s">
        <v>3</v>
      </c>
      <c r="DJ170" t="s">
        <v>3</v>
      </c>
      <c r="DK170" t="s">
        <v>3</v>
      </c>
      <c r="DL170" t="s">
        <v>3</v>
      </c>
      <c r="DM170" t="s">
        <v>3</v>
      </c>
      <c r="DN170">
        <v>0</v>
      </c>
      <c r="DO170">
        <v>0</v>
      </c>
      <c r="DP170">
        <v>1</v>
      </c>
      <c r="DQ170">
        <v>1</v>
      </c>
      <c r="DU170">
        <v>1003</v>
      </c>
      <c r="DV170" t="s">
        <v>379</v>
      </c>
      <c r="DW170" t="s">
        <v>379</v>
      </c>
      <c r="DX170">
        <v>1</v>
      </c>
      <c r="DZ170" t="s">
        <v>3</v>
      </c>
      <c r="EA170" t="s">
        <v>3</v>
      </c>
      <c r="EB170" t="s">
        <v>3</v>
      </c>
      <c r="EC170" t="s">
        <v>3</v>
      </c>
      <c r="EE170">
        <v>64094909</v>
      </c>
      <c r="EF170">
        <v>3</v>
      </c>
      <c r="EG170" t="s">
        <v>22</v>
      </c>
      <c r="EH170">
        <v>0</v>
      </c>
      <c r="EI170" t="s">
        <v>3</v>
      </c>
      <c r="EJ170">
        <v>2</v>
      </c>
      <c r="EK170">
        <v>108001</v>
      </c>
      <c r="EL170" t="s">
        <v>23</v>
      </c>
      <c r="EM170" t="s">
        <v>24</v>
      </c>
      <c r="EO170" t="s">
        <v>3</v>
      </c>
      <c r="EQ170">
        <v>0</v>
      </c>
      <c r="ER170">
        <v>7.15</v>
      </c>
      <c r="ES170">
        <v>7.15</v>
      </c>
      <c r="ET170">
        <v>0</v>
      </c>
      <c r="EU170">
        <v>0</v>
      </c>
      <c r="EV170">
        <v>0</v>
      </c>
      <c r="EW170">
        <v>0</v>
      </c>
      <c r="EX170">
        <v>0</v>
      </c>
      <c r="FQ170">
        <v>0</v>
      </c>
      <c r="FR170">
        <f t="shared" si="204"/>
        <v>0</v>
      </c>
      <c r="FS170">
        <v>0</v>
      </c>
      <c r="FX170">
        <v>95</v>
      </c>
      <c r="FY170">
        <v>65</v>
      </c>
      <c r="GA170" t="s">
        <v>3</v>
      </c>
      <c r="GD170">
        <v>1</v>
      </c>
      <c r="GF170">
        <v>-1411072257</v>
      </c>
      <c r="GG170">
        <v>2</v>
      </c>
      <c r="GH170">
        <v>1</v>
      </c>
      <c r="GI170">
        <v>2</v>
      </c>
      <c r="GJ170">
        <v>0</v>
      </c>
      <c r="GK170">
        <v>0</v>
      </c>
      <c r="GL170">
        <f t="shared" si="205"/>
        <v>0</v>
      </c>
      <c r="GM170">
        <f t="shared" si="206"/>
        <v>4555.9799999999996</v>
      </c>
      <c r="GN170">
        <f t="shared" si="207"/>
        <v>0</v>
      </c>
      <c r="GO170">
        <f t="shared" si="208"/>
        <v>4555.9799999999996</v>
      </c>
      <c r="GP170">
        <f t="shared" si="209"/>
        <v>0</v>
      </c>
      <c r="GR170">
        <v>0</v>
      </c>
      <c r="GS170">
        <v>3</v>
      </c>
      <c r="GT170">
        <v>0</v>
      </c>
      <c r="GU170" t="s">
        <v>3</v>
      </c>
      <c r="GV170">
        <f t="shared" si="210"/>
        <v>0</v>
      </c>
      <c r="GW170">
        <v>1</v>
      </c>
      <c r="GX170">
        <f t="shared" si="211"/>
        <v>0</v>
      </c>
      <c r="HA170">
        <v>0</v>
      </c>
      <c r="HB170">
        <v>0</v>
      </c>
      <c r="HC170">
        <f t="shared" si="212"/>
        <v>0</v>
      </c>
      <c r="HE170" t="s">
        <v>3</v>
      </c>
      <c r="HF170" t="s">
        <v>3</v>
      </c>
      <c r="IK170">
        <v>0</v>
      </c>
    </row>
    <row r="171" spans="1:245" x14ac:dyDescent="0.2">
      <c r="A171">
        <v>17</v>
      </c>
      <c r="B171">
        <v>1</v>
      </c>
      <c r="C171">
        <f>ROW(SmtRes!A528)</f>
        <v>528</v>
      </c>
      <c r="D171">
        <f>ROW(EtalonRes!A507)</f>
        <v>507</v>
      </c>
      <c r="E171" t="s">
        <v>590</v>
      </c>
      <c r="F171" t="s">
        <v>591</v>
      </c>
      <c r="G171" t="s">
        <v>592</v>
      </c>
      <c r="H171" t="s">
        <v>90</v>
      </c>
      <c r="I171">
        <f>ROUND(72/100,5)</f>
        <v>0.72</v>
      </c>
      <c r="J171">
        <v>0</v>
      </c>
      <c r="O171">
        <f t="shared" si="179"/>
        <v>945.04</v>
      </c>
      <c r="P171">
        <f t="shared" si="180"/>
        <v>59.97</v>
      </c>
      <c r="Q171">
        <f t="shared" si="181"/>
        <v>17.95</v>
      </c>
      <c r="R171">
        <f t="shared" si="182"/>
        <v>8.48</v>
      </c>
      <c r="S171">
        <f t="shared" si="183"/>
        <v>867.12</v>
      </c>
      <c r="T171">
        <f t="shared" si="184"/>
        <v>0</v>
      </c>
      <c r="U171">
        <f t="shared" si="185"/>
        <v>2.7410399999999999</v>
      </c>
      <c r="V171">
        <f t="shared" si="186"/>
        <v>1.9440000000000002E-2</v>
      </c>
      <c r="W171">
        <f t="shared" si="187"/>
        <v>0</v>
      </c>
      <c r="X171">
        <f t="shared" si="188"/>
        <v>831.82</v>
      </c>
      <c r="Y171">
        <f t="shared" si="189"/>
        <v>569.14</v>
      </c>
      <c r="AA171">
        <v>68990560</v>
      </c>
      <c r="AB171">
        <f t="shared" si="190"/>
        <v>48.5</v>
      </c>
      <c r="AC171">
        <f t="shared" si="178"/>
        <v>10.27</v>
      </c>
      <c r="AD171">
        <f>ROUND(((((ET171*1.35))-((EU171*1.35)))+AE171),2)</f>
        <v>2.44</v>
      </c>
      <c r="AE171">
        <f>ROUND(((EU171*1.35)),2)</f>
        <v>0.35</v>
      </c>
      <c r="AF171">
        <f>ROUND(((EV171*1.35)),2)</f>
        <v>35.79</v>
      </c>
      <c r="AG171">
        <f t="shared" si="191"/>
        <v>0</v>
      </c>
      <c r="AH171">
        <f>((EW171*1.35))</f>
        <v>3.8069999999999999</v>
      </c>
      <c r="AI171">
        <f>((EX171*1.35))</f>
        <v>2.7000000000000003E-2</v>
      </c>
      <c r="AJ171">
        <f t="shared" si="192"/>
        <v>0</v>
      </c>
      <c r="AK171">
        <v>38.590000000000003</v>
      </c>
      <c r="AL171">
        <v>10.27</v>
      </c>
      <c r="AM171">
        <v>1.81</v>
      </c>
      <c r="AN171">
        <v>0.26</v>
      </c>
      <c r="AO171">
        <v>26.51</v>
      </c>
      <c r="AP171">
        <v>0</v>
      </c>
      <c r="AQ171">
        <v>2.82</v>
      </c>
      <c r="AR171">
        <v>0.02</v>
      </c>
      <c r="AS171">
        <v>0</v>
      </c>
      <c r="AT171">
        <v>95</v>
      </c>
      <c r="AU171">
        <v>65</v>
      </c>
      <c r="AV171">
        <v>1</v>
      </c>
      <c r="AW171">
        <v>1</v>
      </c>
      <c r="AZ171">
        <v>1</v>
      </c>
      <c r="BA171">
        <v>33.65</v>
      </c>
      <c r="BB171">
        <v>10.220000000000001</v>
      </c>
      <c r="BC171">
        <v>8.11</v>
      </c>
      <c r="BD171" t="s">
        <v>3</v>
      </c>
      <c r="BE171" t="s">
        <v>3</v>
      </c>
      <c r="BF171" t="s">
        <v>3</v>
      </c>
      <c r="BG171" t="s">
        <v>3</v>
      </c>
      <c r="BH171">
        <v>0</v>
      </c>
      <c r="BI171">
        <v>2</v>
      </c>
      <c r="BJ171" t="s">
        <v>593</v>
      </c>
      <c r="BM171">
        <v>108001</v>
      </c>
      <c r="BN171">
        <v>0</v>
      </c>
      <c r="BO171" t="s">
        <v>591</v>
      </c>
      <c r="BP171">
        <v>1</v>
      </c>
      <c r="BQ171">
        <v>3</v>
      </c>
      <c r="BR171">
        <v>0</v>
      </c>
      <c r="BS171">
        <v>33.65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3</v>
      </c>
      <c r="BZ171">
        <v>95</v>
      </c>
      <c r="CA171">
        <v>65</v>
      </c>
      <c r="CE171">
        <v>0</v>
      </c>
      <c r="CF171">
        <v>0</v>
      </c>
      <c r="CG171">
        <v>0</v>
      </c>
      <c r="CM171">
        <v>0</v>
      </c>
      <c r="CN171" t="s">
        <v>1329</v>
      </c>
      <c r="CO171">
        <v>0</v>
      </c>
      <c r="CP171">
        <f t="shared" si="193"/>
        <v>945.04</v>
      </c>
      <c r="CQ171">
        <f t="shared" si="194"/>
        <v>83.289699999999996</v>
      </c>
      <c r="CR171">
        <f t="shared" si="195"/>
        <v>24.936800000000002</v>
      </c>
      <c r="CS171">
        <f t="shared" si="196"/>
        <v>11.777499999999998</v>
      </c>
      <c r="CT171">
        <f t="shared" si="197"/>
        <v>1204.3335</v>
      </c>
      <c r="CU171">
        <f t="shared" si="198"/>
        <v>0</v>
      </c>
      <c r="CV171">
        <f t="shared" si="199"/>
        <v>3.8069999999999999</v>
      </c>
      <c r="CW171">
        <f t="shared" si="200"/>
        <v>2.7000000000000003E-2</v>
      </c>
      <c r="CX171">
        <f t="shared" si="201"/>
        <v>0</v>
      </c>
      <c r="CY171">
        <f t="shared" si="202"/>
        <v>831.82</v>
      </c>
      <c r="CZ171">
        <f t="shared" si="203"/>
        <v>569.14</v>
      </c>
      <c r="DC171" t="s">
        <v>3</v>
      </c>
      <c r="DD171" t="s">
        <v>3</v>
      </c>
      <c r="DE171" t="s">
        <v>200</v>
      </c>
      <c r="DF171" t="s">
        <v>200</v>
      </c>
      <c r="DG171" t="s">
        <v>200</v>
      </c>
      <c r="DH171" t="s">
        <v>3</v>
      </c>
      <c r="DI171" t="s">
        <v>200</v>
      </c>
      <c r="DJ171" t="s">
        <v>200</v>
      </c>
      <c r="DK171" t="s">
        <v>3</v>
      </c>
      <c r="DL171" t="s">
        <v>3</v>
      </c>
      <c r="DM171" t="s">
        <v>3</v>
      </c>
      <c r="DN171">
        <v>0</v>
      </c>
      <c r="DO171">
        <v>0</v>
      </c>
      <c r="DP171">
        <v>1</v>
      </c>
      <c r="DQ171">
        <v>1</v>
      </c>
      <c r="DU171">
        <v>1003</v>
      </c>
      <c r="DV171" t="s">
        <v>90</v>
      </c>
      <c r="DW171" t="s">
        <v>90</v>
      </c>
      <c r="DX171">
        <v>100</v>
      </c>
      <c r="DZ171" t="s">
        <v>3</v>
      </c>
      <c r="EA171" t="s">
        <v>3</v>
      </c>
      <c r="EB171" t="s">
        <v>3</v>
      </c>
      <c r="EC171" t="s">
        <v>3</v>
      </c>
      <c r="EE171">
        <v>64094909</v>
      </c>
      <c r="EF171">
        <v>3</v>
      </c>
      <c r="EG171" t="s">
        <v>22</v>
      </c>
      <c r="EH171">
        <v>0</v>
      </c>
      <c r="EI171" t="s">
        <v>3</v>
      </c>
      <c r="EJ171">
        <v>2</v>
      </c>
      <c r="EK171">
        <v>108001</v>
      </c>
      <c r="EL171" t="s">
        <v>23</v>
      </c>
      <c r="EM171" t="s">
        <v>24</v>
      </c>
      <c r="EO171" t="s">
        <v>42</v>
      </c>
      <c r="EQ171">
        <v>0</v>
      </c>
      <c r="ER171">
        <v>38.590000000000003</v>
      </c>
      <c r="ES171">
        <v>10.27</v>
      </c>
      <c r="ET171">
        <v>1.81</v>
      </c>
      <c r="EU171">
        <v>0.26</v>
      </c>
      <c r="EV171">
        <v>26.51</v>
      </c>
      <c r="EW171">
        <v>2.82</v>
      </c>
      <c r="EX171">
        <v>0.02</v>
      </c>
      <c r="EY171">
        <v>0</v>
      </c>
      <c r="FQ171">
        <v>0</v>
      </c>
      <c r="FR171">
        <f t="shared" si="204"/>
        <v>0</v>
      </c>
      <c r="FS171">
        <v>0</v>
      </c>
      <c r="FX171">
        <v>95</v>
      </c>
      <c r="FY171">
        <v>65</v>
      </c>
      <c r="GA171" t="s">
        <v>3</v>
      </c>
      <c r="GD171">
        <v>1</v>
      </c>
      <c r="GF171">
        <v>-1687353789</v>
      </c>
      <c r="GG171">
        <v>2</v>
      </c>
      <c r="GH171">
        <v>1</v>
      </c>
      <c r="GI171">
        <v>2</v>
      </c>
      <c r="GJ171">
        <v>0</v>
      </c>
      <c r="GK171">
        <v>0</v>
      </c>
      <c r="GL171">
        <f t="shared" si="205"/>
        <v>0</v>
      </c>
      <c r="GM171">
        <f t="shared" si="206"/>
        <v>2346</v>
      </c>
      <c r="GN171">
        <f t="shared" si="207"/>
        <v>0</v>
      </c>
      <c r="GO171">
        <f t="shared" si="208"/>
        <v>2346</v>
      </c>
      <c r="GP171">
        <f t="shared" si="209"/>
        <v>0</v>
      </c>
      <c r="GR171">
        <v>0</v>
      </c>
      <c r="GS171">
        <v>3</v>
      </c>
      <c r="GT171">
        <v>0</v>
      </c>
      <c r="GU171" t="s">
        <v>3</v>
      </c>
      <c r="GV171">
        <f t="shared" si="210"/>
        <v>0</v>
      </c>
      <c r="GW171">
        <v>1</v>
      </c>
      <c r="GX171">
        <f t="shared" si="211"/>
        <v>0</v>
      </c>
      <c r="HA171">
        <v>0</v>
      </c>
      <c r="HB171">
        <v>0</v>
      </c>
      <c r="HC171">
        <f t="shared" si="212"/>
        <v>0</v>
      </c>
      <c r="HE171" t="s">
        <v>3</v>
      </c>
      <c r="HF171" t="s">
        <v>3</v>
      </c>
      <c r="IK171">
        <v>0</v>
      </c>
    </row>
    <row r="172" spans="1:245" x14ac:dyDescent="0.2">
      <c r="A172">
        <v>18</v>
      </c>
      <c r="B172">
        <v>1</v>
      </c>
      <c r="C172">
        <v>526</v>
      </c>
      <c r="E172" t="s">
        <v>594</v>
      </c>
      <c r="F172" t="s">
        <v>579</v>
      </c>
      <c r="G172" t="s">
        <v>580</v>
      </c>
      <c r="H172" t="s">
        <v>560</v>
      </c>
      <c r="I172">
        <f>I171*J172</f>
        <v>6.2E-2</v>
      </c>
      <c r="J172">
        <v>8.611111111111111E-2</v>
      </c>
      <c r="O172">
        <f t="shared" si="179"/>
        <v>3016.89</v>
      </c>
      <c r="P172">
        <f t="shared" si="180"/>
        <v>3016.89</v>
      </c>
      <c r="Q172">
        <f t="shared" si="181"/>
        <v>0</v>
      </c>
      <c r="R172">
        <f t="shared" si="182"/>
        <v>0</v>
      </c>
      <c r="S172">
        <f t="shared" si="183"/>
        <v>0</v>
      </c>
      <c r="T172">
        <f t="shared" si="184"/>
        <v>0</v>
      </c>
      <c r="U172">
        <f t="shared" si="185"/>
        <v>0</v>
      </c>
      <c r="V172">
        <f t="shared" si="186"/>
        <v>0</v>
      </c>
      <c r="W172">
        <f t="shared" si="187"/>
        <v>0</v>
      </c>
      <c r="X172">
        <f t="shared" si="188"/>
        <v>0</v>
      </c>
      <c r="Y172">
        <f t="shared" si="189"/>
        <v>0</v>
      </c>
      <c r="AA172">
        <v>68990560</v>
      </c>
      <c r="AB172">
        <f t="shared" si="190"/>
        <v>4832.12</v>
      </c>
      <c r="AC172">
        <f t="shared" si="178"/>
        <v>4832.12</v>
      </c>
      <c r="AD172">
        <f>ROUND((((ET172)-(EU172))+AE172),2)</f>
        <v>0</v>
      </c>
      <c r="AE172">
        <f>ROUND((EU172),2)</f>
        <v>0</v>
      </c>
      <c r="AF172">
        <f>ROUND((EV172),2)</f>
        <v>0</v>
      </c>
      <c r="AG172">
        <f t="shared" si="191"/>
        <v>0</v>
      </c>
      <c r="AH172">
        <f>(EW172)</f>
        <v>0</v>
      </c>
      <c r="AI172">
        <f>(EX172)</f>
        <v>0</v>
      </c>
      <c r="AJ172">
        <f t="shared" si="192"/>
        <v>0</v>
      </c>
      <c r="AK172">
        <v>4832.12</v>
      </c>
      <c r="AL172">
        <v>4832.12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95</v>
      </c>
      <c r="AU172">
        <v>65</v>
      </c>
      <c r="AV172">
        <v>1</v>
      </c>
      <c r="AW172">
        <v>1</v>
      </c>
      <c r="AZ172">
        <v>1</v>
      </c>
      <c r="BA172">
        <v>1</v>
      </c>
      <c r="BB172">
        <v>1</v>
      </c>
      <c r="BC172">
        <v>10.07</v>
      </c>
      <c r="BD172" t="s">
        <v>3</v>
      </c>
      <c r="BE172" t="s">
        <v>3</v>
      </c>
      <c r="BF172" t="s">
        <v>3</v>
      </c>
      <c r="BG172" t="s">
        <v>3</v>
      </c>
      <c r="BH172">
        <v>3</v>
      </c>
      <c r="BI172">
        <v>2</v>
      </c>
      <c r="BJ172" t="s">
        <v>581</v>
      </c>
      <c r="BM172">
        <v>108001</v>
      </c>
      <c r="BN172">
        <v>0</v>
      </c>
      <c r="BO172" t="s">
        <v>579</v>
      </c>
      <c r="BP172">
        <v>1</v>
      </c>
      <c r="BQ172">
        <v>3</v>
      </c>
      <c r="BR172">
        <v>0</v>
      </c>
      <c r="BS172">
        <v>1</v>
      </c>
      <c r="BT172">
        <v>1</v>
      </c>
      <c r="BU172">
        <v>1</v>
      </c>
      <c r="BV172">
        <v>1</v>
      </c>
      <c r="BW172">
        <v>1</v>
      </c>
      <c r="BX172">
        <v>1</v>
      </c>
      <c r="BY172" t="s">
        <v>3</v>
      </c>
      <c r="BZ172">
        <v>95</v>
      </c>
      <c r="CA172">
        <v>65</v>
      </c>
      <c r="CE172">
        <v>0</v>
      </c>
      <c r="CF172">
        <v>0</v>
      </c>
      <c r="CG172">
        <v>0</v>
      </c>
      <c r="CM172">
        <v>0</v>
      </c>
      <c r="CN172" t="s">
        <v>3</v>
      </c>
      <c r="CO172">
        <v>0</v>
      </c>
      <c r="CP172">
        <f t="shared" si="193"/>
        <v>3016.89</v>
      </c>
      <c r="CQ172">
        <f t="shared" si="194"/>
        <v>48659.448400000001</v>
      </c>
      <c r="CR172">
        <f t="shared" si="195"/>
        <v>0</v>
      </c>
      <c r="CS172">
        <f t="shared" si="196"/>
        <v>0</v>
      </c>
      <c r="CT172">
        <f t="shared" si="197"/>
        <v>0</v>
      </c>
      <c r="CU172">
        <f t="shared" si="198"/>
        <v>0</v>
      </c>
      <c r="CV172">
        <f t="shared" si="199"/>
        <v>0</v>
      </c>
      <c r="CW172">
        <f t="shared" si="200"/>
        <v>0</v>
      </c>
      <c r="CX172">
        <f t="shared" si="201"/>
        <v>0</v>
      </c>
      <c r="CY172">
        <f t="shared" si="202"/>
        <v>0</v>
      </c>
      <c r="CZ172">
        <f t="shared" si="203"/>
        <v>0</v>
      </c>
      <c r="DC172" t="s">
        <v>3</v>
      </c>
      <c r="DD172" t="s">
        <v>3</v>
      </c>
      <c r="DE172" t="s">
        <v>3</v>
      </c>
      <c r="DF172" t="s">
        <v>3</v>
      </c>
      <c r="DG172" t="s">
        <v>3</v>
      </c>
      <c r="DH172" t="s">
        <v>3</v>
      </c>
      <c r="DI172" t="s">
        <v>3</v>
      </c>
      <c r="DJ172" t="s">
        <v>3</v>
      </c>
      <c r="DK172" t="s">
        <v>3</v>
      </c>
      <c r="DL172" t="s">
        <v>3</v>
      </c>
      <c r="DM172" t="s">
        <v>3</v>
      </c>
      <c r="DN172">
        <v>0</v>
      </c>
      <c r="DO172">
        <v>0</v>
      </c>
      <c r="DP172">
        <v>1</v>
      </c>
      <c r="DQ172">
        <v>1</v>
      </c>
      <c r="DU172">
        <v>1013</v>
      </c>
      <c r="DV172" t="s">
        <v>560</v>
      </c>
      <c r="DW172" t="s">
        <v>562</v>
      </c>
      <c r="DX172">
        <v>1</v>
      </c>
      <c r="DZ172" t="s">
        <v>3</v>
      </c>
      <c r="EA172" t="s">
        <v>3</v>
      </c>
      <c r="EB172" t="s">
        <v>3</v>
      </c>
      <c r="EC172" t="s">
        <v>3</v>
      </c>
      <c r="EE172">
        <v>64094909</v>
      </c>
      <c r="EF172">
        <v>3</v>
      </c>
      <c r="EG172" t="s">
        <v>22</v>
      </c>
      <c r="EH172">
        <v>0</v>
      </c>
      <c r="EI172" t="s">
        <v>3</v>
      </c>
      <c r="EJ172">
        <v>2</v>
      </c>
      <c r="EK172">
        <v>108001</v>
      </c>
      <c r="EL172" t="s">
        <v>23</v>
      </c>
      <c r="EM172" t="s">
        <v>24</v>
      </c>
      <c r="EO172" t="s">
        <v>3</v>
      </c>
      <c r="EQ172">
        <v>0</v>
      </c>
      <c r="ER172">
        <v>4832.12</v>
      </c>
      <c r="ES172">
        <v>4832.12</v>
      </c>
      <c r="ET172">
        <v>0</v>
      </c>
      <c r="EU172">
        <v>0</v>
      </c>
      <c r="EV172">
        <v>0</v>
      </c>
      <c r="EW172">
        <v>0</v>
      </c>
      <c r="EX172">
        <v>0</v>
      </c>
      <c r="FQ172">
        <v>0</v>
      </c>
      <c r="FR172">
        <f t="shared" si="204"/>
        <v>0</v>
      </c>
      <c r="FS172">
        <v>0</v>
      </c>
      <c r="FX172">
        <v>95</v>
      </c>
      <c r="FY172">
        <v>65</v>
      </c>
      <c r="GA172" t="s">
        <v>3</v>
      </c>
      <c r="GD172">
        <v>1</v>
      </c>
      <c r="GF172">
        <v>-1990471262</v>
      </c>
      <c r="GG172">
        <v>2</v>
      </c>
      <c r="GH172">
        <v>1</v>
      </c>
      <c r="GI172">
        <v>2</v>
      </c>
      <c r="GJ172">
        <v>0</v>
      </c>
      <c r="GK172">
        <v>0</v>
      </c>
      <c r="GL172">
        <f t="shared" si="205"/>
        <v>0</v>
      </c>
      <c r="GM172">
        <f t="shared" si="206"/>
        <v>3016.89</v>
      </c>
      <c r="GN172">
        <f t="shared" si="207"/>
        <v>0</v>
      </c>
      <c r="GO172">
        <f t="shared" si="208"/>
        <v>3016.89</v>
      </c>
      <c r="GP172">
        <f t="shared" si="209"/>
        <v>0</v>
      </c>
      <c r="GR172">
        <v>0</v>
      </c>
      <c r="GS172">
        <v>3</v>
      </c>
      <c r="GT172">
        <v>0</v>
      </c>
      <c r="GU172" t="s">
        <v>3</v>
      </c>
      <c r="GV172">
        <f t="shared" si="210"/>
        <v>0</v>
      </c>
      <c r="GW172">
        <v>1</v>
      </c>
      <c r="GX172">
        <f t="shared" si="211"/>
        <v>0</v>
      </c>
      <c r="HA172">
        <v>0</v>
      </c>
      <c r="HB172">
        <v>0</v>
      </c>
      <c r="HC172">
        <f t="shared" si="212"/>
        <v>0</v>
      </c>
      <c r="HE172" t="s">
        <v>3</v>
      </c>
      <c r="HF172" t="s">
        <v>3</v>
      </c>
      <c r="IK172">
        <v>0</v>
      </c>
    </row>
    <row r="173" spans="1:245" x14ac:dyDescent="0.2">
      <c r="A173">
        <v>18</v>
      </c>
      <c r="B173">
        <v>1</v>
      </c>
      <c r="C173">
        <v>527</v>
      </c>
      <c r="E173" t="s">
        <v>595</v>
      </c>
      <c r="F173" t="s">
        <v>596</v>
      </c>
      <c r="G173" t="s">
        <v>597</v>
      </c>
      <c r="H173" t="s">
        <v>560</v>
      </c>
      <c r="I173">
        <f>I171*J173</f>
        <v>0.01</v>
      </c>
      <c r="J173">
        <v>1.388888888888889E-2</v>
      </c>
      <c r="O173">
        <f t="shared" si="179"/>
        <v>1130.97</v>
      </c>
      <c r="P173">
        <f t="shared" si="180"/>
        <v>1130.97</v>
      </c>
      <c r="Q173">
        <f t="shared" si="181"/>
        <v>0</v>
      </c>
      <c r="R173">
        <f t="shared" si="182"/>
        <v>0</v>
      </c>
      <c r="S173">
        <f t="shared" si="183"/>
        <v>0</v>
      </c>
      <c r="T173">
        <f t="shared" si="184"/>
        <v>0</v>
      </c>
      <c r="U173">
        <f t="shared" si="185"/>
        <v>0</v>
      </c>
      <c r="V173">
        <f t="shared" si="186"/>
        <v>0</v>
      </c>
      <c r="W173">
        <f t="shared" si="187"/>
        <v>0</v>
      </c>
      <c r="X173">
        <f t="shared" si="188"/>
        <v>0</v>
      </c>
      <c r="Y173">
        <f t="shared" si="189"/>
        <v>0</v>
      </c>
      <c r="AA173">
        <v>68990560</v>
      </c>
      <c r="AB173">
        <f t="shared" si="190"/>
        <v>12095.97</v>
      </c>
      <c r="AC173">
        <f t="shared" si="178"/>
        <v>12095.97</v>
      </c>
      <c r="AD173">
        <f>ROUND((((ET173)-(EU173))+AE173),2)</f>
        <v>0</v>
      </c>
      <c r="AE173">
        <f>ROUND((EU173),2)</f>
        <v>0</v>
      </c>
      <c r="AF173">
        <f>ROUND((EV173),2)</f>
        <v>0</v>
      </c>
      <c r="AG173">
        <f t="shared" si="191"/>
        <v>0</v>
      </c>
      <c r="AH173">
        <f>(EW173)</f>
        <v>0</v>
      </c>
      <c r="AI173">
        <f>(EX173)</f>
        <v>0</v>
      </c>
      <c r="AJ173">
        <f t="shared" si="192"/>
        <v>0</v>
      </c>
      <c r="AK173">
        <v>12095.97</v>
      </c>
      <c r="AL173">
        <v>12095.97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95</v>
      </c>
      <c r="AU173">
        <v>65</v>
      </c>
      <c r="AV173">
        <v>1</v>
      </c>
      <c r="AW173">
        <v>1</v>
      </c>
      <c r="AZ173">
        <v>1</v>
      </c>
      <c r="BA173">
        <v>1</v>
      </c>
      <c r="BB173">
        <v>1</v>
      </c>
      <c r="BC173">
        <v>9.35</v>
      </c>
      <c r="BD173" t="s">
        <v>3</v>
      </c>
      <c r="BE173" t="s">
        <v>3</v>
      </c>
      <c r="BF173" t="s">
        <v>3</v>
      </c>
      <c r="BG173" t="s">
        <v>3</v>
      </c>
      <c r="BH173">
        <v>3</v>
      </c>
      <c r="BI173">
        <v>2</v>
      </c>
      <c r="BJ173" t="s">
        <v>598</v>
      </c>
      <c r="BM173">
        <v>108001</v>
      </c>
      <c r="BN173">
        <v>0</v>
      </c>
      <c r="BO173" t="s">
        <v>596</v>
      </c>
      <c r="BP173">
        <v>1</v>
      </c>
      <c r="BQ173">
        <v>3</v>
      </c>
      <c r="BR173">
        <v>0</v>
      </c>
      <c r="BS173">
        <v>1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3</v>
      </c>
      <c r="BZ173">
        <v>95</v>
      </c>
      <c r="CA173">
        <v>65</v>
      </c>
      <c r="CE173">
        <v>0</v>
      </c>
      <c r="CF173">
        <v>0</v>
      </c>
      <c r="CG173">
        <v>0</v>
      </c>
      <c r="CM173">
        <v>0</v>
      </c>
      <c r="CN173" t="s">
        <v>3</v>
      </c>
      <c r="CO173">
        <v>0</v>
      </c>
      <c r="CP173">
        <f t="shared" si="193"/>
        <v>1130.97</v>
      </c>
      <c r="CQ173">
        <f t="shared" si="194"/>
        <v>113097.31949999998</v>
      </c>
      <c r="CR173">
        <f t="shared" si="195"/>
        <v>0</v>
      </c>
      <c r="CS173">
        <f t="shared" si="196"/>
        <v>0</v>
      </c>
      <c r="CT173">
        <f t="shared" si="197"/>
        <v>0</v>
      </c>
      <c r="CU173">
        <f t="shared" si="198"/>
        <v>0</v>
      </c>
      <c r="CV173">
        <f t="shared" si="199"/>
        <v>0</v>
      </c>
      <c r="CW173">
        <f t="shared" si="200"/>
        <v>0</v>
      </c>
      <c r="CX173">
        <f t="shared" si="201"/>
        <v>0</v>
      </c>
      <c r="CY173">
        <f t="shared" si="202"/>
        <v>0</v>
      </c>
      <c r="CZ173">
        <f t="shared" si="203"/>
        <v>0</v>
      </c>
      <c r="DC173" t="s">
        <v>3</v>
      </c>
      <c r="DD173" t="s">
        <v>3</v>
      </c>
      <c r="DE173" t="s">
        <v>3</v>
      </c>
      <c r="DF173" t="s">
        <v>3</v>
      </c>
      <c r="DG173" t="s">
        <v>3</v>
      </c>
      <c r="DH173" t="s">
        <v>3</v>
      </c>
      <c r="DI173" t="s">
        <v>3</v>
      </c>
      <c r="DJ173" t="s">
        <v>3</v>
      </c>
      <c r="DK173" t="s">
        <v>3</v>
      </c>
      <c r="DL173" t="s">
        <v>3</v>
      </c>
      <c r="DM173" t="s">
        <v>3</v>
      </c>
      <c r="DN173">
        <v>0</v>
      </c>
      <c r="DO173">
        <v>0</v>
      </c>
      <c r="DP173">
        <v>1</v>
      </c>
      <c r="DQ173">
        <v>1</v>
      </c>
      <c r="DU173">
        <v>1013</v>
      </c>
      <c r="DV173" t="s">
        <v>560</v>
      </c>
      <c r="DW173" t="s">
        <v>562</v>
      </c>
      <c r="DX173">
        <v>1</v>
      </c>
      <c r="DZ173" t="s">
        <v>3</v>
      </c>
      <c r="EA173" t="s">
        <v>3</v>
      </c>
      <c r="EB173" t="s">
        <v>3</v>
      </c>
      <c r="EC173" t="s">
        <v>3</v>
      </c>
      <c r="EE173">
        <v>64094909</v>
      </c>
      <c r="EF173">
        <v>3</v>
      </c>
      <c r="EG173" t="s">
        <v>22</v>
      </c>
      <c r="EH173">
        <v>0</v>
      </c>
      <c r="EI173" t="s">
        <v>3</v>
      </c>
      <c r="EJ173">
        <v>2</v>
      </c>
      <c r="EK173">
        <v>108001</v>
      </c>
      <c r="EL173" t="s">
        <v>23</v>
      </c>
      <c r="EM173" t="s">
        <v>24</v>
      </c>
      <c r="EO173" t="s">
        <v>3</v>
      </c>
      <c r="EQ173">
        <v>0</v>
      </c>
      <c r="ER173">
        <v>12095.97</v>
      </c>
      <c r="ES173">
        <v>12095.97</v>
      </c>
      <c r="ET173">
        <v>0</v>
      </c>
      <c r="EU173">
        <v>0</v>
      </c>
      <c r="EV173">
        <v>0</v>
      </c>
      <c r="EW173">
        <v>0</v>
      </c>
      <c r="EX173">
        <v>0</v>
      </c>
      <c r="FQ173">
        <v>0</v>
      </c>
      <c r="FR173">
        <f t="shared" si="204"/>
        <v>0</v>
      </c>
      <c r="FS173">
        <v>0</v>
      </c>
      <c r="FX173">
        <v>95</v>
      </c>
      <c r="FY173">
        <v>65</v>
      </c>
      <c r="GA173" t="s">
        <v>3</v>
      </c>
      <c r="GD173">
        <v>1</v>
      </c>
      <c r="GF173">
        <v>-716183232</v>
      </c>
      <c r="GG173">
        <v>2</v>
      </c>
      <c r="GH173">
        <v>1</v>
      </c>
      <c r="GI173">
        <v>2</v>
      </c>
      <c r="GJ173">
        <v>0</v>
      </c>
      <c r="GK173">
        <v>0</v>
      </c>
      <c r="GL173">
        <f t="shared" si="205"/>
        <v>0</v>
      </c>
      <c r="GM173">
        <f t="shared" si="206"/>
        <v>1130.97</v>
      </c>
      <c r="GN173">
        <f t="shared" si="207"/>
        <v>0</v>
      </c>
      <c r="GO173">
        <f t="shared" si="208"/>
        <v>1130.97</v>
      </c>
      <c r="GP173">
        <f t="shared" si="209"/>
        <v>0</v>
      </c>
      <c r="GR173">
        <v>0</v>
      </c>
      <c r="GS173">
        <v>3</v>
      </c>
      <c r="GT173">
        <v>0</v>
      </c>
      <c r="GU173" t="s">
        <v>3</v>
      </c>
      <c r="GV173">
        <f t="shared" si="210"/>
        <v>0</v>
      </c>
      <c r="GW173">
        <v>1</v>
      </c>
      <c r="GX173">
        <f t="shared" si="211"/>
        <v>0</v>
      </c>
      <c r="HA173">
        <v>0</v>
      </c>
      <c r="HB173">
        <v>0</v>
      </c>
      <c r="HC173">
        <f t="shared" si="212"/>
        <v>0</v>
      </c>
      <c r="HE173" t="s">
        <v>3</v>
      </c>
      <c r="HF173" t="s">
        <v>3</v>
      </c>
      <c r="IK173">
        <v>0</v>
      </c>
    </row>
    <row r="174" spans="1:245" x14ac:dyDescent="0.2">
      <c r="A174">
        <v>17</v>
      </c>
      <c r="B174">
        <v>1</v>
      </c>
      <c r="C174">
        <f>ROW(SmtRes!A530)</f>
        <v>530</v>
      </c>
      <c r="D174">
        <f>ROW(EtalonRes!A509)</f>
        <v>509</v>
      </c>
      <c r="E174" t="s">
        <v>599</v>
      </c>
      <c r="F174" t="s">
        <v>600</v>
      </c>
      <c r="G174" t="s">
        <v>601</v>
      </c>
      <c r="H174" t="s">
        <v>18</v>
      </c>
      <c r="I174">
        <f>ROUND(4/100,5)</f>
        <v>0.04</v>
      </c>
      <c r="J174">
        <v>0</v>
      </c>
      <c r="O174">
        <f t="shared" si="179"/>
        <v>1422.59</v>
      </c>
      <c r="P174">
        <f t="shared" si="180"/>
        <v>0</v>
      </c>
      <c r="Q174">
        <f t="shared" si="181"/>
        <v>177.39</v>
      </c>
      <c r="R174">
        <f t="shared" si="182"/>
        <v>0</v>
      </c>
      <c r="S174">
        <f t="shared" si="183"/>
        <v>1245.2</v>
      </c>
      <c r="T174">
        <f t="shared" si="184"/>
        <v>0</v>
      </c>
      <c r="U174">
        <f t="shared" si="185"/>
        <v>4.0309799999999996</v>
      </c>
      <c r="V174">
        <f t="shared" si="186"/>
        <v>0</v>
      </c>
      <c r="W174">
        <f t="shared" si="187"/>
        <v>0</v>
      </c>
      <c r="X174">
        <f t="shared" si="188"/>
        <v>1232.75</v>
      </c>
      <c r="Y174">
        <f t="shared" si="189"/>
        <v>747.12</v>
      </c>
      <c r="AA174">
        <v>68990560</v>
      </c>
      <c r="AB174">
        <f t="shared" si="190"/>
        <v>2520.37</v>
      </c>
      <c r="AC174">
        <f t="shared" si="178"/>
        <v>0</v>
      </c>
      <c r="AD174">
        <f>ROUND(((((ET174*1.15))-((EU174*1.15)))+AE174),2)</f>
        <v>1595.26</v>
      </c>
      <c r="AE174">
        <f>ROUND(((EU174*1.15)),2)</f>
        <v>0</v>
      </c>
      <c r="AF174">
        <f>ROUND(((EV174*1.15)),2)</f>
        <v>925.11</v>
      </c>
      <c r="AG174">
        <f t="shared" si="191"/>
        <v>0</v>
      </c>
      <c r="AH174">
        <f>((EW174*1.15))</f>
        <v>100.77449999999999</v>
      </c>
      <c r="AI174">
        <f>((EX174*1.15))</f>
        <v>0</v>
      </c>
      <c r="AJ174">
        <f t="shared" si="192"/>
        <v>0</v>
      </c>
      <c r="AK174">
        <v>2191.62</v>
      </c>
      <c r="AL174">
        <v>0</v>
      </c>
      <c r="AM174">
        <v>1387.18</v>
      </c>
      <c r="AN174">
        <v>0</v>
      </c>
      <c r="AO174">
        <v>804.44</v>
      </c>
      <c r="AP174">
        <v>0</v>
      </c>
      <c r="AQ174">
        <v>87.63</v>
      </c>
      <c r="AR174">
        <v>0</v>
      </c>
      <c r="AS174">
        <v>0</v>
      </c>
      <c r="AT174">
        <v>99</v>
      </c>
      <c r="AU174">
        <v>60</v>
      </c>
      <c r="AV174">
        <v>1</v>
      </c>
      <c r="AW174">
        <v>1</v>
      </c>
      <c r="AZ174">
        <v>1</v>
      </c>
      <c r="BA174">
        <v>33.65</v>
      </c>
      <c r="BB174">
        <v>2.78</v>
      </c>
      <c r="BC174">
        <v>1</v>
      </c>
      <c r="BD174" t="s">
        <v>3</v>
      </c>
      <c r="BE174" t="s">
        <v>3</v>
      </c>
      <c r="BF174" t="s">
        <v>3</v>
      </c>
      <c r="BG174" t="s">
        <v>3</v>
      </c>
      <c r="BH174">
        <v>0</v>
      </c>
      <c r="BI174">
        <v>1</v>
      </c>
      <c r="BJ174" t="s">
        <v>602</v>
      </c>
      <c r="BM174">
        <v>46001</v>
      </c>
      <c r="BN174">
        <v>0</v>
      </c>
      <c r="BO174" t="s">
        <v>600</v>
      </c>
      <c r="BP174">
        <v>1</v>
      </c>
      <c r="BQ174">
        <v>2</v>
      </c>
      <c r="BR174">
        <v>0</v>
      </c>
      <c r="BS174">
        <v>33.65</v>
      </c>
      <c r="BT174">
        <v>1</v>
      </c>
      <c r="BU174">
        <v>1</v>
      </c>
      <c r="BV174">
        <v>1</v>
      </c>
      <c r="BW174">
        <v>1</v>
      </c>
      <c r="BX174">
        <v>1</v>
      </c>
      <c r="BY174" t="s">
        <v>3</v>
      </c>
      <c r="BZ174">
        <v>110</v>
      </c>
      <c r="CA174">
        <v>70</v>
      </c>
      <c r="CE174">
        <v>0</v>
      </c>
      <c r="CF174">
        <v>0</v>
      </c>
      <c r="CG174">
        <v>0</v>
      </c>
      <c r="CM174">
        <v>0</v>
      </c>
      <c r="CN174" t="s">
        <v>1329</v>
      </c>
      <c r="CO174">
        <v>0</v>
      </c>
      <c r="CP174">
        <f t="shared" si="193"/>
        <v>1422.5900000000001</v>
      </c>
      <c r="CQ174">
        <f t="shared" si="194"/>
        <v>0</v>
      </c>
      <c r="CR174">
        <f t="shared" si="195"/>
        <v>4434.8227999999999</v>
      </c>
      <c r="CS174">
        <f t="shared" si="196"/>
        <v>0</v>
      </c>
      <c r="CT174">
        <f t="shared" si="197"/>
        <v>31129.951499999999</v>
      </c>
      <c r="CU174">
        <f t="shared" si="198"/>
        <v>0</v>
      </c>
      <c r="CV174">
        <f t="shared" si="199"/>
        <v>100.77449999999999</v>
      </c>
      <c r="CW174">
        <f t="shared" si="200"/>
        <v>0</v>
      </c>
      <c r="CX174">
        <f t="shared" si="201"/>
        <v>0</v>
      </c>
      <c r="CY174">
        <f t="shared" si="202"/>
        <v>1232.748</v>
      </c>
      <c r="CZ174">
        <f t="shared" si="203"/>
        <v>747.12</v>
      </c>
      <c r="DC174" t="s">
        <v>3</v>
      </c>
      <c r="DD174" t="s">
        <v>3</v>
      </c>
      <c r="DE174" t="s">
        <v>38</v>
      </c>
      <c r="DF174" t="s">
        <v>38</v>
      </c>
      <c r="DG174" t="s">
        <v>38</v>
      </c>
      <c r="DH174" t="s">
        <v>3</v>
      </c>
      <c r="DI174" t="s">
        <v>38</v>
      </c>
      <c r="DJ174" t="s">
        <v>38</v>
      </c>
      <c r="DK174" t="s">
        <v>3</v>
      </c>
      <c r="DL174" t="s">
        <v>3</v>
      </c>
      <c r="DM174" t="s">
        <v>3</v>
      </c>
      <c r="DN174">
        <v>0</v>
      </c>
      <c r="DO174">
        <v>0</v>
      </c>
      <c r="DP174">
        <v>1</v>
      </c>
      <c r="DQ174">
        <v>1</v>
      </c>
      <c r="DU174">
        <v>1013</v>
      </c>
      <c r="DV174" t="s">
        <v>18</v>
      </c>
      <c r="DW174" t="s">
        <v>18</v>
      </c>
      <c r="DX174">
        <v>1</v>
      </c>
      <c r="DZ174" t="s">
        <v>3</v>
      </c>
      <c r="EA174" t="s">
        <v>3</v>
      </c>
      <c r="EB174" t="s">
        <v>3</v>
      </c>
      <c r="EC174" t="s">
        <v>3</v>
      </c>
      <c r="EE174">
        <v>64095094</v>
      </c>
      <c r="EF174">
        <v>2</v>
      </c>
      <c r="EG174" t="s">
        <v>13</v>
      </c>
      <c r="EH174">
        <v>0</v>
      </c>
      <c r="EI174" t="s">
        <v>3</v>
      </c>
      <c r="EJ174">
        <v>1</v>
      </c>
      <c r="EK174">
        <v>46001</v>
      </c>
      <c r="EL174" t="s">
        <v>62</v>
      </c>
      <c r="EM174" t="s">
        <v>63</v>
      </c>
      <c r="EO174" t="s">
        <v>42</v>
      </c>
      <c r="EQ174">
        <v>0</v>
      </c>
      <c r="ER174">
        <v>2191.62</v>
      </c>
      <c r="ES174">
        <v>0</v>
      </c>
      <c r="ET174">
        <v>1387.18</v>
      </c>
      <c r="EU174">
        <v>0</v>
      </c>
      <c r="EV174">
        <v>804.44</v>
      </c>
      <c r="EW174">
        <v>87.63</v>
      </c>
      <c r="EX174">
        <v>0</v>
      </c>
      <c r="EY174">
        <v>0</v>
      </c>
      <c r="FQ174">
        <v>0</v>
      </c>
      <c r="FR174">
        <f t="shared" si="204"/>
        <v>0</v>
      </c>
      <c r="FS174">
        <v>0</v>
      </c>
      <c r="FT174" t="s">
        <v>52</v>
      </c>
      <c r="FU174" t="s">
        <v>53</v>
      </c>
      <c r="FX174">
        <v>99</v>
      </c>
      <c r="FY174">
        <v>59.5</v>
      </c>
      <c r="GA174" t="s">
        <v>3</v>
      </c>
      <c r="GD174">
        <v>1</v>
      </c>
      <c r="GF174">
        <v>-668762085</v>
      </c>
      <c r="GG174">
        <v>2</v>
      </c>
      <c r="GH174">
        <v>1</v>
      </c>
      <c r="GI174">
        <v>2</v>
      </c>
      <c r="GJ174">
        <v>0</v>
      </c>
      <c r="GK174">
        <v>0</v>
      </c>
      <c r="GL174">
        <f t="shared" si="205"/>
        <v>0</v>
      </c>
      <c r="GM174">
        <f t="shared" si="206"/>
        <v>3402.46</v>
      </c>
      <c r="GN174">
        <f t="shared" si="207"/>
        <v>3402.46</v>
      </c>
      <c r="GO174">
        <f t="shared" si="208"/>
        <v>0</v>
      </c>
      <c r="GP174">
        <f t="shared" si="209"/>
        <v>0</v>
      </c>
      <c r="GR174">
        <v>0</v>
      </c>
      <c r="GS174">
        <v>3</v>
      </c>
      <c r="GT174">
        <v>0</v>
      </c>
      <c r="GU174" t="s">
        <v>3</v>
      </c>
      <c r="GV174">
        <f t="shared" si="210"/>
        <v>0</v>
      </c>
      <c r="GW174">
        <v>1</v>
      </c>
      <c r="GX174">
        <f t="shared" si="211"/>
        <v>0</v>
      </c>
      <c r="HA174">
        <v>0</v>
      </c>
      <c r="HB174">
        <v>0</v>
      </c>
      <c r="HC174">
        <f t="shared" si="212"/>
        <v>0</v>
      </c>
      <c r="HE174" t="s">
        <v>3</v>
      </c>
      <c r="HF174" t="s">
        <v>3</v>
      </c>
      <c r="IK174">
        <v>0</v>
      </c>
    </row>
    <row r="175" spans="1:245" x14ac:dyDescent="0.2">
      <c r="A175">
        <v>17</v>
      </c>
      <c r="B175">
        <v>1</v>
      </c>
      <c r="C175">
        <f>ROW(SmtRes!A535)</f>
        <v>535</v>
      </c>
      <c r="D175">
        <f>ROW(EtalonRes!A514)</f>
        <v>514</v>
      </c>
      <c r="E175" t="s">
        <v>603</v>
      </c>
      <c r="F175" t="s">
        <v>604</v>
      </c>
      <c r="G175" t="s">
        <v>605</v>
      </c>
      <c r="H175" t="s">
        <v>36</v>
      </c>
      <c r="I175">
        <f>ROUND(24.1/100,5)</f>
        <v>0.24099999999999999</v>
      </c>
      <c r="J175">
        <v>0</v>
      </c>
      <c r="O175">
        <f t="shared" si="179"/>
        <v>15918.21</v>
      </c>
      <c r="P175">
        <f t="shared" si="180"/>
        <v>1733.99</v>
      </c>
      <c r="Q175">
        <f t="shared" si="181"/>
        <v>1.5</v>
      </c>
      <c r="R175">
        <f t="shared" si="182"/>
        <v>0</v>
      </c>
      <c r="S175">
        <f t="shared" si="183"/>
        <v>14182.72</v>
      </c>
      <c r="T175">
        <f t="shared" si="184"/>
        <v>0</v>
      </c>
      <c r="U175">
        <f t="shared" si="185"/>
        <v>48.2241</v>
      </c>
      <c r="V175">
        <f t="shared" si="186"/>
        <v>0</v>
      </c>
      <c r="W175">
        <f t="shared" si="187"/>
        <v>0</v>
      </c>
      <c r="X175">
        <f t="shared" si="188"/>
        <v>11204.35</v>
      </c>
      <c r="Y175">
        <f t="shared" si="189"/>
        <v>7091.36</v>
      </c>
      <c r="AA175">
        <v>68990560</v>
      </c>
      <c r="AB175">
        <f t="shared" si="190"/>
        <v>2890.51</v>
      </c>
      <c r="AC175">
        <f t="shared" si="178"/>
        <v>1140.25</v>
      </c>
      <c r="AD175">
        <f>ROUND(((((ET175*1.15))-((EU175*1.15)))+AE175),2)</f>
        <v>1.39</v>
      </c>
      <c r="AE175">
        <f>ROUND(((EU175*1.15)),2)</f>
        <v>0</v>
      </c>
      <c r="AF175">
        <f>ROUND(((EV175*1.15)),2)</f>
        <v>1748.87</v>
      </c>
      <c r="AG175">
        <f t="shared" si="191"/>
        <v>0</v>
      </c>
      <c r="AH175">
        <f>((EW175*1.15))</f>
        <v>200.1</v>
      </c>
      <c r="AI175">
        <f>((EX175*1.15))</f>
        <v>0</v>
      </c>
      <c r="AJ175">
        <f t="shared" si="192"/>
        <v>0</v>
      </c>
      <c r="AK175">
        <v>2662.22</v>
      </c>
      <c r="AL175">
        <v>1140.25</v>
      </c>
      <c r="AM175">
        <v>1.21</v>
      </c>
      <c r="AN175">
        <v>0</v>
      </c>
      <c r="AO175">
        <v>1520.76</v>
      </c>
      <c r="AP175">
        <v>0</v>
      </c>
      <c r="AQ175">
        <v>174</v>
      </c>
      <c r="AR175">
        <v>0</v>
      </c>
      <c r="AS175">
        <v>0</v>
      </c>
      <c r="AT175">
        <v>79</v>
      </c>
      <c r="AU175">
        <v>50</v>
      </c>
      <c r="AV175">
        <v>1</v>
      </c>
      <c r="AW175">
        <v>1</v>
      </c>
      <c r="AZ175">
        <v>1</v>
      </c>
      <c r="BA175">
        <v>33.65</v>
      </c>
      <c r="BB175">
        <v>4.49</v>
      </c>
      <c r="BC175">
        <v>6.31</v>
      </c>
      <c r="BD175" t="s">
        <v>3</v>
      </c>
      <c r="BE175" t="s">
        <v>3</v>
      </c>
      <c r="BF175" t="s">
        <v>3</v>
      </c>
      <c r="BG175" t="s">
        <v>3</v>
      </c>
      <c r="BH175">
        <v>0</v>
      </c>
      <c r="BI175">
        <v>1</v>
      </c>
      <c r="BJ175" t="s">
        <v>606</v>
      </c>
      <c r="BM175">
        <v>61001</v>
      </c>
      <c r="BN175">
        <v>0</v>
      </c>
      <c r="BO175" t="s">
        <v>604</v>
      </c>
      <c r="BP175">
        <v>1</v>
      </c>
      <c r="BQ175">
        <v>6</v>
      </c>
      <c r="BR175">
        <v>0</v>
      </c>
      <c r="BS175">
        <v>33.65</v>
      </c>
      <c r="BT175">
        <v>1</v>
      </c>
      <c r="BU175">
        <v>1</v>
      </c>
      <c r="BV175">
        <v>1</v>
      </c>
      <c r="BW175">
        <v>1</v>
      </c>
      <c r="BX175">
        <v>1</v>
      </c>
      <c r="BY175" t="s">
        <v>3</v>
      </c>
      <c r="BZ175">
        <v>79</v>
      </c>
      <c r="CA175">
        <v>50</v>
      </c>
      <c r="CE175">
        <v>0</v>
      </c>
      <c r="CF175">
        <v>0</v>
      </c>
      <c r="CG175">
        <v>0</v>
      </c>
      <c r="CM175">
        <v>0</v>
      </c>
      <c r="CN175" t="s">
        <v>1329</v>
      </c>
      <c r="CO175">
        <v>0</v>
      </c>
      <c r="CP175">
        <f t="shared" si="193"/>
        <v>15918.21</v>
      </c>
      <c r="CQ175">
        <f t="shared" si="194"/>
        <v>7194.9775</v>
      </c>
      <c r="CR175">
        <f t="shared" si="195"/>
        <v>6.2410999999999994</v>
      </c>
      <c r="CS175">
        <f t="shared" si="196"/>
        <v>0</v>
      </c>
      <c r="CT175">
        <f t="shared" si="197"/>
        <v>58849.475499999993</v>
      </c>
      <c r="CU175">
        <f t="shared" si="198"/>
        <v>0</v>
      </c>
      <c r="CV175">
        <f t="shared" si="199"/>
        <v>200.1</v>
      </c>
      <c r="CW175">
        <f t="shared" si="200"/>
        <v>0</v>
      </c>
      <c r="CX175">
        <f t="shared" si="201"/>
        <v>0</v>
      </c>
      <c r="CY175">
        <f t="shared" si="202"/>
        <v>11204.3488</v>
      </c>
      <c r="CZ175">
        <f t="shared" si="203"/>
        <v>7091.36</v>
      </c>
      <c r="DC175" t="s">
        <v>3</v>
      </c>
      <c r="DD175" t="s">
        <v>3</v>
      </c>
      <c r="DE175" t="s">
        <v>38</v>
      </c>
      <c r="DF175" t="s">
        <v>38</v>
      </c>
      <c r="DG175" t="s">
        <v>38</v>
      </c>
      <c r="DH175" t="s">
        <v>3</v>
      </c>
      <c r="DI175" t="s">
        <v>38</v>
      </c>
      <c r="DJ175" t="s">
        <v>38</v>
      </c>
      <c r="DK175" t="s">
        <v>3</v>
      </c>
      <c r="DL175" t="s">
        <v>3</v>
      </c>
      <c r="DM175" t="s">
        <v>3</v>
      </c>
      <c r="DN175">
        <v>0</v>
      </c>
      <c r="DO175">
        <v>0</v>
      </c>
      <c r="DP175">
        <v>1</v>
      </c>
      <c r="DQ175">
        <v>1</v>
      </c>
      <c r="DU175">
        <v>1005</v>
      </c>
      <c r="DV175" t="s">
        <v>36</v>
      </c>
      <c r="DW175" t="s">
        <v>36</v>
      </c>
      <c r="DX175">
        <v>100</v>
      </c>
      <c r="DZ175" t="s">
        <v>3</v>
      </c>
      <c r="EA175" t="s">
        <v>3</v>
      </c>
      <c r="EB175" t="s">
        <v>3</v>
      </c>
      <c r="EC175" t="s">
        <v>3</v>
      </c>
      <c r="EE175">
        <v>64095109</v>
      </c>
      <c r="EF175">
        <v>6</v>
      </c>
      <c r="EG175" t="s">
        <v>39</v>
      </c>
      <c r="EH175">
        <v>0</v>
      </c>
      <c r="EI175" t="s">
        <v>3</v>
      </c>
      <c r="EJ175">
        <v>1</v>
      </c>
      <c r="EK175">
        <v>61001</v>
      </c>
      <c r="EL175" t="s">
        <v>607</v>
      </c>
      <c r="EM175" t="s">
        <v>608</v>
      </c>
      <c r="EO175" t="s">
        <v>42</v>
      </c>
      <c r="EQ175">
        <v>0</v>
      </c>
      <c r="ER175">
        <v>2662.22</v>
      </c>
      <c r="ES175">
        <v>1140.25</v>
      </c>
      <c r="ET175">
        <v>1.21</v>
      </c>
      <c r="EU175">
        <v>0</v>
      </c>
      <c r="EV175">
        <v>1520.76</v>
      </c>
      <c r="EW175">
        <v>174</v>
      </c>
      <c r="EX175">
        <v>0</v>
      </c>
      <c r="EY175">
        <v>0</v>
      </c>
      <c r="FQ175">
        <v>0</v>
      </c>
      <c r="FR175">
        <f t="shared" si="204"/>
        <v>0</v>
      </c>
      <c r="FS175">
        <v>0</v>
      </c>
      <c r="FX175">
        <v>79</v>
      </c>
      <c r="FY175">
        <v>50</v>
      </c>
      <c r="GA175" t="s">
        <v>3</v>
      </c>
      <c r="GD175">
        <v>1</v>
      </c>
      <c r="GF175">
        <v>-206215104</v>
      </c>
      <c r="GG175">
        <v>2</v>
      </c>
      <c r="GH175">
        <v>1</v>
      </c>
      <c r="GI175">
        <v>2</v>
      </c>
      <c r="GJ175">
        <v>0</v>
      </c>
      <c r="GK175">
        <v>0</v>
      </c>
      <c r="GL175">
        <f t="shared" si="205"/>
        <v>0</v>
      </c>
      <c r="GM175">
        <f t="shared" si="206"/>
        <v>34213.919999999998</v>
      </c>
      <c r="GN175">
        <f t="shared" si="207"/>
        <v>34213.919999999998</v>
      </c>
      <c r="GO175">
        <f t="shared" si="208"/>
        <v>0</v>
      </c>
      <c r="GP175">
        <f t="shared" si="209"/>
        <v>0</v>
      </c>
      <c r="GR175">
        <v>0</v>
      </c>
      <c r="GS175">
        <v>3</v>
      </c>
      <c r="GT175">
        <v>0</v>
      </c>
      <c r="GU175" t="s">
        <v>3</v>
      </c>
      <c r="GV175">
        <f t="shared" si="210"/>
        <v>0</v>
      </c>
      <c r="GW175">
        <v>1</v>
      </c>
      <c r="GX175">
        <f t="shared" si="211"/>
        <v>0</v>
      </c>
      <c r="HA175">
        <v>0</v>
      </c>
      <c r="HB175">
        <v>0</v>
      </c>
      <c r="HC175">
        <f t="shared" si="212"/>
        <v>0</v>
      </c>
      <c r="HE175" t="s">
        <v>3</v>
      </c>
      <c r="HF175" t="s">
        <v>3</v>
      </c>
      <c r="IK175">
        <v>0</v>
      </c>
    </row>
    <row r="176" spans="1:245" x14ac:dyDescent="0.2">
      <c r="A176">
        <v>18</v>
      </c>
      <c r="B176">
        <v>1</v>
      </c>
      <c r="C176">
        <v>535</v>
      </c>
      <c r="E176" t="s">
        <v>609</v>
      </c>
      <c r="F176" t="s">
        <v>69</v>
      </c>
      <c r="G176" t="s">
        <v>70</v>
      </c>
      <c r="H176" t="s">
        <v>71</v>
      </c>
      <c r="I176">
        <f>I175*J176</f>
        <v>1.1592100000000001</v>
      </c>
      <c r="J176">
        <v>4.8100000000000005</v>
      </c>
      <c r="O176">
        <f t="shared" si="179"/>
        <v>0</v>
      </c>
      <c r="P176">
        <f t="shared" si="180"/>
        <v>0</v>
      </c>
      <c r="Q176">
        <f t="shared" si="181"/>
        <v>0</v>
      </c>
      <c r="R176">
        <f t="shared" si="182"/>
        <v>0</v>
      </c>
      <c r="S176">
        <f t="shared" si="183"/>
        <v>0</v>
      </c>
      <c r="T176">
        <f t="shared" si="184"/>
        <v>0</v>
      </c>
      <c r="U176">
        <f t="shared" si="185"/>
        <v>0</v>
      </c>
      <c r="V176">
        <f t="shared" si="186"/>
        <v>0</v>
      </c>
      <c r="W176">
        <f t="shared" si="187"/>
        <v>0</v>
      </c>
      <c r="X176">
        <f t="shared" si="188"/>
        <v>0</v>
      </c>
      <c r="Y176">
        <f t="shared" si="189"/>
        <v>0</v>
      </c>
      <c r="AA176">
        <v>68990560</v>
      </c>
      <c r="AB176">
        <f t="shared" si="190"/>
        <v>0</v>
      </c>
      <c r="AC176">
        <f t="shared" si="178"/>
        <v>0</v>
      </c>
      <c r="AD176">
        <f>ROUND((((ET176)-(EU176))+AE176),2)</f>
        <v>0</v>
      </c>
      <c r="AE176">
        <f>ROUND((EU176),2)</f>
        <v>0</v>
      </c>
      <c r="AF176">
        <f>ROUND((EV176),2)</f>
        <v>0</v>
      </c>
      <c r="AG176">
        <f t="shared" si="191"/>
        <v>0</v>
      </c>
      <c r="AH176">
        <f>(EW176)</f>
        <v>0</v>
      </c>
      <c r="AI176">
        <f>(EX176)</f>
        <v>0</v>
      </c>
      <c r="AJ176">
        <f t="shared" si="192"/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79</v>
      </c>
      <c r="AU176">
        <v>50</v>
      </c>
      <c r="AV176">
        <v>1</v>
      </c>
      <c r="AW176">
        <v>1</v>
      </c>
      <c r="AZ176">
        <v>1</v>
      </c>
      <c r="BA176">
        <v>1</v>
      </c>
      <c r="BB176">
        <v>1</v>
      </c>
      <c r="BC176">
        <v>1</v>
      </c>
      <c r="BD176" t="s">
        <v>3</v>
      </c>
      <c r="BE176" t="s">
        <v>3</v>
      </c>
      <c r="BF176" t="s">
        <v>3</v>
      </c>
      <c r="BG176" t="s">
        <v>3</v>
      </c>
      <c r="BH176">
        <v>3</v>
      </c>
      <c r="BI176">
        <v>1</v>
      </c>
      <c r="BJ176" t="s">
        <v>3</v>
      </c>
      <c r="BM176">
        <v>61001</v>
      </c>
      <c r="BN176">
        <v>0</v>
      </c>
      <c r="BO176" t="s">
        <v>3</v>
      </c>
      <c r="BP176">
        <v>0</v>
      </c>
      <c r="BQ176">
        <v>6</v>
      </c>
      <c r="BR176">
        <v>0</v>
      </c>
      <c r="BS176">
        <v>1</v>
      </c>
      <c r="BT176">
        <v>1</v>
      </c>
      <c r="BU176">
        <v>1</v>
      </c>
      <c r="BV176">
        <v>1</v>
      </c>
      <c r="BW176">
        <v>1</v>
      </c>
      <c r="BX176">
        <v>1</v>
      </c>
      <c r="BY176" t="s">
        <v>3</v>
      </c>
      <c r="BZ176">
        <v>79</v>
      </c>
      <c r="CA176">
        <v>50</v>
      </c>
      <c r="CE176">
        <v>0</v>
      </c>
      <c r="CF176">
        <v>0</v>
      </c>
      <c r="CG176">
        <v>0</v>
      </c>
      <c r="CM176">
        <v>0</v>
      </c>
      <c r="CN176" t="s">
        <v>3</v>
      </c>
      <c r="CO176">
        <v>0</v>
      </c>
      <c r="CP176">
        <f t="shared" si="193"/>
        <v>0</v>
      </c>
      <c r="CQ176">
        <f t="shared" si="194"/>
        <v>0</v>
      </c>
      <c r="CR176">
        <f t="shared" si="195"/>
        <v>0</v>
      </c>
      <c r="CS176">
        <f t="shared" si="196"/>
        <v>0</v>
      </c>
      <c r="CT176">
        <f t="shared" si="197"/>
        <v>0</v>
      </c>
      <c r="CU176">
        <f t="shared" si="198"/>
        <v>0</v>
      </c>
      <c r="CV176">
        <f t="shared" si="199"/>
        <v>0</v>
      </c>
      <c r="CW176">
        <f t="shared" si="200"/>
        <v>0</v>
      </c>
      <c r="CX176">
        <f t="shared" si="201"/>
        <v>0</v>
      </c>
      <c r="CY176">
        <f t="shared" si="202"/>
        <v>0</v>
      </c>
      <c r="CZ176">
        <f t="shared" si="203"/>
        <v>0</v>
      </c>
      <c r="DC176" t="s">
        <v>3</v>
      </c>
      <c r="DD176" t="s">
        <v>3</v>
      </c>
      <c r="DE176" t="s">
        <v>3</v>
      </c>
      <c r="DF176" t="s">
        <v>3</v>
      </c>
      <c r="DG176" t="s">
        <v>3</v>
      </c>
      <c r="DH176" t="s">
        <v>3</v>
      </c>
      <c r="DI176" t="s">
        <v>3</v>
      </c>
      <c r="DJ176" t="s">
        <v>3</v>
      </c>
      <c r="DK176" t="s">
        <v>3</v>
      </c>
      <c r="DL176" t="s">
        <v>3</v>
      </c>
      <c r="DM176" t="s">
        <v>3</v>
      </c>
      <c r="DN176">
        <v>0</v>
      </c>
      <c r="DO176">
        <v>0</v>
      </c>
      <c r="DP176">
        <v>1</v>
      </c>
      <c r="DQ176">
        <v>1</v>
      </c>
      <c r="DU176">
        <v>1009</v>
      </c>
      <c r="DV176" t="s">
        <v>71</v>
      </c>
      <c r="DW176" t="s">
        <v>71</v>
      </c>
      <c r="DX176">
        <v>1000</v>
      </c>
      <c r="DZ176" t="s">
        <v>3</v>
      </c>
      <c r="EA176" t="s">
        <v>3</v>
      </c>
      <c r="EB176" t="s">
        <v>3</v>
      </c>
      <c r="EC176" t="s">
        <v>3</v>
      </c>
      <c r="EE176">
        <v>64095109</v>
      </c>
      <c r="EF176">
        <v>6</v>
      </c>
      <c r="EG176" t="s">
        <v>39</v>
      </c>
      <c r="EH176">
        <v>0</v>
      </c>
      <c r="EI176" t="s">
        <v>3</v>
      </c>
      <c r="EJ176">
        <v>1</v>
      </c>
      <c r="EK176">
        <v>61001</v>
      </c>
      <c r="EL176" t="s">
        <v>607</v>
      </c>
      <c r="EM176" t="s">
        <v>608</v>
      </c>
      <c r="EO176" t="s">
        <v>3</v>
      </c>
      <c r="EQ176">
        <v>0</v>
      </c>
      <c r="ER176">
        <v>0</v>
      </c>
      <c r="ES176">
        <v>0</v>
      </c>
      <c r="ET176">
        <v>0</v>
      </c>
      <c r="EU176">
        <v>0</v>
      </c>
      <c r="EV176">
        <v>0</v>
      </c>
      <c r="EW176">
        <v>0</v>
      </c>
      <c r="EX176">
        <v>0</v>
      </c>
      <c r="FQ176">
        <v>0</v>
      </c>
      <c r="FR176">
        <f t="shared" si="204"/>
        <v>0</v>
      </c>
      <c r="FS176">
        <v>0</v>
      </c>
      <c r="FX176">
        <v>79</v>
      </c>
      <c r="FY176">
        <v>50</v>
      </c>
      <c r="GA176" t="s">
        <v>3</v>
      </c>
      <c r="GD176">
        <v>1</v>
      </c>
      <c r="GF176">
        <v>2102561428</v>
      </c>
      <c r="GG176">
        <v>2</v>
      </c>
      <c r="GH176">
        <v>1</v>
      </c>
      <c r="GI176">
        <v>-2</v>
      </c>
      <c r="GJ176">
        <v>0</v>
      </c>
      <c r="GK176">
        <v>0</v>
      </c>
      <c r="GL176">
        <f t="shared" si="205"/>
        <v>0</v>
      </c>
      <c r="GM176">
        <f t="shared" si="206"/>
        <v>0</v>
      </c>
      <c r="GN176">
        <f t="shared" si="207"/>
        <v>0</v>
      </c>
      <c r="GO176">
        <f t="shared" si="208"/>
        <v>0</v>
      </c>
      <c r="GP176">
        <f t="shared" si="209"/>
        <v>0</v>
      </c>
      <c r="GR176">
        <v>0</v>
      </c>
      <c r="GS176">
        <v>3</v>
      </c>
      <c r="GT176">
        <v>0</v>
      </c>
      <c r="GU176" t="s">
        <v>3</v>
      </c>
      <c r="GV176">
        <f t="shared" si="210"/>
        <v>0</v>
      </c>
      <c r="GW176">
        <v>1</v>
      </c>
      <c r="GX176">
        <f t="shared" si="211"/>
        <v>0</v>
      </c>
      <c r="HA176">
        <v>0</v>
      </c>
      <c r="HB176">
        <v>0</v>
      </c>
      <c r="HC176">
        <f t="shared" si="212"/>
        <v>0</v>
      </c>
      <c r="HE176" t="s">
        <v>3</v>
      </c>
      <c r="HF176" t="s">
        <v>3</v>
      </c>
      <c r="IK176">
        <v>0</v>
      </c>
    </row>
    <row r="177" spans="1:245" x14ac:dyDescent="0.2">
      <c r="A177">
        <v>17</v>
      </c>
      <c r="B177">
        <v>1</v>
      </c>
      <c r="C177">
        <f>ROW(SmtRes!A541)</f>
        <v>541</v>
      </c>
      <c r="D177">
        <f>ROW(EtalonRes!A520)</f>
        <v>520</v>
      </c>
      <c r="E177" t="s">
        <v>610</v>
      </c>
      <c r="F177" t="s">
        <v>611</v>
      </c>
      <c r="G177" t="s">
        <v>612</v>
      </c>
      <c r="H177" t="s">
        <v>36</v>
      </c>
      <c r="I177">
        <f>ROUND(24.1/100,5)</f>
        <v>0.24099999999999999</v>
      </c>
      <c r="J177">
        <v>0</v>
      </c>
      <c r="O177">
        <f t="shared" si="179"/>
        <v>9298.89</v>
      </c>
      <c r="P177">
        <f t="shared" si="180"/>
        <v>1489.84</v>
      </c>
      <c r="Q177">
        <f t="shared" si="181"/>
        <v>408.75</v>
      </c>
      <c r="R177">
        <f t="shared" si="182"/>
        <v>292.60000000000002</v>
      </c>
      <c r="S177">
        <f t="shared" si="183"/>
        <v>7400.3</v>
      </c>
      <c r="T177">
        <f t="shared" si="184"/>
        <v>0</v>
      </c>
      <c r="U177">
        <f t="shared" si="185"/>
        <v>22.860717750000003</v>
      </c>
      <c r="V177">
        <f t="shared" si="186"/>
        <v>0.97605000000000008</v>
      </c>
      <c r="W177">
        <f t="shared" si="187"/>
        <v>0</v>
      </c>
      <c r="X177">
        <f t="shared" si="188"/>
        <v>7308.26</v>
      </c>
      <c r="Y177">
        <f t="shared" si="189"/>
        <v>3615.66</v>
      </c>
      <c r="AA177">
        <v>68990560</v>
      </c>
      <c r="AB177">
        <f t="shared" si="190"/>
        <v>1968.32</v>
      </c>
      <c r="AC177">
        <f t="shared" si="178"/>
        <v>979.7</v>
      </c>
      <c r="AD177">
        <f>ROUND((((((ET177*1.35)*1.25))-(((EU177*1.35)*1.25)))+AE177),2)</f>
        <v>76.09</v>
      </c>
      <c r="AE177">
        <f>ROUND((((EU177*1.35)*1.25)),2)</f>
        <v>36.08</v>
      </c>
      <c r="AF177">
        <f>ROUND((((EV177*1.35)*1.15)),2)</f>
        <v>912.53</v>
      </c>
      <c r="AG177">
        <f t="shared" si="191"/>
        <v>0</v>
      </c>
      <c r="AH177">
        <f>(((EW177*1.35)*1.15))</f>
        <v>94.85775000000001</v>
      </c>
      <c r="AI177">
        <f>(((EX177*1.35)*1.25))</f>
        <v>4.0500000000000007</v>
      </c>
      <c r="AJ177">
        <f t="shared" si="192"/>
        <v>0</v>
      </c>
      <c r="AK177">
        <v>1612.57</v>
      </c>
      <c r="AL177">
        <v>979.7</v>
      </c>
      <c r="AM177">
        <v>45.09</v>
      </c>
      <c r="AN177">
        <v>21.38</v>
      </c>
      <c r="AO177">
        <v>587.78</v>
      </c>
      <c r="AP177">
        <v>0</v>
      </c>
      <c r="AQ177">
        <v>61.1</v>
      </c>
      <c r="AR177">
        <v>2.4</v>
      </c>
      <c r="AS177">
        <v>0</v>
      </c>
      <c r="AT177">
        <v>95</v>
      </c>
      <c r="AU177">
        <v>47</v>
      </c>
      <c r="AV177">
        <v>1</v>
      </c>
      <c r="AW177">
        <v>1</v>
      </c>
      <c r="AZ177">
        <v>1</v>
      </c>
      <c r="BA177">
        <v>33.65</v>
      </c>
      <c r="BB177">
        <v>22.29</v>
      </c>
      <c r="BC177">
        <v>6.31</v>
      </c>
      <c r="BD177" t="s">
        <v>3</v>
      </c>
      <c r="BE177" t="s">
        <v>3</v>
      </c>
      <c r="BF177" t="s">
        <v>3</v>
      </c>
      <c r="BG177" t="s">
        <v>3</v>
      </c>
      <c r="BH177">
        <v>0</v>
      </c>
      <c r="BI177">
        <v>1</v>
      </c>
      <c r="BJ177" t="s">
        <v>613</v>
      </c>
      <c r="BM177">
        <v>15001</v>
      </c>
      <c r="BN177">
        <v>0</v>
      </c>
      <c r="BO177" t="s">
        <v>611</v>
      </c>
      <c r="BP177">
        <v>1</v>
      </c>
      <c r="BQ177">
        <v>2</v>
      </c>
      <c r="BR177">
        <v>0</v>
      </c>
      <c r="BS177">
        <v>33.65</v>
      </c>
      <c r="BT177">
        <v>1</v>
      </c>
      <c r="BU177">
        <v>1</v>
      </c>
      <c r="BV177">
        <v>1</v>
      </c>
      <c r="BW177">
        <v>1</v>
      </c>
      <c r="BX177">
        <v>1</v>
      </c>
      <c r="BY177" t="s">
        <v>3</v>
      </c>
      <c r="BZ177">
        <v>105</v>
      </c>
      <c r="CA177">
        <v>55</v>
      </c>
      <c r="CE177">
        <v>0</v>
      </c>
      <c r="CF177">
        <v>0</v>
      </c>
      <c r="CG177">
        <v>0</v>
      </c>
      <c r="CM177">
        <v>0</v>
      </c>
      <c r="CN177" t="s">
        <v>1337</v>
      </c>
      <c r="CO177">
        <v>0</v>
      </c>
      <c r="CP177">
        <f t="shared" si="193"/>
        <v>9298.89</v>
      </c>
      <c r="CQ177">
        <f t="shared" si="194"/>
        <v>6181.9070000000002</v>
      </c>
      <c r="CR177">
        <f t="shared" si="195"/>
        <v>1696.0461</v>
      </c>
      <c r="CS177">
        <f t="shared" si="196"/>
        <v>1214.0919999999999</v>
      </c>
      <c r="CT177">
        <f t="shared" si="197"/>
        <v>30706.634499999996</v>
      </c>
      <c r="CU177">
        <f t="shared" si="198"/>
        <v>0</v>
      </c>
      <c r="CV177">
        <f t="shared" si="199"/>
        <v>94.85775000000001</v>
      </c>
      <c r="CW177">
        <f t="shared" si="200"/>
        <v>4.0500000000000007</v>
      </c>
      <c r="CX177">
        <f t="shared" si="201"/>
        <v>0</v>
      </c>
      <c r="CY177">
        <f t="shared" si="202"/>
        <v>7308.2550000000001</v>
      </c>
      <c r="CZ177">
        <f t="shared" si="203"/>
        <v>3615.6630000000005</v>
      </c>
      <c r="DC177" t="s">
        <v>3</v>
      </c>
      <c r="DD177" t="s">
        <v>3</v>
      </c>
      <c r="DE177" t="s">
        <v>455</v>
      </c>
      <c r="DF177" t="s">
        <v>455</v>
      </c>
      <c r="DG177" t="s">
        <v>456</v>
      </c>
      <c r="DH177" t="s">
        <v>3</v>
      </c>
      <c r="DI177" t="s">
        <v>456</v>
      </c>
      <c r="DJ177" t="s">
        <v>455</v>
      </c>
      <c r="DK177" t="s">
        <v>3</v>
      </c>
      <c r="DL177" t="s">
        <v>3</v>
      </c>
      <c r="DM177" t="s">
        <v>3</v>
      </c>
      <c r="DN177">
        <v>0</v>
      </c>
      <c r="DO177">
        <v>0</v>
      </c>
      <c r="DP177">
        <v>1</v>
      </c>
      <c r="DQ177">
        <v>1</v>
      </c>
      <c r="DU177">
        <v>1005</v>
      </c>
      <c r="DV177" t="s">
        <v>36</v>
      </c>
      <c r="DW177" t="s">
        <v>36</v>
      </c>
      <c r="DX177">
        <v>100</v>
      </c>
      <c r="DZ177" t="s">
        <v>3</v>
      </c>
      <c r="EA177" t="s">
        <v>3</v>
      </c>
      <c r="EB177" t="s">
        <v>3</v>
      </c>
      <c r="EC177" t="s">
        <v>3</v>
      </c>
      <c r="EE177">
        <v>64095052</v>
      </c>
      <c r="EF177">
        <v>2</v>
      </c>
      <c r="EG177" t="s">
        <v>13</v>
      </c>
      <c r="EH177">
        <v>0</v>
      </c>
      <c r="EI177" t="s">
        <v>3</v>
      </c>
      <c r="EJ177">
        <v>1</v>
      </c>
      <c r="EK177">
        <v>15001</v>
      </c>
      <c r="EL177" t="s">
        <v>165</v>
      </c>
      <c r="EM177" t="s">
        <v>166</v>
      </c>
      <c r="EO177" t="s">
        <v>457</v>
      </c>
      <c r="EQ177">
        <v>0</v>
      </c>
      <c r="ER177">
        <v>1612.57</v>
      </c>
      <c r="ES177">
        <v>979.7</v>
      </c>
      <c r="ET177">
        <v>45.09</v>
      </c>
      <c r="EU177">
        <v>21.38</v>
      </c>
      <c r="EV177">
        <v>587.78</v>
      </c>
      <c r="EW177">
        <v>61.1</v>
      </c>
      <c r="EX177">
        <v>2.4</v>
      </c>
      <c r="EY177">
        <v>0</v>
      </c>
      <c r="FQ177">
        <v>0</v>
      </c>
      <c r="FR177">
        <f t="shared" si="204"/>
        <v>0</v>
      </c>
      <c r="FS177">
        <v>0</v>
      </c>
      <c r="FT177" t="s">
        <v>52</v>
      </c>
      <c r="FU177" t="s">
        <v>53</v>
      </c>
      <c r="FX177">
        <v>94.5</v>
      </c>
      <c r="FY177">
        <v>46.75</v>
      </c>
      <c r="GA177" t="s">
        <v>3</v>
      </c>
      <c r="GD177">
        <v>1</v>
      </c>
      <c r="GF177">
        <v>1354058973</v>
      </c>
      <c r="GG177">
        <v>2</v>
      </c>
      <c r="GH177">
        <v>1</v>
      </c>
      <c r="GI177">
        <v>2</v>
      </c>
      <c r="GJ177">
        <v>0</v>
      </c>
      <c r="GK177">
        <v>0</v>
      </c>
      <c r="GL177">
        <f t="shared" si="205"/>
        <v>0</v>
      </c>
      <c r="GM177">
        <f t="shared" si="206"/>
        <v>20222.810000000001</v>
      </c>
      <c r="GN177">
        <f t="shared" si="207"/>
        <v>20222.810000000001</v>
      </c>
      <c r="GO177">
        <f t="shared" si="208"/>
        <v>0</v>
      </c>
      <c r="GP177">
        <f t="shared" si="209"/>
        <v>0</v>
      </c>
      <c r="GR177">
        <v>0</v>
      </c>
      <c r="GS177">
        <v>3</v>
      </c>
      <c r="GT177">
        <v>0</v>
      </c>
      <c r="GU177" t="s">
        <v>3</v>
      </c>
      <c r="GV177">
        <f t="shared" si="210"/>
        <v>0</v>
      </c>
      <c r="GW177">
        <v>1</v>
      </c>
      <c r="GX177">
        <f t="shared" si="211"/>
        <v>0</v>
      </c>
      <c r="HA177">
        <v>0</v>
      </c>
      <c r="HB177">
        <v>0</v>
      </c>
      <c r="HC177">
        <f t="shared" si="212"/>
        <v>0</v>
      </c>
      <c r="HE177" t="s">
        <v>3</v>
      </c>
      <c r="HF177" t="s">
        <v>3</v>
      </c>
      <c r="IK177">
        <v>0</v>
      </c>
    </row>
    <row r="178" spans="1:245" x14ac:dyDescent="0.2">
      <c r="A178">
        <v>17</v>
      </c>
      <c r="B178">
        <v>1</v>
      </c>
      <c r="C178">
        <f>ROW(SmtRes!A550)</f>
        <v>550</v>
      </c>
      <c r="D178">
        <f>ROW(EtalonRes!A529)</f>
        <v>529</v>
      </c>
      <c r="E178" t="s">
        <v>614</v>
      </c>
      <c r="F178" t="s">
        <v>615</v>
      </c>
      <c r="G178" t="s">
        <v>616</v>
      </c>
      <c r="H178" t="s">
        <v>36</v>
      </c>
      <c r="I178">
        <f>ROUND(24.1/100,5)</f>
        <v>0.24099999999999999</v>
      </c>
      <c r="J178">
        <v>0</v>
      </c>
      <c r="O178">
        <f t="shared" si="179"/>
        <v>1838.06</v>
      </c>
      <c r="P178">
        <f t="shared" si="180"/>
        <v>198.48</v>
      </c>
      <c r="Q178">
        <f t="shared" si="181"/>
        <v>25.52</v>
      </c>
      <c r="R178">
        <f t="shared" si="182"/>
        <v>12.73</v>
      </c>
      <c r="S178">
        <f t="shared" si="183"/>
        <v>1614.06</v>
      </c>
      <c r="T178">
        <f t="shared" si="184"/>
        <v>0</v>
      </c>
      <c r="U178">
        <f t="shared" si="185"/>
        <v>5.1633045000000006</v>
      </c>
      <c r="V178">
        <f t="shared" si="186"/>
        <v>3.2535000000000001E-2</v>
      </c>
      <c r="W178">
        <f t="shared" si="187"/>
        <v>0</v>
      </c>
      <c r="X178">
        <f t="shared" si="188"/>
        <v>1545.45</v>
      </c>
      <c r="Y178">
        <f t="shared" si="189"/>
        <v>764.59</v>
      </c>
      <c r="AA178">
        <v>68990560</v>
      </c>
      <c r="AB178">
        <f t="shared" si="190"/>
        <v>313.88</v>
      </c>
      <c r="AC178">
        <f t="shared" si="178"/>
        <v>105.72</v>
      </c>
      <c r="AD178">
        <f>ROUND((((((ET178*1.35)*1.25))-(((EU178*1.35)*1.25)))+AE178),2)</f>
        <v>9.1300000000000008</v>
      </c>
      <c r="AE178">
        <f>ROUND((((EU178*1.35)*1.25)),2)</f>
        <v>1.57</v>
      </c>
      <c r="AF178">
        <f>ROUND((((EV178*1.35)*1.15)),2)</f>
        <v>199.03</v>
      </c>
      <c r="AG178">
        <f t="shared" si="191"/>
        <v>0</v>
      </c>
      <c r="AH178">
        <f>(((EW178*1.35)*1.15))</f>
        <v>21.424500000000002</v>
      </c>
      <c r="AI178">
        <f>(((EX178*1.35)*1.25))</f>
        <v>0.13500000000000001</v>
      </c>
      <c r="AJ178">
        <f t="shared" si="192"/>
        <v>0</v>
      </c>
      <c r="AK178">
        <v>239.33</v>
      </c>
      <c r="AL178">
        <v>105.72</v>
      </c>
      <c r="AM178">
        <v>5.41</v>
      </c>
      <c r="AN178">
        <v>0.93</v>
      </c>
      <c r="AO178">
        <v>128.19999999999999</v>
      </c>
      <c r="AP178">
        <v>0</v>
      </c>
      <c r="AQ178">
        <v>13.8</v>
      </c>
      <c r="AR178">
        <v>0.08</v>
      </c>
      <c r="AS178">
        <v>0</v>
      </c>
      <c r="AT178">
        <v>95</v>
      </c>
      <c r="AU178">
        <v>47</v>
      </c>
      <c r="AV178">
        <v>1</v>
      </c>
      <c r="AW178">
        <v>1</v>
      </c>
      <c r="AZ178">
        <v>1</v>
      </c>
      <c r="BA178">
        <v>33.65</v>
      </c>
      <c r="BB178">
        <v>11.6</v>
      </c>
      <c r="BC178">
        <v>7.79</v>
      </c>
      <c r="BD178" t="s">
        <v>3</v>
      </c>
      <c r="BE178" t="s">
        <v>3</v>
      </c>
      <c r="BF178" t="s">
        <v>3</v>
      </c>
      <c r="BG178" t="s">
        <v>3</v>
      </c>
      <c r="BH178">
        <v>0</v>
      </c>
      <c r="BI178">
        <v>1</v>
      </c>
      <c r="BJ178" t="s">
        <v>617</v>
      </c>
      <c r="BM178">
        <v>15001</v>
      </c>
      <c r="BN178">
        <v>0</v>
      </c>
      <c r="BO178" t="s">
        <v>615</v>
      </c>
      <c r="BP178">
        <v>1</v>
      </c>
      <c r="BQ178">
        <v>2</v>
      </c>
      <c r="BR178">
        <v>0</v>
      </c>
      <c r="BS178">
        <v>33.65</v>
      </c>
      <c r="BT178">
        <v>1</v>
      </c>
      <c r="BU178">
        <v>1</v>
      </c>
      <c r="BV178">
        <v>1</v>
      </c>
      <c r="BW178">
        <v>1</v>
      </c>
      <c r="BX178">
        <v>1</v>
      </c>
      <c r="BY178" t="s">
        <v>3</v>
      </c>
      <c r="BZ178">
        <v>105</v>
      </c>
      <c r="CA178">
        <v>55</v>
      </c>
      <c r="CE178">
        <v>0</v>
      </c>
      <c r="CF178">
        <v>0</v>
      </c>
      <c r="CG178">
        <v>0</v>
      </c>
      <c r="CM178">
        <v>0</v>
      </c>
      <c r="CN178" t="s">
        <v>1337</v>
      </c>
      <c r="CO178">
        <v>0</v>
      </c>
      <c r="CP178">
        <f t="shared" si="193"/>
        <v>1838.06</v>
      </c>
      <c r="CQ178">
        <f t="shared" si="194"/>
        <v>823.55880000000002</v>
      </c>
      <c r="CR178">
        <f t="shared" si="195"/>
        <v>105.908</v>
      </c>
      <c r="CS178">
        <f t="shared" si="196"/>
        <v>52.830500000000001</v>
      </c>
      <c r="CT178">
        <f t="shared" si="197"/>
        <v>6697.3594999999996</v>
      </c>
      <c r="CU178">
        <f t="shared" si="198"/>
        <v>0</v>
      </c>
      <c r="CV178">
        <f t="shared" si="199"/>
        <v>21.424500000000002</v>
      </c>
      <c r="CW178">
        <f t="shared" si="200"/>
        <v>0.13500000000000001</v>
      </c>
      <c r="CX178">
        <f t="shared" si="201"/>
        <v>0</v>
      </c>
      <c r="CY178">
        <f t="shared" si="202"/>
        <v>1545.4504999999999</v>
      </c>
      <c r="CZ178">
        <f t="shared" si="203"/>
        <v>764.59130000000005</v>
      </c>
      <c r="DC178" t="s">
        <v>3</v>
      </c>
      <c r="DD178" t="s">
        <v>3</v>
      </c>
      <c r="DE178" t="s">
        <v>455</v>
      </c>
      <c r="DF178" t="s">
        <v>455</v>
      </c>
      <c r="DG178" t="s">
        <v>456</v>
      </c>
      <c r="DH178" t="s">
        <v>3</v>
      </c>
      <c r="DI178" t="s">
        <v>456</v>
      </c>
      <c r="DJ178" t="s">
        <v>455</v>
      </c>
      <c r="DK178" t="s">
        <v>3</v>
      </c>
      <c r="DL178" t="s">
        <v>3</v>
      </c>
      <c r="DM178" t="s">
        <v>3</v>
      </c>
      <c r="DN178">
        <v>0</v>
      </c>
      <c r="DO178">
        <v>0</v>
      </c>
      <c r="DP178">
        <v>1</v>
      </c>
      <c r="DQ178">
        <v>1</v>
      </c>
      <c r="DU178">
        <v>1005</v>
      </c>
      <c r="DV178" t="s">
        <v>36</v>
      </c>
      <c r="DW178" t="s">
        <v>36</v>
      </c>
      <c r="DX178">
        <v>100</v>
      </c>
      <c r="DZ178" t="s">
        <v>3</v>
      </c>
      <c r="EA178" t="s">
        <v>3</v>
      </c>
      <c r="EB178" t="s">
        <v>3</v>
      </c>
      <c r="EC178" t="s">
        <v>3</v>
      </c>
      <c r="EE178">
        <v>64095052</v>
      </c>
      <c r="EF178">
        <v>2</v>
      </c>
      <c r="EG178" t="s">
        <v>13</v>
      </c>
      <c r="EH178">
        <v>0</v>
      </c>
      <c r="EI178" t="s">
        <v>3</v>
      </c>
      <c r="EJ178">
        <v>1</v>
      </c>
      <c r="EK178">
        <v>15001</v>
      </c>
      <c r="EL178" t="s">
        <v>165</v>
      </c>
      <c r="EM178" t="s">
        <v>166</v>
      </c>
      <c r="EO178" t="s">
        <v>457</v>
      </c>
      <c r="EQ178">
        <v>0</v>
      </c>
      <c r="ER178">
        <v>239.33</v>
      </c>
      <c r="ES178">
        <v>105.72</v>
      </c>
      <c r="ET178">
        <v>5.41</v>
      </c>
      <c r="EU178">
        <v>0.93</v>
      </c>
      <c r="EV178">
        <v>128.19999999999999</v>
      </c>
      <c r="EW178">
        <v>13.8</v>
      </c>
      <c r="EX178">
        <v>0.08</v>
      </c>
      <c r="EY178">
        <v>0</v>
      </c>
      <c r="FQ178">
        <v>0</v>
      </c>
      <c r="FR178">
        <f t="shared" si="204"/>
        <v>0</v>
      </c>
      <c r="FS178">
        <v>0</v>
      </c>
      <c r="FT178" t="s">
        <v>52</v>
      </c>
      <c r="FU178" t="s">
        <v>53</v>
      </c>
      <c r="FX178">
        <v>94.5</v>
      </c>
      <c r="FY178">
        <v>46.75</v>
      </c>
      <c r="GA178" t="s">
        <v>3</v>
      </c>
      <c r="GD178">
        <v>1</v>
      </c>
      <c r="GF178">
        <v>-1440469384</v>
      </c>
      <c r="GG178">
        <v>2</v>
      </c>
      <c r="GH178">
        <v>1</v>
      </c>
      <c r="GI178">
        <v>2</v>
      </c>
      <c r="GJ178">
        <v>0</v>
      </c>
      <c r="GK178">
        <v>0</v>
      </c>
      <c r="GL178">
        <f t="shared" si="205"/>
        <v>0</v>
      </c>
      <c r="GM178">
        <f t="shared" si="206"/>
        <v>4148.1000000000004</v>
      </c>
      <c r="GN178">
        <f t="shared" si="207"/>
        <v>4148.1000000000004</v>
      </c>
      <c r="GO178">
        <f t="shared" si="208"/>
        <v>0</v>
      </c>
      <c r="GP178">
        <f t="shared" si="209"/>
        <v>0</v>
      </c>
      <c r="GR178">
        <v>0</v>
      </c>
      <c r="GS178">
        <v>3</v>
      </c>
      <c r="GT178">
        <v>0</v>
      </c>
      <c r="GU178" t="s">
        <v>3</v>
      </c>
      <c r="GV178">
        <f t="shared" si="210"/>
        <v>0</v>
      </c>
      <c r="GW178">
        <v>1</v>
      </c>
      <c r="GX178">
        <f t="shared" si="211"/>
        <v>0</v>
      </c>
      <c r="HA178">
        <v>0</v>
      </c>
      <c r="HB178">
        <v>0</v>
      </c>
      <c r="HC178">
        <f t="shared" si="212"/>
        <v>0</v>
      </c>
      <c r="HE178" t="s">
        <v>3</v>
      </c>
      <c r="HF178" t="s">
        <v>3</v>
      </c>
      <c r="IK178">
        <v>0</v>
      </c>
    </row>
    <row r="179" spans="1:245" x14ac:dyDescent="0.2">
      <c r="A179">
        <v>18</v>
      </c>
      <c r="B179">
        <v>1</v>
      </c>
      <c r="C179">
        <v>548</v>
      </c>
      <c r="E179" t="s">
        <v>618</v>
      </c>
      <c r="F179" t="s">
        <v>619</v>
      </c>
      <c r="G179" t="s">
        <v>620</v>
      </c>
      <c r="H179" t="s">
        <v>71</v>
      </c>
      <c r="I179">
        <f>I178*J179</f>
        <v>7.2300000000000003E-3</v>
      </c>
      <c r="J179">
        <v>3.0000000000000002E-2</v>
      </c>
      <c r="O179">
        <f t="shared" si="179"/>
        <v>954.38</v>
      </c>
      <c r="P179">
        <f t="shared" si="180"/>
        <v>954.38</v>
      </c>
      <c r="Q179">
        <f t="shared" si="181"/>
        <v>0</v>
      </c>
      <c r="R179">
        <f t="shared" si="182"/>
        <v>0</v>
      </c>
      <c r="S179">
        <f t="shared" si="183"/>
        <v>0</v>
      </c>
      <c r="T179">
        <f t="shared" si="184"/>
        <v>0</v>
      </c>
      <c r="U179">
        <f t="shared" si="185"/>
        <v>0</v>
      </c>
      <c r="V179">
        <f t="shared" si="186"/>
        <v>0</v>
      </c>
      <c r="W179">
        <f t="shared" si="187"/>
        <v>0</v>
      </c>
      <c r="X179">
        <f t="shared" si="188"/>
        <v>0</v>
      </c>
      <c r="Y179">
        <f t="shared" si="189"/>
        <v>0</v>
      </c>
      <c r="AA179">
        <v>68990560</v>
      </c>
      <c r="AB179">
        <f t="shared" si="190"/>
        <v>34286.5</v>
      </c>
      <c r="AC179">
        <f t="shared" si="178"/>
        <v>34286.5</v>
      </c>
      <c r="AD179">
        <f>ROUND((((ET179)-(EU179))+AE179),2)</f>
        <v>0</v>
      </c>
      <c r="AE179">
        <f>ROUND((EU179),2)</f>
        <v>0</v>
      </c>
      <c r="AF179">
        <f>ROUND((EV179),2)</f>
        <v>0</v>
      </c>
      <c r="AG179">
        <f t="shared" si="191"/>
        <v>0</v>
      </c>
      <c r="AH179">
        <f>(EW179)</f>
        <v>0</v>
      </c>
      <c r="AI179">
        <f>(EX179)</f>
        <v>0</v>
      </c>
      <c r="AJ179">
        <f t="shared" si="192"/>
        <v>0</v>
      </c>
      <c r="AK179">
        <v>34286.5</v>
      </c>
      <c r="AL179">
        <v>34286.5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95</v>
      </c>
      <c r="AU179">
        <v>47</v>
      </c>
      <c r="AV179">
        <v>1</v>
      </c>
      <c r="AW179">
        <v>1</v>
      </c>
      <c r="AZ179">
        <v>1</v>
      </c>
      <c r="BA179">
        <v>1</v>
      </c>
      <c r="BB179">
        <v>1</v>
      </c>
      <c r="BC179">
        <v>3.85</v>
      </c>
      <c r="BD179" t="s">
        <v>3</v>
      </c>
      <c r="BE179" t="s">
        <v>3</v>
      </c>
      <c r="BF179" t="s">
        <v>3</v>
      </c>
      <c r="BG179" t="s">
        <v>3</v>
      </c>
      <c r="BH179">
        <v>3</v>
      </c>
      <c r="BI179">
        <v>1</v>
      </c>
      <c r="BJ179" t="s">
        <v>621</v>
      </c>
      <c r="BM179">
        <v>15001</v>
      </c>
      <c r="BN179">
        <v>0</v>
      </c>
      <c r="BO179" t="s">
        <v>619</v>
      </c>
      <c r="BP179">
        <v>1</v>
      </c>
      <c r="BQ179">
        <v>2</v>
      </c>
      <c r="BR179">
        <v>0</v>
      </c>
      <c r="BS179">
        <v>1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3</v>
      </c>
      <c r="BZ179">
        <v>105</v>
      </c>
      <c r="CA179">
        <v>55</v>
      </c>
      <c r="CE179">
        <v>0</v>
      </c>
      <c r="CF179">
        <v>0</v>
      </c>
      <c r="CG179">
        <v>0</v>
      </c>
      <c r="CM179">
        <v>0</v>
      </c>
      <c r="CN179" t="s">
        <v>3</v>
      </c>
      <c r="CO179">
        <v>0</v>
      </c>
      <c r="CP179">
        <f t="shared" si="193"/>
        <v>954.38</v>
      </c>
      <c r="CQ179">
        <f t="shared" si="194"/>
        <v>132003.02499999999</v>
      </c>
      <c r="CR179">
        <f t="shared" si="195"/>
        <v>0</v>
      </c>
      <c r="CS179">
        <f t="shared" si="196"/>
        <v>0</v>
      </c>
      <c r="CT179">
        <f t="shared" si="197"/>
        <v>0</v>
      </c>
      <c r="CU179">
        <f t="shared" si="198"/>
        <v>0</v>
      </c>
      <c r="CV179">
        <f t="shared" si="199"/>
        <v>0</v>
      </c>
      <c r="CW179">
        <f t="shared" si="200"/>
        <v>0</v>
      </c>
      <c r="CX179">
        <f t="shared" si="201"/>
        <v>0</v>
      </c>
      <c r="CY179">
        <f t="shared" si="202"/>
        <v>0</v>
      </c>
      <c r="CZ179">
        <f t="shared" si="203"/>
        <v>0</v>
      </c>
      <c r="DC179" t="s">
        <v>3</v>
      </c>
      <c r="DD179" t="s">
        <v>3</v>
      </c>
      <c r="DE179" t="s">
        <v>3</v>
      </c>
      <c r="DF179" t="s">
        <v>3</v>
      </c>
      <c r="DG179" t="s">
        <v>3</v>
      </c>
      <c r="DH179" t="s">
        <v>3</v>
      </c>
      <c r="DI179" t="s">
        <v>3</v>
      </c>
      <c r="DJ179" t="s">
        <v>3</v>
      </c>
      <c r="DK179" t="s">
        <v>3</v>
      </c>
      <c r="DL179" t="s">
        <v>3</v>
      </c>
      <c r="DM179" t="s">
        <v>3</v>
      </c>
      <c r="DN179">
        <v>0</v>
      </c>
      <c r="DO179">
        <v>0</v>
      </c>
      <c r="DP179">
        <v>1</v>
      </c>
      <c r="DQ179">
        <v>1</v>
      </c>
      <c r="DU179">
        <v>1009</v>
      </c>
      <c r="DV179" t="s">
        <v>71</v>
      </c>
      <c r="DW179" t="s">
        <v>71</v>
      </c>
      <c r="DX179">
        <v>1000</v>
      </c>
      <c r="DZ179" t="s">
        <v>3</v>
      </c>
      <c r="EA179" t="s">
        <v>3</v>
      </c>
      <c r="EB179" t="s">
        <v>3</v>
      </c>
      <c r="EC179" t="s">
        <v>3</v>
      </c>
      <c r="EE179">
        <v>64095052</v>
      </c>
      <c r="EF179">
        <v>2</v>
      </c>
      <c r="EG179" t="s">
        <v>13</v>
      </c>
      <c r="EH179">
        <v>0</v>
      </c>
      <c r="EI179" t="s">
        <v>3</v>
      </c>
      <c r="EJ179">
        <v>1</v>
      </c>
      <c r="EK179">
        <v>15001</v>
      </c>
      <c r="EL179" t="s">
        <v>165</v>
      </c>
      <c r="EM179" t="s">
        <v>166</v>
      </c>
      <c r="EO179" t="s">
        <v>3</v>
      </c>
      <c r="EQ179">
        <v>0</v>
      </c>
      <c r="ER179">
        <v>34286.5</v>
      </c>
      <c r="ES179">
        <v>34286.5</v>
      </c>
      <c r="ET179">
        <v>0</v>
      </c>
      <c r="EU179">
        <v>0</v>
      </c>
      <c r="EV179">
        <v>0</v>
      </c>
      <c r="EW179">
        <v>0</v>
      </c>
      <c r="EX179">
        <v>0</v>
      </c>
      <c r="FQ179">
        <v>0</v>
      </c>
      <c r="FR179">
        <f t="shared" si="204"/>
        <v>0</v>
      </c>
      <c r="FS179">
        <v>0</v>
      </c>
      <c r="FT179" t="s">
        <v>52</v>
      </c>
      <c r="FU179" t="s">
        <v>53</v>
      </c>
      <c r="FX179">
        <v>94.5</v>
      </c>
      <c r="FY179">
        <v>46.75</v>
      </c>
      <c r="GA179" t="s">
        <v>3</v>
      </c>
      <c r="GD179">
        <v>1</v>
      </c>
      <c r="GF179">
        <v>1324965338</v>
      </c>
      <c r="GG179">
        <v>2</v>
      </c>
      <c r="GH179">
        <v>1</v>
      </c>
      <c r="GI179">
        <v>2</v>
      </c>
      <c r="GJ179">
        <v>0</v>
      </c>
      <c r="GK179">
        <v>0</v>
      </c>
      <c r="GL179">
        <f t="shared" si="205"/>
        <v>0</v>
      </c>
      <c r="GM179">
        <f t="shared" si="206"/>
        <v>954.38</v>
      </c>
      <c r="GN179">
        <f t="shared" si="207"/>
        <v>954.38</v>
      </c>
      <c r="GO179">
        <f t="shared" si="208"/>
        <v>0</v>
      </c>
      <c r="GP179">
        <f t="shared" si="209"/>
        <v>0</v>
      </c>
      <c r="GR179">
        <v>0</v>
      </c>
      <c r="GS179">
        <v>3</v>
      </c>
      <c r="GT179">
        <v>0</v>
      </c>
      <c r="GU179" t="s">
        <v>3</v>
      </c>
      <c r="GV179">
        <f t="shared" si="210"/>
        <v>0</v>
      </c>
      <c r="GW179">
        <v>1</v>
      </c>
      <c r="GX179">
        <f t="shared" si="211"/>
        <v>0</v>
      </c>
      <c r="HA179">
        <v>0</v>
      </c>
      <c r="HB179">
        <v>0</v>
      </c>
      <c r="HC179">
        <f t="shared" si="212"/>
        <v>0</v>
      </c>
      <c r="HE179" t="s">
        <v>3</v>
      </c>
      <c r="HF179" t="s">
        <v>3</v>
      </c>
      <c r="IK179">
        <v>0</v>
      </c>
    </row>
    <row r="180" spans="1:245" x14ac:dyDescent="0.2">
      <c r="A180">
        <v>18</v>
      </c>
      <c r="B180">
        <v>1</v>
      </c>
      <c r="C180">
        <v>549</v>
      </c>
      <c r="E180" t="s">
        <v>622</v>
      </c>
      <c r="F180" t="s">
        <v>173</v>
      </c>
      <c r="G180" t="s">
        <v>1333</v>
      </c>
      <c r="H180" t="s">
        <v>174</v>
      </c>
      <c r="I180">
        <f>I178*J180</f>
        <v>3.6150000000000002</v>
      </c>
      <c r="J180">
        <v>15.000000000000002</v>
      </c>
      <c r="O180">
        <f t="shared" si="179"/>
        <v>589.21</v>
      </c>
      <c r="P180">
        <f t="shared" si="180"/>
        <v>589.21</v>
      </c>
      <c r="Q180">
        <f t="shared" si="181"/>
        <v>0</v>
      </c>
      <c r="R180">
        <f t="shared" si="182"/>
        <v>0</v>
      </c>
      <c r="S180">
        <f t="shared" si="183"/>
        <v>0</v>
      </c>
      <c r="T180">
        <f t="shared" si="184"/>
        <v>0</v>
      </c>
      <c r="U180">
        <f t="shared" si="185"/>
        <v>0</v>
      </c>
      <c r="V180">
        <f t="shared" si="186"/>
        <v>0</v>
      </c>
      <c r="W180">
        <f t="shared" si="187"/>
        <v>0</v>
      </c>
      <c r="X180">
        <f t="shared" si="188"/>
        <v>0</v>
      </c>
      <c r="Y180">
        <f t="shared" si="189"/>
        <v>0</v>
      </c>
      <c r="AA180">
        <v>68990560</v>
      </c>
      <c r="AB180">
        <f t="shared" ref="AB180:AB181" si="213">ROUND((AC180+AD180+AF180),2)</f>
        <v>43.58</v>
      </c>
      <c r="AC180">
        <f t="shared" si="178"/>
        <v>43.58</v>
      </c>
      <c r="AD180">
        <f>ROUND((((ET180)-(EU180))+AE180),2)</f>
        <v>0</v>
      </c>
      <c r="AE180">
        <f>ROUND((EU180),2)</f>
        <v>0</v>
      </c>
      <c r="AF180">
        <f>ROUND((EV180),2)</f>
        <v>0</v>
      </c>
      <c r="AG180">
        <f t="shared" si="191"/>
        <v>0</v>
      </c>
      <c r="AH180">
        <f>(EW180)</f>
        <v>0</v>
      </c>
      <c r="AI180">
        <f>(EX180)</f>
        <v>0</v>
      </c>
      <c r="AJ180">
        <f t="shared" si="192"/>
        <v>0</v>
      </c>
      <c r="AK180">
        <v>43.58</v>
      </c>
      <c r="AL180">
        <v>43.58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79</v>
      </c>
      <c r="AU180">
        <v>50</v>
      </c>
      <c r="AV180">
        <v>1</v>
      </c>
      <c r="AW180">
        <v>1</v>
      </c>
      <c r="AZ180">
        <v>1</v>
      </c>
      <c r="BA180">
        <v>1</v>
      </c>
      <c r="BB180">
        <v>1</v>
      </c>
      <c r="BC180">
        <v>3.74</v>
      </c>
      <c r="BD180" t="s">
        <v>3</v>
      </c>
      <c r="BE180" t="s">
        <v>3</v>
      </c>
      <c r="BF180" t="s">
        <v>3</v>
      </c>
      <c r="BG180" t="s">
        <v>3</v>
      </c>
      <c r="BH180">
        <v>3</v>
      </c>
      <c r="BI180">
        <v>1</v>
      </c>
      <c r="BJ180" t="s">
        <v>175</v>
      </c>
      <c r="BM180">
        <v>61001</v>
      </c>
      <c r="BN180">
        <v>0</v>
      </c>
      <c r="BO180" t="s">
        <v>173</v>
      </c>
      <c r="BP180">
        <v>1</v>
      </c>
      <c r="BQ180">
        <v>6</v>
      </c>
      <c r="BR180">
        <v>0</v>
      </c>
      <c r="BS180">
        <v>1</v>
      </c>
      <c r="BT180">
        <v>1</v>
      </c>
      <c r="BU180">
        <v>1</v>
      </c>
      <c r="BV180">
        <v>1</v>
      </c>
      <c r="BW180">
        <v>1</v>
      </c>
      <c r="BX180">
        <v>1</v>
      </c>
      <c r="BY180" t="s">
        <v>3</v>
      </c>
      <c r="BZ180">
        <v>79</v>
      </c>
      <c r="CA180">
        <v>50</v>
      </c>
      <c r="CE180">
        <v>0</v>
      </c>
      <c r="CF180">
        <v>0</v>
      </c>
      <c r="CG180">
        <v>0</v>
      </c>
      <c r="CM180">
        <v>0</v>
      </c>
      <c r="CN180" t="s">
        <v>3</v>
      </c>
      <c r="CO180">
        <v>0</v>
      </c>
      <c r="CP180">
        <f t="shared" si="193"/>
        <v>589.21</v>
      </c>
      <c r="CQ180">
        <f t="shared" si="194"/>
        <v>162.98920000000001</v>
      </c>
      <c r="CR180">
        <f t="shared" si="195"/>
        <v>0</v>
      </c>
      <c r="CS180">
        <f t="shared" si="196"/>
        <v>0</v>
      </c>
      <c r="CT180">
        <f t="shared" si="197"/>
        <v>0</v>
      </c>
      <c r="CU180">
        <f t="shared" si="198"/>
        <v>0</v>
      </c>
      <c r="CV180">
        <f t="shared" si="199"/>
        <v>0</v>
      </c>
      <c r="CW180">
        <f t="shared" si="200"/>
        <v>0</v>
      </c>
      <c r="CX180">
        <f t="shared" si="201"/>
        <v>0</v>
      </c>
      <c r="CY180">
        <f t="shared" si="202"/>
        <v>0</v>
      </c>
      <c r="CZ180">
        <f t="shared" si="203"/>
        <v>0</v>
      </c>
      <c r="DC180" t="s">
        <v>3</v>
      </c>
      <c r="DD180" t="s">
        <v>3</v>
      </c>
      <c r="DE180" t="s">
        <v>3</v>
      </c>
      <c r="DF180" t="s">
        <v>3</v>
      </c>
      <c r="DG180" t="s">
        <v>3</v>
      </c>
      <c r="DH180" t="s">
        <v>3</v>
      </c>
      <c r="DI180" t="s">
        <v>3</v>
      </c>
      <c r="DJ180" t="s">
        <v>3</v>
      </c>
      <c r="DK180" t="s">
        <v>3</v>
      </c>
      <c r="DL180" t="s">
        <v>3</v>
      </c>
      <c r="DM180" t="s">
        <v>3</v>
      </c>
      <c r="DN180">
        <v>0</v>
      </c>
      <c r="DO180">
        <v>0</v>
      </c>
      <c r="DP180">
        <v>1</v>
      </c>
      <c r="DQ180">
        <v>1</v>
      </c>
      <c r="DU180">
        <v>1002</v>
      </c>
      <c r="DV180" t="s">
        <v>174</v>
      </c>
      <c r="DW180" t="s">
        <v>174</v>
      </c>
      <c r="DX180">
        <v>1</v>
      </c>
      <c r="DZ180" t="s">
        <v>3</v>
      </c>
      <c r="EA180" t="s">
        <v>3</v>
      </c>
      <c r="EB180" t="s">
        <v>3</v>
      </c>
      <c r="EC180" t="s">
        <v>3</v>
      </c>
      <c r="EE180">
        <v>64095109</v>
      </c>
      <c r="EF180">
        <v>6</v>
      </c>
      <c r="EG180" t="s">
        <v>39</v>
      </c>
      <c r="EH180">
        <v>0</v>
      </c>
      <c r="EI180" t="s">
        <v>3</v>
      </c>
      <c r="EJ180">
        <v>1</v>
      </c>
      <c r="EK180">
        <v>61001</v>
      </c>
      <c r="EL180" t="s">
        <v>607</v>
      </c>
      <c r="EM180" t="s">
        <v>608</v>
      </c>
      <c r="EO180" t="s">
        <v>3</v>
      </c>
      <c r="EQ180">
        <v>0</v>
      </c>
      <c r="ER180">
        <v>43.58</v>
      </c>
      <c r="ES180">
        <v>43.58</v>
      </c>
      <c r="ET180">
        <v>0</v>
      </c>
      <c r="EU180">
        <v>0</v>
      </c>
      <c r="EV180">
        <v>0</v>
      </c>
      <c r="EW180">
        <v>0</v>
      </c>
      <c r="EX180">
        <v>0</v>
      </c>
      <c r="FQ180">
        <v>0</v>
      </c>
      <c r="FR180">
        <f t="shared" si="204"/>
        <v>0</v>
      </c>
      <c r="FS180">
        <v>0</v>
      </c>
      <c r="FX180">
        <v>79</v>
      </c>
      <c r="FY180">
        <v>50</v>
      </c>
      <c r="GA180" t="s">
        <v>3</v>
      </c>
      <c r="GD180">
        <v>1</v>
      </c>
      <c r="GF180">
        <v>-1883530920</v>
      </c>
      <c r="GG180">
        <v>2</v>
      </c>
      <c r="GH180">
        <v>1</v>
      </c>
      <c r="GI180">
        <v>2</v>
      </c>
      <c r="GJ180">
        <v>0</v>
      </c>
      <c r="GK180">
        <v>0</v>
      </c>
      <c r="GL180">
        <f t="shared" si="205"/>
        <v>0</v>
      </c>
      <c r="GM180">
        <f t="shared" si="206"/>
        <v>589.21</v>
      </c>
      <c r="GN180">
        <f t="shared" si="207"/>
        <v>589.21</v>
      </c>
      <c r="GO180">
        <f t="shared" si="208"/>
        <v>0</v>
      </c>
      <c r="GP180">
        <f t="shared" si="209"/>
        <v>0</v>
      </c>
      <c r="GR180">
        <v>0</v>
      </c>
      <c r="GS180">
        <v>3</v>
      </c>
      <c r="GT180">
        <v>0</v>
      </c>
      <c r="GU180" t="s">
        <v>3</v>
      </c>
      <c r="GV180">
        <f t="shared" si="210"/>
        <v>0</v>
      </c>
      <c r="GW180">
        <v>1</v>
      </c>
      <c r="GX180">
        <f t="shared" si="211"/>
        <v>0</v>
      </c>
      <c r="HA180">
        <v>0</v>
      </c>
      <c r="HB180">
        <v>0</v>
      </c>
      <c r="HC180">
        <f t="shared" si="212"/>
        <v>0</v>
      </c>
      <c r="HE180" t="s">
        <v>3</v>
      </c>
      <c r="HF180" t="s">
        <v>3</v>
      </c>
      <c r="IK180">
        <v>0</v>
      </c>
    </row>
    <row r="181" spans="1:245" x14ac:dyDescent="0.2">
      <c r="A181">
        <v>17</v>
      </c>
      <c r="B181">
        <v>1</v>
      </c>
      <c r="C181">
        <f>ROW(SmtRes!A551)</f>
        <v>551</v>
      </c>
      <c r="D181">
        <f>ROW(EtalonRes!A531)</f>
        <v>531</v>
      </c>
      <c r="E181" t="s">
        <v>623</v>
      </c>
      <c r="F181" t="s">
        <v>120</v>
      </c>
      <c r="G181" t="s">
        <v>624</v>
      </c>
      <c r="H181" t="s">
        <v>29</v>
      </c>
      <c r="I181">
        <f>ROUND(1,5)</f>
        <v>1</v>
      </c>
      <c r="J181">
        <v>0</v>
      </c>
      <c r="O181">
        <f t="shared" si="179"/>
        <v>837.89</v>
      </c>
      <c r="P181">
        <f t="shared" si="180"/>
        <v>0</v>
      </c>
      <c r="Q181">
        <f t="shared" si="181"/>
        <v>0</v>
      </c>
      <c r="R181">
        <f t="shared" si="182"/>
        <v>0</v>
      </c>
      <c r="S181">
        <f t="shared" si="183"/>
        <v>837.89</v>
      </c>
      <c r="T181">
        <f t="shared" si="184"/>
        <v>0</v>
      </c>
      <c r="U181">
        <f t="shared" si="185"/>
        <v>2.9186999999999994</v>
      </c>
      <c r="V181">
        <f t="shared" si="186"/>
        <v>0</v>
      </c>
      <c r="W181">
        <f t="shared" si="187"/>
        <v>0</v>
      </c>
      <c r="X181">
        <f t="shared" si="188"/>
        <v>678.69</v>
      </c>
      <c r="Y181">
        <f t="shared" si="189"/>
        <v>603.28</v>
      </c>
      <c r="AA181">
        <v>68990560</v>
      </c>
      <c r="AB181">
        <f t="shared" si="213"/>
        <v>24.9</v>
      </c>
      <c r="AC181">
        <f t="shared" si="178"/>
        <v>0</v>
      </c>
      <c r="AD181">
        <f>ROUND((((((ET181*1.35)*1.25))-(((EU181*1.35)*1.25)))+AE181),2)</f>
        <v>0</v>
      </c>
      <c r="AE181">
        <f>ROUND((((EU181*1.35)*1.25)),2)</f>
        <v>0</v>
      </c>
      <c r="AF181">
        <f>ROUND((((EV181*1.35)*1.15)),2)</f>
        <v>24.9</v>
      </c>
      <c r="AG181">
        <f t="shared" si="191"/>
        <v>0</v>
      </c>
      <c r="AH181">
        <f>(((EW181*1.35)*1.15))</f>
        <v>2.9186999999999994</v>
      </c>
      <c r="AI181">
        <f>(((EX181*1.35)*1.25))</f>
        <v>0</v>
      </c>
      <c r="AJ181">
        <f t="shared" si="192"/>
        <v>0</v>
      </c>
      <c r="AK181">
        <v>16.04</v>
      </c>
      <c r="AL181">
        <v>0</v>
      </c>
      <c r="AM181">
        <v>0</v>
      </c>
      <c r="AN181">
        <v>0</v>
      </c>
      <c r="AO181">
        <v>16.04</v>
      </c>
      <c r="AP181">
        <v>0</v>
      </c>
      <c r="AQ181">
        <v>1.88</v>
      </c>
      <c r="AR181">
        <v>0</v>
      </c>
      <c r="AS181">
        <v>0</v>
      </c>
      <c r="AT181">
        <v>81</v>
      </c>
      <c r="AU181">
        <v>72</v>
      </c>
      <c r="AV181">
        <v>1</v>
      </c>
      <c r="AW181">
        <v>1</v>
      </c>
      <c r="AZ181">
        <v>1</v>
      </c>
      <c r="BA181">
        <v>33.65</v>
      </c>
      <c r="BB181">
        <v>1</v>
      </c>
      <c r="BC181">
        <v>1</v>
      </c>
      <c r="BD181" t="s">
        <v>3</v>
      </c>
      <c r="BE181" t="s">
        <v>3</v>
      </c>
      <c r="BF181" t="s">
        <v>3</v>
      </c>
      <c r="BG181" t="s">
        <v>3</v>
      </c>
      <c r="BH181">
        <v>0</v>
      </c>
      <c r="BI181">
        <v>1</v>
      </c>
      <c r="BJ181" t="s">
        <v>122</v>
      </c>
      <c r="BM181">
        <v>9001</v>
      </c>
      <c r="BN181">
        <v>0</v>
      </c>
      <c r="BO181" t="s">
        <v>120</v>
      </c>
      <c r="BP181">
        <v>1</v>
      </c>
      <c r="BQ181">
        <v>2</v>
      </c>
      <c r="BR181">
        <v>0</v>
      </c>
      <c r="BS181">
        <v>33.65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3</v>
      </c>
      <c r="BZ181">
        <v>90</v>
      </c>
      <c r="CA181">
        <v>85</v>
      </c>
      <c r="CE181">
        <v>0</v>
      </c>
      <c r="CF181">
        <v>0</v>
      </c>
      <c r="CG181">
        <v>0</v>
      </c>
      <c r="CM181">
        <v>0</v>
      </c>
      <c r="CN181" t="s">
        <v>1337</v>
      </c>
      <c r="CO181">
        <v>0</v>
      </c>
      <c r="CP181">
        <f t="shared" si="193"/>
        <v>837.89</v>
      </c>
      <c r="CQ181">
        <f t="shared" si="194"/>
        <v>0</v>
      </c>
      <c r="CR181">
        <f t="shared" si="195"/>
        <v>0</v>
      </c>
      <c r="CS181">
        <f t="shared" si="196"/>
        <v>0</v>
      </c>
      <c r="CT181">
        <f t="shared" si="197"/>
        <v>837.88499999999988</v>
      </c>
      <c r="CU181">
        <f t="shared" si="198"/>
        <v>0</v>
      </c>
      <c r="CV181">
        <f t="shared" si="199"/>
        <v>2.9186999999999994</v>
      </c>
      <c r="CW181">
        <f t="shared" si="200"/>
        <v>0</v>
      </c>
      <c r="CX181">
        <f t="shared" si="201"/>
        <v>0</v>
      </c>
      <c r="CY181">
        <f t="shared" si="202"/>
        <v>678.69089999999994</v>
      </c>
      <c r="CZ181">
        <f t="shared" si="203"/>
        <v>603.2808</v>
      </c>
      <c r="DC181" t="s">
        <v>3</v>
      </c>
      <c r="DD181" t="s">
        <v>3</v>
      </c>
      <c r="DE181" t="s">
        <v>455</v>
      </c>
      <c r="DF181" t="s">
        <v>455</v>
      </c>
      <c r="DG181" t="s">
        <v>456</v>
      </c>
      <c r="DH181" t="s">
        <v>3</v>
      </c>
      <c r="DI181" t="s">
        <v>456</v>
      </c>
      <c r="DJ181" t="s">
        <v>455</v>
      </c>
      <c r="DK181" t="s">
        <v>3</v>
      </c>
      <c r="DL181" t="s">
        <v>3</v>
      </c>
      <c r="DM181" t="s">
        <v>3</v>
      </c>
      <c r="DN181">
        <v>0</v>
      </c>
      <c r="DO181">
        <v>0</v>
      </c>
      <c r="DP181">
        <v>1</v>
      </c>
      <c r="DQ181">
        <v>1</v>
      </c>
      <c r="DU181">
        <v>1013</v>
      </c>
      <c r="DV181" t="s">
        <v>29</v>
      </c>
      <c r="DW181" t="s">
        <v>29</v>
      </c>
      <c r="DX181">
        <v>1</v>
      </c>
      <c r="DZ181" t="s">
        <v>3</v>
      </c>
      <c r="EA181" t="s">
        <v>3</v>
      </c>
      <c r="EB181" t="s">
        <v>3</v>
      </c>
      <c r="EC181" t="s">
        <v>3</v>
      </c>
      <c r="EE181">
        <v>64095025</v>
      </c>
      <c r="EF181">
        <v>2</v>
      </c>
      <c r="EG181" t="s">
        <v>13</v>
      </c>
      <c r="EH181">
        <v>0</v>
      </c>
      <c r="EI181" t="s">
        <v>3</v>
      </c>
      <c r="EJ181">
        <v>1</v>
      </c>
      <c r="EK181">
        <v>9001</v>
      </c>
      <c r="EL181" t="s">
        <v>49</v>
      </c>
      <c r="EM181" t="s">
        <v>50</v>
      </c>
      <c r="EO181" t="s">
        <v>457</v>
      </c>
      <c r="EQ181">
        <v>0</v>
      </c>
      <c r="ER181">
        <v>16.04</v>
      </c>
      <c r="ES181">
        <v>0</v>
      </c>
      <c r="ET181">
        <v>0</v>
      </c>
      <c r="EU181">
        <v>0</v>
      </c>
      <c r="EV181">
        <v>16.04</v>
      </c>
      <c r="EW181">
        <v>1.88</v>
      </c>
      <c r="EX181">
        <v>0</v>
      </c>
      <c r="EY181">
        <v>0</v>
      </c>
      <c r="FQ181">
        <v>0</v>
      </c>
      <c r="FR181">
        <f t="shared" si="204"/>
        <v>0</v>
      </c>
      <c r="FS181">
        <v>0</v>
      </c>
      <c r="FT181" t="s">
        <v>52</v>
      </c>
      <c r="FU181" t="s">
        <v>53</v>
      </c>
      <c r="FX181">
        <v>81</v>
      </c>
      <c r="FY181">
        <v>72.25</v>
      </c>
      <c r="GA181" t="s">
        <v>3</v>
      </c>
      <c r="GD181">
        <v>1</v>
      </c>
      <c r="GF181">
        <v>-294404113</v>
      </c>
      <c r="GG181">
        <v>2</v>
      </c>
      <c r="GH181">
        <v>1</v>
      </c>
      <c r="GI181">
        <v>2</v>
      </c>
      <c r="GJ181">
        <v>0</v>
      </c>
      <c r="GK181">
        <v>0</v>
      </c>
      <c r="GL181">
        <f t="shared" si="205"/>
        <v>0</v>
      </c>
      <c r="GM181">
        <f t="shared" si="206"/>
        <v>2119.86</v>
      </c>
      <c r="GN181">
        <f t="shared" si="207"/>
        <v>2119.86</v>
      </c>
      <c r="GO181">
        <f t="shared" si="208"/>
        <v>0</v>
      </c>
      <c r="GP181">
        <f t="shared" si="209"/>
        <v>0</v>
      </c>
      <c r="GR181">
        <v>0</v>
      </c>
      <c r="GS181">
        <v>3</v>
      </c>
      <c r="GT181">
        <v>0</v>
      </c>
      <c r="GU181" t="s">
        <v>3</v>
      </c>
      <c r="GV181">
        <f t="shared" si="210"/>
        <v>0</v>
      </c>
      <c r="GW181">
        <v>1</v>
      </c>
      <c r="GX181">
        <f t="shared" si="211"/>
        <v>0</v>
      </c>
      <c r="HA181">
        <v>0</v>
      </c>
      <c r="HB181">
        <v>0</v>
      </c>
      <c r="HC181">
        <f t="shared" si="212"/>
        <v>0</v>
      </c>
      <c r="HE181" t="s">
        <v>3</v>
      </c>
      <c r="HF181" t="s">
        <v>3</v>
      </c>
      <c r="IK181">
        <v>0</v>
      </c>
    </row>
    <row r="183" spans="1:245" x14ac:dyDescent="0.2">
      <c r="A183" s="2">
        <v>51</v>
      </c>
      <c r="B183" s="2">
        <f>B24</f>
        <v>1</v>
      </c>
      <c r="C183" s="2">
        <f>A24</f>
        <v>4</v>
      </c>
      <c r="D183" s="2">
        <f>ROW(A24)</f>
        <v>24</v>
      </c>
      <c r="E183" s="2"/>
      <c r="F183" s="2" t="str">
        <f>IF(F24&lt;&gt;"",F24,"")</f>
        <v>Новый раздел</v>
      </c>
      <c r="G183" s="2" t="str">
        <f>IF(G24&lt;&gt;"",G24,"")</f>
        <v>Общестроительные работы</v>
      </c>
      <c r="H183" s="2">
        <v>0</v>
      </c>
      <c r="I183" s="2"/>
      <c r="J183" s="2"/>
      <c r="K183" s="2"/>
      <c r="L183" s="2"/>
      <c r="M183" s="2"/>
      <c r="N183" s="2"/>
      <c r="O183" s="2">
        <f t="shared" ref="O183:T183" si="214">ROUND(AB183,2)</f>
        <v>577695.47</v>
      </c>
      <c r="P183" s="2">
        <f t="shared" si="214"/>
        <v>387467.76</v>
      </c>
      <c r="Q183" s="2">
        <f t="shared" si="214"/>
        <v>11372.23</v>
      </c>
      <c r="R183" s="2">
        <f t="shared" si="214"/>
        <v>4294.66</v>
      </c>
      <c r="S183" s="2">
        <f t="shared" si="214"/>
        <v>178855.48</v>
      </c>
      <c r="T183" s="2">
        <f t="shared" si="214"/>
        <v>0</v>
      </c>
      <c r="U183" s="2">
        <f>AH183</f>
        <v>581.09347615499996</v>
      </c>
      <c r="V183" s="2">
        <f>AI183</f>
        <v>10.644193267499999</v>
      </c>
      <c r="W183" s="2">
        <f>ROUND(AJ183,2)</f>
        <v>0</v>
      </c>
      <c r="X183" s="2">
        <f>ROUND(AK183,2)</f>
        <v>164908.65</v>
      </c>
      <c r="Y183" s="2">
        <f>ROUND(AL183,2)</f>
        <v>101502.49</v>
      </c>
      <c r="Z183" s="2"/>
      <c r="AA183" s="2"/>
      <c r="AB183" s="2">
        <f>ROUND(SUMIF(AA28:AA181,"=68990560",O28:O181),2)</f>
        <v>577695.47</v>
      </c>
      <c r="AC183" s="2">
        <f>ROUND(SUMIF(AA28:AA181,"=68990560",P28:P181),2)</f>
        <v>387467.76</v>
      </c>
      <c r="AD183" s="2">
        <f>ROUND(SUMIF(AA28:AA181,"=68990560",Q28:Q181),2)</f>
        <v>11372.23</v>
      </c>
      <c r="AE183" s="2">
        <f>ROUND(SUMIF(AA28:AA181,"=68990560",R28:R181),2)</f>
        <v>4294.66</v>
      </c>
      <c r="AF183" s="2">
        <f>ROUND(SUMIF(AA28:AA181,"=68990560",S28:S181),2)</f>
        <v>178855.48</v>
      </c>
      <c r="AG183" s="2">
        <f>ROUND(SUMIF(AA28:AA181,"=68990560",T28:T181),2)</f>
        <v>0</v>
      </c>
      <c r="AH183" s="2">
        <f>SUMIF(AA28:AA181,"=68990560",U28:U181)</f>
        <v>581.09347615499996</v>
      </c>
      <c r="AI183" s="2">
        <f>SUMIF(AA28:AA181,"=68990560",V28:V181)</f>
        <v>10.644193267499999</v>
      </c>
      <c r="AJ183" s="2">
        <f>ROUND(SUMIF(AA28:AA181,"=68990560",W28:W181),2)</f>
        <v>0</v>
      </c>
      <c r="AK183" s="2">
        <f>ROUND(SUMIF(AA28:AA181,"=68990560",X28:X181),2)</f>
        <v>164908.65</v>
      </c>
      <c r="AL183" s="2">
        <f>ROUND(SUMIF(AA28:AA181,"=68990560",Y28:Y181),2)</f>
        <v>101502.49</v>
      </c>
      <c r="AM183" s="2"/>
      <c r="AN183" s="2"/>
      <c r="AO183" s="2">
        <f t="shared" ref="AO183:BD183" si="215">ROUND(BX183,2)</f>
        <v>0</v>
      </c>
      <c r="AP183" s="2">
        <f t="shared" si="215"/>
        <v>0</v>
      </c>
      <c r="AQ183" s="2">
        <f t="shared" si="215"/>
        <v>0</v>
      </c>
      <c r="AR183" s="2">
        <f t="shared" si="215"/>
        <v>844106.61</v>
      </c>
      <c r="AS183" s="2">
        <f t="shared" si="215"/>
        <v>566976.31999999995</v>
      </c>
      <c r="AT183" s="2">
        <f t="shared" si="215"/>
        <v>277130.28999999998</v>
      </c>
      <c r="AU183" s="2">
        <f t="shared" si="215"/>
        <v>0</v>
      </c>
      <c r="AV183" s="2">
        <f t="shared" si="215"/>
        <v>387467.76</v>
      </c>
      <c r="AW183" s="2">
        <f t="shared" si="215"/>
        <v>387467.76</v>
      </c>
      <c r="AX183" s="2">
        <f t="shared" si="215"/>
        <v>0</v>
      </c>
      <c r="AY183" s="2">
        <f t="shared" si="215"/>
        <v>387467.76</v>
      </c>
      <c r="AZ183" s="2">
        <f t="shared" si="215"/>
        <v>0</v>
      </c>
      <c r="BA183" s="2">
        <f t="shared" si="215"/>
        <v>0</v>
      </c>
      <c r="BB183" s="2">
        <f t="shared" si="215"/>
        <v>0</v>
      </c>
      <c r="BC183" s="2">
        <f t="shared" si="215"/>
        <v>0</v>
      </c>
      <c r="BD183" s="2">
        <f t="shared" si="215"/>
        <v>0</v>
      </c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>
        <f>ROUND(SUMIF(AA28:AA181,"=68990560",FQ28:FQ181),2)</f>
        <v>0</v>
      </c>
      <c r="BY183" s="2">
        <f>ROUND(SUMIF(AA28:AA181,"=68990560",FR28:FR181),2)</f>
        <v>0</v>
      </c>
      <c r="BZ183" s="2">
        <f>ROUND(SUMIF(AA28:AA181,"=68990560",GL28:GL181),2)</f>
        <v>0</v>
      </c>
      <c r="CA183" s="2">
        <f>ROUND(SUMIF(AA28:AA181,"=68990560",GM28:GM181),2)</f>
        <v>844106.61</v>
      </c>
      <c r="CB183" s="2">
        <f>ROUND(SUMIF(AA28:AA181,"=68990560",GN28:GN181),2)</f>
        <v>566976.31999999995</v>
      </c>
      <c r="CC183" s="2">
        <f>ROUND(SUMIF(AA28:AA181,"=68990560",GO28:GO181),2)</f>
        <v>277130.28999999998</v>
      </c>
      <c r="CD183" s="2">
        <f>ROUND(SUMIF(AA28:AA181,"=68990560",GP28:GP181),2)</f>
        <v>0</v>
      </c>
      <c r="CE183" s="2">
        <f>AC183-BX183</f>
        <v>387467.76</v>
      </c>
      <c r="CF183" s="2">
        <f>AC183-BY183</f>
        <v>387467.76</v>
      </c>
      <c r="CG183" s="2">
        <f>BX183-BZ183</f>
        <v>0</v>
      </c>
      <c r="CH183" s="2">
        <f>AC183-BX183-BY183+BZ183</f>
        <v>387467.76</v>
      </c>
      <c r="CI183" s="2">
        <f>BY183-BZ183</f>
        <v>0</v>
      </c>
      <c r="CJ183" s="2">
        <f>ROUND(SUMIF(AA28:AA181,"=68990560",GX28:GX181),2)</f>
        <v>0</v>
      </c>
      <c r="CK183" s="2">
        <f>ROUND(SUMIF(AA28:AA181,"=68990560",GY28:GY181),2)</f>
        <v>0</v>
      </c>
      <c r="CL183" s="2">
        <f>ROUND(SUMIF(AA28:AA181,"=68990560",GZ28:GZ181),2)</f>
        <v>0</v>
      </c>
      <c r="CM183" s="2">
        <f>ROUND(SUMIF(AA28:AA181,"=68990560",HD28:HD181),2)</f>
        <v>0</v>
      </c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  <c r="DZ183" s="3"/>
      <c r="EA183" s="3"/>
      <c r="EB183" s="3"/>
      <c r="EC183" s="3"/>
      <c r="ED183" s="3"/>
      <c r="EE183" s="3"/>
      <c r="EF183" s="3"/>
      <c r="EG183" s="3"/>
      <c r="EH183" s="3"/>
      <c r="EI183" s="3"/>
      <c r="EJ183" s="3"/>
      <c r="EK183" s="3"/>
      <c r="EL183" s="3"/>
      <c r="EM183" s="3"/>
      <c r="EN183" s="3"/>
      <c r="EO183" s="3"/>
      <c r="EP183" s="3"/>
      <c r="EQ183" s="3"/>
      <c r="ER183" s="3"/>
      <c r="ES183" s="3"/>
      <c r="ET183" s="3"/>
      <c r="EU183" s="3"/>
      <c r="EV183" s="3"/>
      <c r="EW183" s="3"/>
      <c r="EX183" s="3"/>
      <c r="EY183" s="3"/>
      <c r="EZ183" s="3"/>
      <c r="FA183" s="3"/>
      <c r="FB183" s="3"/>
      <c r="FC183" s="3"/>
      <c r="FD183" s="3"/>
      <c r="FE183" s="3"/>
      <c r="FF183" s="3"/>
      <c r="FG183" s="3"/>
      <c r="FH183" s="3"/>
      <c r="FI183" s="3"/>
      <c r="FJ183" s="3"/>
      <c r="FK183" s="3"/>
      <c r="FL183" s="3"/>
      <c r="FM183" s="3"/>
      <c r="FN183" s="3"/>
      <c r="FO183" s="3"/>
      <c r="FP183" s="3"/>
      <c r="FQ183" s="3"/>
      <c r="FR183" s="3"/>
      <c r="FS183" s="3"/>
      <c r="FT183" s="3"/>
      <c r="FU183" s="3"/>
      <c r="FV183" s="3"/>
      <c r="FW183" s="3"/>
      <c r="FX183" s="3"/>
      <c r="FY183" s="3"/>
      <c r="FZ183" s="3"/>
      <c r="GA183" s="3"/>
      <c r="GB183" s="3"/>
      <c r="GC183" s="3"/>
      <c r="GD183" s="3"/>
      <c r="GE183" s="3"/>
      <c r="GF183" s="3"/>
      <c r="GG183" s="3"/>
      <c r="GH183" s="3"/>
      <c r="GI183" s="3"/>
      <c r="GJ183" s="3"/>
      <c r="GK183" s="3"/>
      <c r="GL183" s="3"/>
      <c r="GM183" s="3"/>
      <c r="GN183" s="3"/>
      <c r="GO183" s="3"/>
      <c r="GP183" s="3"/>
      <c r="GQ183" s="3"/>
      <c r="GR183" s="3"/>
      <c r="GS183" s="3"/>
      <c r="GT183" s="3"/>
      <c r="GU183" s="3"/>
      <c r="GV183" s="3"/>
      <c r="GW183" s="3"/>
      <c r="GX183" s="3">
        <v>0</v>
      </c>
    </row>
    <row r="185" spans="1:245" x14ac:dyDescent="0.2">
      <c r="A185" s="4">
        <v>50</v>
      </c>
      <c r="B185" s="4">
        <v>0</v>
      </c>
      <c r="C185" s="4">
        <v>0</v>
      </c>
      <c r="D185" s="4">
        <v>1</v>
      </c>
      <c r="E185" s="4">
        <v>201</v>
      </c>
      <c r="F185" s="4">
        <f>ROUND(Source!O183,O185)</f>
        <v>577695.47</v>
      </c>
      <c r="G185" s="4" t="s">
        <v>625</v>
      </c>
      <c r="H185" s="4" t="s">
        <v>626</v>
      </c>
      <c r="I185" s="4"/>
      <c r="J185" s="4"/>
      <c r="K185" s="4">
        <v>201</v>
      </c>
      <c r="L185" s="4">
        <v>1</v>
      </c>
      <c r="M185" s="4">
        <v>3</v>
      </c>
      <c r="N185" s="4" t="s">
        <v>3</v>
      </c>
      <c r="O185" s="4">
        <v>2</v>
      </c>
      <c r="P185" s="4"/>
      <c r="Q185" s="4"/>
      <c r="R185" s="4"/>
      <c r="S185" s="4"/>
      <c r="T185" s="4"/>
      <c r="U185" s="4"/>
      <c r="V185" s="4"/>
      <c r="W185" s="4"/>
    </row>
    <row r="186" spans="1:245" x14ac:dyDescent="0.2">
      <c r="A186" s="4">
        <v>50</v>
      </c>
      <c r="B186" s="4">
        <v>0</v>
      </c>
      <c r="C186" s="4">
        <v>0</v>
      </c>
      <c r="D186" s="4">
        <v>1</v>
      </c>
      <c r="E186" s="4">
        <v>202</v>
      </c>
      <c r="F186" s="4">
        <f>ROUND(Source!P183,O186)</f>
        <v>387467.76</v>
      </c>
      <c r="G186" s="4" t="s">
        <v>627</v>
      </c>
      <c r="H186" s="4" t="s">
        <v>628</v>
      </c>
      <c r="I186" s="4"/>
      <c r="J186" s="4"/>
      <c r="K186" s="4">
        <v>202</v>
      </c>
      <c r="L186" s="4">
        <v>2</v>
      </c>
      <c r="M186" s="4">
        <v>3</v>
      </c>
      <c r="N186" s="4" t="s">
        <v>3</v>
      </c>
      <c r="O186" s="4">
        <v>2</v>
      </c>
      <c r="P186" s="4"/>
      <c r="Q186" s="4"/>
      <c r="R186" s="4"/>
      <c r="S186" s="4"/>
      <c r="T186" s="4"/>
      <c r="U186" s="4"/>
      <c r="V186" s="4"/>
      <c r="W186" s="4"/>
    </row>
    <row r="187" spans="1:245" x14ac:dyDescent="0.2">
      <c r="A187" s="4">
        <v>50</v>
      </c>
      <c r="B187" s="4">
        <v>0</v>
      </c>
      <c r="C187" s="4">
        <v>0</v>
      </c>
      <c r="D187" s="4">
        <v>1</v>
      </c>
      <c r="E187" s="4">
        <v>222</v>
      </c>
      <c r="F187" s="4">
        <f>ROUND(Source!AO183,O187)</f>
        <v>0</v>
      </c>
      <c r="G187" s="4" t="s">
        <v>629</v>
      </c>
      <c r="H187" s="4" t="s">
        <v>630</v>
      </c>
      <c r="I187" s="4"/>
      <c r="J187" s="4"/>
      <c r="K187" s="4">
        <v>222</v>
      </c>
      <c r="L187" s="4">
        <v>3</v>
      </c>
      <c r="M187" s="4">
        <v>3</v>
      </c>
      <c r="N187" s="4" t="s">
        <v>3</v>
      </c>
      <c r="O187" s="4">
        <v>2</v>
      </c>
      <c r="P187" s="4"/>
      <c r="Q187" s="4"/>
      <c r="R187" s="4"/>
      <c r="S187" s="4"/>
      <c r="T187" s="4"/>
      <c r="U187" s="4"/>
      <c r="V187" s="4"/>
      <c r="W187" s="4"/>
    </row>
    <row r="188" spans="1:245" x14ac:dyDescent="0.2">
      <c r="A188" s="4">
        <v>50</v>
      </c>
      <c r="B188" s="4">
        <v>0</v>
      </c>
      <c r="C188" s="4">
        <v>0</v>
      </c>
      <c r="D188" s="4">
        <v>1</v>
      </c>
      <c r="E188" s="4">
        <v>225</v>
      </c>
      <c r="F188" s="4">
        <f>ROUND(Source!AV183,O188)</f>
        <v>387467.76</v>
      </c>
      <c r="G188" s="4" t="s">
        <v>631</v>
      </c>
      <c r="H188" s="4" t="s">
        <v>632</v>
      </c>
      <c r="I188" s="4"/>
      <c r="J188" s="4"/>
      <c r="K188" s="4">
        <v>225</v>
      </c>
      <c r="L188" s="4">
        <v>4</v>
      </c>
      <c r="M188" s="4">
        <v>3</v>
      </c>
      <c r="N188" s="4" t="s">
        <v>3</v>
      </c>
      <c r="O188" s="4">
        <v>2</v>
      </c>
      <c r="P188" s="4"/>
      <c r="Q188" s="4"/>
      <c r="R188" s="4"/>
      <c r="S188" s="4"/>
      <c r="T188" s="4"/>
      <c r="U188" s="4"/>
      <c r="V188" s="4"/>
      <c r="W188" s="4"/>
    </row>
    <row r="189" spans="1:245" x14ac:dyDescent="0.2">
      <c r="A189" s="4">
        <v>50</v>
      </c>
      <c r="B189" s="4">
        <v>0</v>
      </c>
      <c r="C189" s="4">
        <v>0</v>
      </c>
      <c r="D189" s="4">
        <v>1</v>
      </c>
      <c r="E189" s="4">
        <v>226</v>
      </c>
      <c r="F189" s="4">
        <f>ROUND(Source!AW183,O189)</f>
        <v>387467.76</v>
      </c>
      <c r="G189" s="4" t="s">
        <v>633</v>
      </c>
      <c r="H189" s="4" t="s">
        <v>634</v>
      </c>
      <c r="I189" s="4"/>
      <c r="J189" s="4"/>
      <c r="K189" s="4">
        <v>226</v>
      </c>
      <c r="L189" s="4">
        <v>5</v>
      </c>
      <c r="M189" s="4">
        <v>3</v>
      </c>
      <c r="N189" s="4" t="s">
        <v>3</v>
      </c>
      <c r="O189" s="4">
        <v>2</v>
      </c>
      <c r="P189" s="4"/>
      <c r="Q189" s="4"/>
      <c r="R189" s="4"/>
      <c r="S189" s="4"/>
      <c r="T189" s="4"/>
      <c r="U189" s="4"/>
      <c r="V189" s="4"/>
      <c r="W189" s="4"/>
    </row>
    <row r="190" spans="1:245" x14ac:dyDescent="0.2">
      <c r="A190" s="4">
        <v>50</v>
      </c>
      <c r="B190" s="4">
        <v>0</v>
      </c>
      <c r="C190" s="4">
        <v>0</v>
      </c>
      <c r="D190" s="4">
        <v>1</v>
      </c>
      <c r="E190" s="4">
        <v>227</v>
      </c>
      <c r="F190" s="4">
        <f>ROUND(Source!AX183,O190)</f>
        <v>0</v>
      </c>
      <c r="G190" s="4" t="s">
        <v>635</v>
      </c>
      <c r="H190" s="4" t="s">
        <v>636</v>
      </c>
      <c r="I190" s="4"/>
      <c r="J190" s="4"/>
      <c r="K190" s="4">
        <v>227</v>
      </c>
      <c r="L190" s="4">
        <v>6</v>
      </c>
      <c r="M190" s="4">
        <v>3</v>
      </c>
      <c r="N190" s="4" t="s">
        <v>3</v>
      </c>
      <c r="O190" s="4">
        <v>2</v>
      </c>
      <c r="P190" s="4"/>
      <c r="Q190" s="4"/>
      <c r="R190" s="4"/>
      <c r="S190" s="4"/>
      <c r="T190" s="4"/>
      <c r="U190" s="4"/>
      <c r="V190" s="4"/>
      <c r="W190" s="4"/>
    </row>
    <row r="191" spans="1:245" x14ac:dyDescent="0.2">
      <c r="A191" s="4">
        <v>50</v>
      </c>
      <c r="B191" s="4">
        <v>0</v>
      </c>
      <c r="C191" s="4">
        <v>0</v>
      </c>
      <c r="D191" s="4">
        <v>1</v>
      </c>
      <c r="E191" s="4">
        <v>228</v>
      </c>
      <c r="F191" s="4">
        <f>ROUND(Source!AY183,O191)</f>
        <v>387467.76</v>
      </c>
      <c r="G191" s="4" t="s">
        <v>637</v>
      </c>
      <c r="H191" s="4" t="s">
        <v>638</v>
      </c>
      <c r="I191" s="4"/>
      <c r="J191" s="4"/>
      <c r="K191" s="4">
        <v>228</v>
      </c>
      <c r="L191" s="4">
        <v>7</v>
      </c>
      <c r="M191" s="4">
        <v>3</v>
      </c>
      <c r="N191" s="4" t="s">
        <v>3</v>
      </c>
      <c r="O191" s="4">
        <v>2</v>
      </c>
      <c r="P191" s="4"/>
      <c r="Q191" s="4"/>
      <c r="R191" s="4"/>
      <c r="S191" s="4"/>
      <c r="T191" s="4"/>
      <c r="U191" s="4"/>
      <c r="V191" s="4"/>
      <c r="W191" s="4"/>
    </row>
    <row r="192" spans="1:245" x14ac:dyDescent="0.2">
      <c r="A192" s="4">
        <v>50</v>
      </c>
      <c r="B192" s="4">
        <v>0</v>
      </c>
      <c r="C192" s="4">
        <v>0</v>
      </c>
      <c r="D192" s="4">
        <v>1</v>
      </c>
      <c r="E192" s="4">
        <v>216</v>
      </c>
      <c r="F192" s="4">
        <f>ROUND(Source!AP183,O192)</f>
        <v>0</v>
      </c>
      <c r="G192" s="4" t="s">
        <v>639</v>
      </c>
      <c r="H192" s="4" t="s">
        <v>640</v>
      </c>
      <c r="I192" s="4"/>
      <c r="J192" s="4"/>
      <c r="K192" s="4">
        <v>216</v>
      </c>
      <c r="L192" s="4">
        <v>8</v>
      </c>
      <c r="M192" s="4">
        <v>3</v>
      </c>
      <c r="N192" s="4" t="s">
        <v>3</v>
      </c>
      <c r="O192" s="4">
        <v>2</v>
      </c>
      <c r="P192" s="4"/>
      <c r="Q192" s="4"/>
      <c r="R192" s="4"/>
      <c r="S192" s="4"/>
      <c r="T192" s="4"/>
      <c r="U192" s="4"/>
      <c r="V192" s="4"/>
      <c r="W192" s="4"/>
    </row>
    <row r="193" spans="1:23" x14ac:dyDescent="0.2">
      <c r="A193" s="4">
        <v>50</v>
      </c>
      <c r="B193" s="4">
        <v>0</v>
      </c>
      <c r="C193" s="4">
        <v>0</v>
      </c>
      <c r="D193" s="4">
        <v>1</v>
      </c>
      <c r="E193" s="4">
        <v>223</v>
      </c>
      <c r="F193" s="4">
        <f>ROUND(Source!AQ183,O193)</f>
        <v>0</v>
      </c>
      <c r="G193" s="4" t="s">
        <v>641</v>
      </c>
      <c r="H193" s="4" t="s">
        <v>642</v>
      </c>
      <c r="I193" s="4"/>
      <c r="J193" s="4"/>
      <c r="K193" s="4">
        <v>223</v>
      </c>
      <c r="L193" s="4">
        <v>9</v>
      </c>
      <c r="M193" s="4">
        <v>3</v>
      </c>
      <c r="N193" s="4" t="s">
        <v>3</v>
      </c>
      <c r="O193" s="4">
        <v>2</v>
      </c>
      <c r="P193" s="4"/>
      <c r="Q193" s="4"/>
      <c r="R193" s="4"/>
      <c r="S193" s="4"/>
      <c r="T193" s="4"/>
      <c r="U193" s="4"/>
      <c r="V193" s="4"/>
      <c r="W193" s="4"/>
    </row>
    <row r="194" spans="1:23" x14ac:dyDescent="0.2">
      <c r="A194" s="4">
        <v>50</v>
      </c>
      <c r="B194" s="4">
        <v>0</v>
      </c>
      <c r="C194" s="4">
        <v>0</v>
      </c>
      <c r="D194" s="4">
        <v>1</v>
      </c>
      <c r="E194" s="4">
        <v>229</v>
      </c>
      <c r="F194" s="4">
        <f>ROUND(Source!AZ183,O194)</f>
        <v>0</v>
      </c>
      <c r="G194" s="4" t="s">
        <v>643</v>
      </c>
      <c r="H194" s="4" t="s">
        <v>644</v>
      </c>
      <c r="I194" s="4"/>
      <c r="J194" s="4"/>
      <c r="K194" s="4">
        <v>229</v>
      </c>
      <c r="L194" s="4">
        <v>10</v>
      </c>
      <c r="M194" s="4">
        <v>3</v>
      </c>
      <c r="N194" s="4" t="s">
        <v>3</v>
      </c>
      <c r="O194" s="4">
        <v>2</v>
      </c>
      <c r="P194" s="4"/>
      <c r="Q194" s="4"/>
      <c r="R194" s="4"/>
      <c r="S194" s="4"/>
      <c r="T194" s="4"/>
      <c r="U194" s="4"/>
      <c r="V194" s="4"/>
      <c r="W194" s="4"/>
    </row>
    <row r="195" spans="1:23" x14ac:dyDescent="0.2">
      <c r="A195" s="4">
        <v>50</v>
      </c>
      <c r="B195" s="4">
        <v>0</v>
      </c>
      <c r="C195" s="4">
        <v>0</v>
      </c>
      <c r="D195" s="4">
        <v>1</v>
      </c>
      <c r="E195" s="4">
        <v>203</v>
      </c>
      <c r="F195" s="4">
        <f>ROUND(Source!Q183,O195)</f>
        <v>11372.23</v>
      </c>
      <c r="G195" s="4" t="s">
        <v>645</v>
      </c>
      <c r="H195" s="4" t="s">
        <v>646</v>
      </c>
      <c r="I195" s="4"/>
      <c r="J195" s="4"/>
      <c r="K195" s="4">
        <v>203</v>
      </c>
      <c r="L195" s="4">
        <v>11</v>
      </c>
      <c r="M195" s="4">
        <v>3</v>
      </c>
      <c r="N195" s="4" t="s">
        <v>3</v>
      </c>
      <c r="O195" s="4">
        <v>2</v>
      </c>
      <c r="P195" s="4"/>
      <c r="Q195" s="4"/>
      <c r="R195" s="4"/>
      <c r="S195" s="4"/>
      <c r="T195" s="4"/>
      <c r="U195" s="4"/>
      <c r="V195" s="4"/>
      <c r="W195" s="4"/>
    </row>
    <row r="196" spans="1:23" x14ac:dyDescent="0.2">
      <c r="A196" s="4">
        <v>50</v>
      </c>
      <c r="B196" s="4">
        <v>0</v>
      </c>
      <c r="C196" s="4">
        <v>0</v>
      </c>
      <c r="D196" s="4">
        <v>1</v>
      </c>
      <c r="E196" s="4">
        <v>231</v>
      </c>
      <c r="F196" s="4">
        <f>ROUND(Source!BB183,O196)</f>
        <v>0</v>
      </c>
      <c r="G196" s="4" t="s">
        <v>647</v>
      </c>
      <c r="H196" s="4" t="s">
        <v>648</v>
      </c>
      <c r="I196" s="4"/>
      <c r="J196" s="4"/>
      <c r="K196" s="4">
        <v>231</v>
      </c>
      <c r="L196" s="4">
        <v>12</v>
      </c>
      <c r="M196" s="4">
        <v>3</v>
      </c>
      <c r="N196" s="4" t="s">
        <v>3</v>
      </c>
      <c r="O196" s="4">
        <v>2</v>
      </c>
      <c r="P196" s="4"/>
      <c r="Q196" s="4"/>
      <c r="R196" s="4"/>
      <c r="S196" s="4"/>
      <c r="T196" s="4"/>
      <c r="U196" s="4"/>
      <c r="V196" s="4"/>
      <c r="W196" s="4"/>
    </row>
    <row r="197" spans="1:23" x14ac:dyDescent="0.2">
      <c r="A197" s="4">
        <v>50</v>
      </c>
      <c r="B197" s="4">
        <v>0</v>
      </c>
      <c r="C197" s="4">
        <v>0</v>
      </c>
      <c r="D197" s="4">
        <v>1</v>
      </c>
      <c r="E197" s="4">
        <v>204</v>
      </c>
      <c r="F197" s="4">
        <f>ROUND(Source!R183,O197)</f>
        <v>4294.66</v>
      </c>
      <c r="G197" s="4" t="s">
        <v>649</v>
      </c>
      <c r="H197" s="4" t="s">
        <v>650</v>
      </c>
      <c r="I197" s="4"/>
      <c r="J197" s="4"/>
      <c r="K197" s="4">
        <v>204</v>
      </c>
      <c r="L197" s="4">
        <v>13</v>
      </c>
      <c r="M197" s="4">
        <v>3</v>
      </c>
      <c r="N197" s="4" t="s">
        <v>3</v>
      </c>
      <c r="O197" s="4">
        <v>2</v>
      </c>
      <c r="P197" s="4"/>
      <c r="Q197" s="4"/>
      <c r="R197" s="4"/>
      <c r="S197" s="4"/>
      <c r="T197" s="4"/>
      <c r="U197" s="4"/>
      <c r="V197" s="4"/>
      <c r="W197" s="4"/>
    </row>
    <row r="198" spans="1:23" x14ac:dyDescent="0.2">
      <c r="A198" s="4">
        <v>50</v>
      </c>
      <c r="B198" s="4">
        <v>0</v>
      </c>
      <c r="C198" s="4">
        <v>0</v>
      </c>
      <c r="D198" s="4">
        <v>1</v>
      </c>
      <c r="E198" s="4">
        <v>205</v>
      </c>
      <c r="F198" s="4">
        <f>ROUND(Source!S183,O198)</f>
        <v>178855.48</v>
      </c>
      <c r="G198" s="4" t="s">
        <v>651</v>
      </c>
      <c r="H198" s="4" t="s">
        <v>652</v>
      </c>
      <c r="I198" s="4"/>
      <c r="J198" s="4"/>
      <c r="K198" s="4">
        <v>205</v>
      </c>
      <c r="L198" s="4">
        <v>14</v>
      </c>
      <c r="M198" s="4">
        <v>3</v>
      </c>
      <c r="N198" s="4" t="s">
        <v>3</v>
      </c>
      <c r="O198" s="4">
        <v>2</v>
      </c>
      <c r="P198" s="4"/>
      <c r="Q198" s="4"/>
      <c r="R198" s="4"/>
      <c r="S198" s="4"/>
      <c r="T198" s="4"/>
      <c r="U198" s="4"/>
      <c r="V198" s="4"/>
      <c r="W198" s="4"/>
    </row>
    <row r="199" spans="1:23" x14ac:dyDescent="0.2">
      <c r="A199" s="4">
        <v>50</v>
      </c>
      <c r="B199" s="4">
        <v>0</v>
      </c>
      <c r="C199" s="4">
        <v>0</v>
      </c>
      <c r="D199" s="4">
        <v>1</v>
      </c>
      <c r="E199" s="4">
        <v>232</v>
      </c>
      <c r="F199" s="4">
        <f>ROUND(Source!BC183,O199)</f>
        <v>0</v>
      </c>
      <c r="G199" s="4" t="s">
        <v>653</v>
      </c>
      <c r="H199" s="4" t="s">
        <v>654</v>
      </c>
      <c r="I199" s="4"/>
      <c r="J199" s="4"/>
      <c r="K199" s="4">
        <v>232</v>
      </c>
      <c r="L199" s="4">
        <v>15</v>
      </c>
      <c r="M199" s="4">
        <v>3</v>
      </c>
      <c r="N199" s="4" t="s">
        <v>3</v>
      </c>
      <c r="O199" s="4">
        <v>2</v>
      </c>
      <c r="P199" s="4"/>
      <c r="Q199" s="4"/>
      <c r="R199" s="4"/>
      <c r="S199" s="4"/>
      <c r="T199" s="4"/>
      <c r="U199" s="4"/>
      <c r="V199" s="4"/>
      <c r="W199" s="4"/>
    </row>
    <row r="200" spans="1:23" x14ac:dyDescent="0.2">
      <c r="A200" s="4">
        <v>50</v>
      </c>
      <c r="B200" s="4">
        <v>0</v>
      </c>
      <c r="C200" s="4">
        <v>0</v>
      </c>
      <c r="D200" s="4">
        <v>1</v>
      </c>
      <c r="E200" s="4">
        <v>214</v>
      </c>
      <c r="F200" s="4">
        <f>ROUND(Source!AS183,O200)</f>
        <v>566976.31999999995</v>
      </c>
      <c r="G200" s="4" t="s">
        <v>655</v>
      </c>
      <c r="H200" s="4" t="s">
        <v>656</v>
      </c>
      <c r="I200" s="4"/>
      <c r="J200" s="4"/>
      <c r="K200" s="4">
        <v>214</v>
      </c>
      <c r="L200" s="4">
        <v>16</v>
      </c>
      <c r="M200" s="4">
        <v>3</v>
      </c>
      <c r="N200" s="4" t="s">
        <v>3</v>
      </c>
      <c r="O200" s="4">
        <v>2</v>
      </c>
      <c r="P200" s="4"/>
      <c r="Q200" s="4"/>
      <c r="R200" s="4"/>
      <c r="S200" s="4"/>
      <c r="T200" s="4"/>
      <c r="U200" s="4"/>
      <c r="V200" s="4"/>
      <c r="W200" s="4"/>
    </row>
    <row r="201" spans="1:23" x14ac:dyDescent="0.2">
      <c r="A201" s="4">
        <v>50</v>
      </c>
      <c r="B201" s="4">
        <v>0</v>
      </c>
      <c r="C201" s="4">
        <v>0</v>
      </c>
      <c r="D201" s="4">
        <v>1</v>
      </c>
      <c r="E201" s="4">
        <v>215</v>
      </c>
      <c r="F201" s="4">
        <f>ROUND(Source!AT183,O201)</f>
        <v>277130.28999999998</v>
      </c>
      <c r="G201" s="4" t="s">
        <v>657</v>
      </c>
      <c r="H201" s="4" t="s">
        <v>658</v>
      </c>
      <c r="I201" s="4"/>
      <c r="J201" s="4"/>
      <c r="K201" s="4">
        <v>215</v>
      </c>
      <c r="L201" s="4">
        <v>17</v>
      </c>
      <c r="M201" s="4">
        <v>3</v>
      </c>
      <c r="N201" s="4" t="s">
        <v>3</v>
      </c>
      <c r="O201" s="4">
        <v>2</v>
      </c>
      <c r="P201" s="4"/>
      <c r="Q201" s="4"/>
      <c r="R201" s="4"/>
      <c r="S201" s="4"/>
      <c r="T201" s="4"/>
      <c r="U201" s="4"/>
      <c r="V201" s="4"/>
      <c r="W201" s="4"/>
    </row>
    <row r="202" spans="1:23" x14ac:dyDescent="0.2">
      <c r="A202" s="4">
        <v>50</v>
      </c>
      <c r="B202" s="4">
        <v>0</v>
      </c>
      <c r="C202" s="4">
        <v>0</v>
      </c>
      <c r="D202" s="4">
        <v>1</v>
      </c>
      <c r="E202" s="4">
        <v>217</v>
      </c>
      <c r="F202" s="4">
        <f>ROUND(Source!AU183,O202)</f>
        <v>0</v>
      </c>
      <c r="G202" s="4" t="s">
        <v>659</v>
      </c>
      <c r="H202" s="4" t="s">
        <v>660</v>
      </c>
      <c r="I202" s="4"/>
      <c r="J202" s="4"/>
      <c r="K202" s="4">
        <v>217</v>
      </c>
      <c r="L202" s="4">
        <v>18</v>
      </c>
      <c r="M202" s="4">
        <v>3</v>
      </c>
      <c r="N202" s="4" t="s">
        <v>3</v>
      </c>
      <c r="O202" s="4">
        <v>2</v>
      </c>
      <c r="P202" s="4"/>
      <c r="Q202" s="4"/>
      <c r="R202" s="4"/>
      <c r="S202" s="4"/>
      <c r="T202" s="4"/>
      <c r="U202" s="4"/>
      <c r="V202" s="4"/>
      <c r="W202" s="4"/>
    </row>
    <row r="203" spans="1:23" x14ac:dyDescent="0.2">
      <c r="A203" s="4">
        <v>50</v>
      </c>
      <c r="B203" s="4">
        <v>0</v>
      </c>
      <c r="C203" s="4">
        <v>0</v>
      </c>
      <c r="D203" s="4">
        <v>1</v>
      </c>
      <c r="E203" s="4">
        <v>230</v>
      </c>
      <c r="F203" s="4">
        <f>ROUND(Source!BA183,O203)</f>
        <v>0</v>
      </c>
      <c r="G203" s="4" t="s">
        <v>661</v>
      </c>
      <c r="H203" s="4" t="s">
        <v>662</v>
      </c>
      <c r="I203" s="4"/>
      <c r="J203" s="4"/>
      <c r="K203" s="4">
        <v>230</v>
      </c>
      <c r="L203" s="4">
        <v>19</v>
      </c>
      <c r="M203" s="4">
        <v>3</v>
      </c>
      <c r="N203" s="4" t="s">
        <v>3</v>
      </c>
      <c r="O203" s="4">
        <v>2</v>
      </c>
      <c r="P203" s="4"/>
      <c r="Q203" s="4"/>
      <c r="R203" s="4"/>
      <c r="S203" s="4"/>
      <c r="T203" s="4"/>
      <c r="U203" s="4"/>
      <c r="V203" s="4"/>
      <c r="W203" s="4"/>
    </row>
    <row r="204" spans="1:23" x14ac:dyDescent="0.2">
      <c r="A204" s="4">
        <v>50</v>
      </c>
      <c r="B204" s="4">
        <v>0</v>
      </c>
      <c r="C204" s="4">
        <v>0</v>
      </c>
      <c r="D204" s="4">
        <v>1</v>
      </c>
      <c r="E204" s="4">
        <v>206</v>
      </c>
      <c r="F204" s="4">
        <f>ROUND(Source!T183,O204)</f>
        <v>0</v>
      </c>
      <c r="G204" s="4" t="s">
        <v>663</v>
      </c>
      <c r="H204" s="4" t="s">
        <v>664</v>
      </c>
      <c r="I204" s="4"/>
      <c r="J204" s="4"/>
      <c r="K204" s="4">
        <v>206</v>
      </c>
      <c r="L204" s="4">
        <v>20</v>
      </c>
      <c r="M204" s="4">
        <v>3</v>
      </c>
      <c r="N204" s="4" t="s">
        <v>3</v>
      </c>
      <c r="O204" s="4">
        <v>2</v>
      </c>
      <c r="P204" s="4"/>
      <c r="Q204" s="4"/>
      <c r="R204" s="4"/>
      <c r="S204" s="4"/>
      <c r="T204" s="4"/>
      <c r="U204" s="4"/>
      <c r="V204" s="4"/>
      <c r="W204" s="4"/>
    </row>
    <row r="205" spans="1:23" x14ac:dyDescent="0.2">
      <c r="A205" s="4">
        <v>50</v>
      </c>
      <c r="B205" s="4">
        <v>0</v>
      </c>
      <c r="C205" s="4">
        <v>0</v>
      </c>
      <c r="D205" s="4">
        <v>1</v>
      </c>
      <c r="E205" s="4">
        <v>207</v>
      </c>
      <c r="F205" s="4">
        <f>Source!U183</f>
        <v>581.09347615499996</v>
      </c>
      <c r="G205" s="4" t="s">
        <v>665</v>
      </c>
      <c r="H205" s="4" t="s">
        <v>666</v>
      </c>
      <c r="I205" s="4"/>
      <c r="J205" s="4"/>
      <c r="K205" s="4">
        <v>207</v>
      </c>
      <c r="L205" s="4">
        <v>21</v>
      </c>
      <c r="M205" s="4">
        <v>3</v>
      </c>
      <c r="N205" s="4" t="s">
        <v>3</v>
      </c>
      <c r="O205" s="4">
        <v>-1</v>
      </c>
      <c r="P205" s="4"/>
      <c r="Q205" s="4"/>
      <c r="R205" s="4"/>
      <c r="S205" s="4"/>
      <c r="T205" s="4"/>
      <c r="U205" s="4"/>
      <c r="V205" s="4"/>
      <c r="W205" s="4"/>
    </row>
    <row r="206" spans="1:23" x14ac:dyDescent="0.2">
      <c r="A206" s="4">
        <v>50</v>
      </c>
      <c r="B206" s="4">
        <v>0</v>
      </c>
      <c r="C206" s="4">
        <v>0</v>
      </c>
      <c r="D206" s="4">
        <v>1</v>
      </c>
      <c r="E206" s="4">
        <v>208</v>
      </c>
      <c r="F206" s="4">
        <f>Source!V183</f>
        <v>10.644193267499999</v>
      </c>
      <c r="G206" s="4" t="s">
        <v>667</v>
      </c>
      <c r="H206" s="4" t="s">
        <v>668</v>
      </c>
      <c r="I206" s="4"/>
      <c r="J206" s="4"/>
      <c r="K206" s="4">
        <v>208</v>
      </c>
      <c r="L206" s="4">
        <v>22</v>
      </c>
      <c r="M206" s="4">
        <v>3</v>
      </c>
      <c r="N206" s="4" t="s">
        <v>3</v>
      </c>
      <c r="O206" s="4">
        <v>-1</v>
      </c>
      <c r="P206" s="4"/>
      <c r="Q206" s="4"/>
      <c r="R206" s="4"/>
      <c r="S206" s="4"/>
      <c r="T206" s="4"/>
      <c r="U206" s="4"/>
      <c r="V206" s="4"/>
      <c r="W206" s="4"/>
    </row>
    <row r="207" spans="1:23" x14ac:dyDescent="0.2">
      <c r="A207" s="4">
        <v>50</v>
      </c>
      <c r="B207" s="4">
        <v>0</v>
      </c>
      <c r="C207" s="4">
        <v>0</v>
      </c>
      <c r="D207" s="4">
        <v>1</v>
      </c>
      <c r="E207" s="4">
        <v>209</v>
      </c>
      <c r="F207" s="4">
        <f>ROUND(Source!W183,O207)</f>
        <v>0</v>
      </c>
      <c r="G207" s="4" t="s">
        <v>669</v>
      </c>
      <c r="H207" s="4" t="s">
        <v>670</v>
      </c>
      <c r="I207" s="4"/>
      <c r="J207" s="4"/>
      <c r="K207" s="4">
        <v>209</v>
      </c>
      <c r="L207" s="4">
        <v>23</v>
      </c>
      <c r="M207" s="4">
        <v>3</v>
      </c>
      <c r="N207" s="4" t="s">
        <v>3</v>
      </c>
      <c r="O207" s="4">
        <v>2</v>
      </c>
      <c r="P207" s="4"/>
      <c r="Q207" s="4"/>
      <c r="R207" s="4"/>
      <c r="S207" s="4"/>
      <c r="T207" s="4"/>
      <c r="U207" s="4"/>
      <c r="V207" s="4"/>
      <c r="W207" s="4"/>
    </row>
    <row r="208" spans="1:23" x14ac:dyDescent="0.2">
      <c r="A208" s="4">
        <v>50</v>
      </c>
      <c r="B208" s="4">
        <v>0</v>
      </c>
      <c r="C208" s="4">
        <v>0</v>
      </c>
      <c r="D208" s="4">
        <v>1</v>
      </c>
      <c r="E208" s="4">
        <v>233</v>
      </c>
      <c r="F208" s="4">
        <f>ROUND(Source!BD183,O208)</f>
        <v>0</v>
      </c>
      <c r="G208" s="4" t="s">
        <v>671</v>
      </c>
      <c r="H208" s="4" t="s">
        <v>672</v>
      </c>
      <c r="I208" s="4"/>
      <c r="J208" s="4"/>
      <c r="K208" s="4">
        <v>233</v>
      </c>
      <c r="L208" s="4">
        <v>24</v>
      </c>
      <c r="M208" s="4">
        <v>3</v>
      </c>
      <c r="N208" s="4" t="s">
        <v>3</v>
      </c>
      <c r="O208" s="4">
        <v>2</v>
      </c>
      <c r="P208" s="4"/>
      <c r="Q208" s="4"/>
      <c r="R208" s="4"/>
      <c r="S208" s="4"/>
      <c r="T208" s="4"/>
      <c r="U208" s="4"/>
      <c r="V208" s="4"/>
      <c r="W208" s="4"/>
    </row>
    <row r="209" spans="1:245" x14ac:dyDescent="0.2">
      <c r="A209" s="4">
        <v>50</v>
      </c>
      <c r="B209" s="4">
        <v>0</v>
      </c>
      <c r="C209" s="4">
        <v>0</v>
      </c>
      <c r="D209" s="4">
        <v>1</v>
      </c>
      <c r="E209" s="4">
        <v>210</v>
      </c>
      <c r="F209" s="4">
        <f>ROUND(Source!X183,O209)</f>
        <v>164908.65</v>
      </c>
      <c r="G209" s="4" t="s">
        <v>673</v>
      </c>
      <c r="H209" s="4" t="s">
        <v>674</v>
      </c>
      <c r="I209" s="4"/>
      <c r="J209" s="4"/>
      <c r="K209" s="4">
        <v>210</v>
      </c>
      <c r="L209" s="4">
        <v>25</v>
      </c>
      <c r="M209" s="4">
        <v>3</v>
      </c>
      <c r="N209" s="4" t="s">
        <v>3</v>
      </c>
      <c r="O209" s="4">
        <v>2</v>
      </c>
      <c r="P209" s="4"/>
      <c r="Q209" s="4"/>
      <c r="R209" s="4"/>
      <c r="S209" s="4"/>
      <c r="T209" s="4"/>
      <c r="U209" s="4"/>
      <c r="V209" s="4"/>
      <c r="W209" s="4"/>
    </row>
    <row r="210" spans="1:245" x14ac:dyDescent="0.2">
      <c r="A210" s="4">
        <v>50</v>
      </c>
      <c r="B210" s="4">
        <v>0</v>
      </c>
      <c r="C210" s="4">
        <v>0</v>
      </c>
      <c r="D210" s="4">
        <v>1</v>
      </c>
      <c r="E210" s="4">
        <v>211</v>
      </c>
      <c r="F210" s="4">
        <f>ROUND(Source!Y183,O210)</f>
        <v>101502.49</v>
      </c>
      <c r="G210" s="4" t="s">
        <v>675</v>
      </c>
      <c r="H210" s="4" t="s">
        <v>676</v>
      </c>
      <c r="I210" s="4"/>
      <c r="J210" s="4"/>
      <c r="K210" s="4">
        <v>211</v>
      </c>
      <c r="L210" s="4">
        <v>26</v>
      </c>
      <c r="M210" s="4">
        <v>3</v>
      </c>
      <c r="N210" s="4" t="s">
        <v>3</v>
      </c>
      <c r="O210" s="4">
        <v>2</v>
      </c>
      <c r="P210" s="4"/>
      <c r="Q210" s="4"/>
      <c r="R210" s="4"/>
      <c r="S210" s="4"/>
      <c r="T210" s="4"/>
      <c r="U210" s="4"/>
      <c r="V210" s="4"/>
      <c r="W210" s="4"/>
    </row>
    <row r="211" spans="1:245" x14ac:dyDescent="0.2">
      <c r="A211" s="4">
        <v>50</v>
      </c>
      <c r="B211" s="4">
        <v>0</v>
      </c>
      <c r="C211" s="4">
        <v>0</v>
      </c>
      <c r="D211" s="4">
        <v>1</v>
      </c>
      <c r="E211" s="4">
        <v>224</v>
      </c>
      <c r="F211" s="4">
        <f>ROUND(Source!AR183,O211)</f>
        <v>844106.61</v>
      </c>
      <c r="G211" s="4" t="s">
        <v>677</v>
      </c>
      <c r="H211" s="4" t="s">
        <v>678</v>
      </c>
      <c r="I211" s="4"/>
      <c r="J211" s="4"/>
      <c r="K211" s="4">
        <v>224</v>
      </c>
      <c r="L211" s="4">
        <v>27</v>
      </c>
      <c r="M211" s="4">
        <v>3</v>
      </c>
      <c r="N211" s="4" t="s">
        <v>3</v>
      </c>
      <c r="O211" s="4">
        <v>2</v>
      </c>
      <c r="P211" s="4"/>
      <c r="Q211" s="4"/>
      <c r="R211" s="4"/>
      <c r="S211" s="4"/>
      <c r="T211" s="4"/>
      <c r="U211" s="4"/>
      <c r="V211" s="4"/>
      <c r="W211" s="4"/>
    </row>
    <row r="213" spans="1:245" x14ac:dyDescent="0.2">
      <c r="A213" s="1">
        <v>4</v>
      </c>
      <c r="B213" s="1">
        <v>1</v>
      </c>
      <c r="C213" s="1"/>
      <c r="D213" s="1">
        <f>ROW(A235)</f>
        <v>235</v>
      </c>
      <c r="E213" s="1"/>
      <c r="F213" s="1" t="s">
        <v>12</v>
      </c>
      <c r="G213" s="1" t="s">
        <v>679</v>
      </c>
      <c r="H213" s="1" t="s">
        <v>3</v>
      </c>
      <c r="I213" s="1">
        <v>0</v>
      </c>
      <c r="J213" s="1"/>
      <c r="K213" s="1">
        <v>0</v>
      </c>
      <c r="L213" s="1"/>
      <c r="M213" s="1" t="s">
        <v>3</v>
      </c>
      <c r="N213" s="1"/>
      <c r="O213" s="1"/>
      <c r="P213" s="1"/>
      <c r="Q213" s="1"/>
      <c r="R213" s="1"/>
      <c r="S213" s="1">
        <v>0</v>
      </c>
      <c r="T213" s="1"/>
      <c r="U213" s="1" t="s">
        <v>3</v>
      </c>
      <c r="V213" s="1">
        <v>0</v>
      </c>
      <c r="W213" s="1"/>
      <c r="X213" s="1"/>
      <c r="Y213" s="1"/>
      <c r="Z213" s="1"/>
      <c r="AA213" s="1"/>
      <c r="AB213" s="1" t="s">
        <v>3</v>
      </c>
      <c r="AC213" s="1" t="s">
        <v>3</v>
      </c>
      <c r="AD213" s="1" t="s">
        <v>3</v>
      </c>
      <c r="AE213" s="1" t="s">
        <v>3</v>
      </c>
      <c r="AF213" s="1" t="s">
        <v>3</v>
      </c>
      <c r="AG213" s="1" t="s">
        <v>3</v>
      </c>
      <c r="AH213" s="1"/>
      <c r="AI213" s="1"/>
      <c r="AJ213" s="1"/>
      <c r="AK213" s="1"/>
      <c r="AL213" s="1"/>
      <c r="AM213" s="1"/>
      <c r="AN213" s="1"/>
      <c r="AO213" s="1"/>
      <c r="AP213" s="1" t="s">
        <v>3</v>
      </c>
      <c r="AQ213" s="1" t="s">
        <v>3</v>
      </c>
      <c r="AR213" s="1" t="s">
        <v>3</v>
      </c>
      <c r="AS213" s="1"/>
      <c r="AT213" s="1"/>
      <c r="AU213" s="1"/>
      <c r="AV213" s="1"/>
      <c r="AW213" s="1"/>
      <c r="AX213" s="1"/>
      <c r="AY213" s="1"/>
      <c r="AZ213" s="1" t="s">
        <v>3</v>
      </c>
      <c r="BA213" s="1"/>
      <c r="BB213" s="1" t="s">
        <v>3</v>
      </c>
      <c r="BC213" s="1" t="s">
        <v>3</v>
      </c>
      <c r="BD213" s="1" t="s">
        <v>3</v>
      </c>
      <c r="BE213" s="1" t="s">
        <v>3</v>
      </c>
      <c r="BF213" s="1" t="s">
        <v>3</v>
      </c>
      <c r="BG213" s="1" t="s">
        <v>3</v>
      </c>
      <c r="BH213" s="1" t="s">
        <v>3</v>
      </c>
      <c r="BI213" s="1" t="s">
        <v>3</v>
      </c>
      <c r="BJ213" s="1" t="s">
        <v>3</v>
      </c>
      <c r="BK213" s="1" t="s">
        <v>3</v>
      </c>
      <c r="BL213" s="1" t="s">
        <v>3</v>
      </c>
      <c r="BM213" s="1" t="s">
        <v>3</v>
      </c>
      <c r="BN213" s="1" t="s">
        <v>3</v>
      </c>
      <c r="BO213" s="1" t="s">
        <v>3</v>
      </c>
      <c r="BP213" s="1" t="s">
        <v>3</v>
      </c>
      <c r="BQ213" s="1"/>
      <c r="BR213" s="1"/>
      <c r="BS213" s="1"/>
      <c r="BT213" s="1"/>
      <c r="BU213" s="1"/>
      <c r="BV213" s="1"/>
      <c r="BW213" s="1"/>
      <c r="BX213" s="1">
        <v>0</v>
      </c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>
        <v>0</v>
      </c>
    </row>
    <row r="215" spans="1:245" x14ac:dyDescent="0.2">
      <c r="A215" s="2">
        <v>52</v>
      </c>
      <c r="B215" s="2">
        <f t="shared" ref="B215:G215" si="216">B235</f>
        <v>1</v>
      </c>
      <c r="C215" s="2">
        <f t="shared" si="216"/>
        <v>4</v>
      </c>
      <c r="D215" s="2">
        <f t="shared" si="216"/>
        <v>213</v>
      </c>
      <c r="E215" s="2">
        <f t="shared" si="216"/>
        <v>0</v>
      </c>
      <c r="F215" s="2" t="str">
        <f t="shared" si="216"/>
        <v>Новый раздел</v>
      </c>
      <c r="G215" s="2" t="str">
        <f t="shared" si="216"/>
        <v>Видеодомофон</v>
      </c>
      <c r="H215" s="2"/>
      <c r="I215" s="2"/>
      <c r="J215" s="2"/>
      <c r="K215" s="2"/>
      <c r="L215" s="2"/>
      <c r="M215" s="2"/>
      <c r="N215" s="2"/>
      <c r="O215" s="2">
        <f t="shared" ref="O215:AT215" si="217">O235</f>
        <v>22731.96</v>
      </c>
      <c r="P215" s="2">
        <f t="shared" si="217"/>
        <v>13853.3</v>
      </c>
      <c r="Q215" s="2">
        <f t="shared" si="217"/>
        <v>117.61</v>
      </c>
      <c r="R215" s="2">
        <f t="shared" si="217"/>
        <v>13.64</v>
      </c>
      <c r="S215" s="2">
        <f t="shared" si="217"/>
        <v>8761.0499999999993</v>
      </c>
      <c r="T215" s="2">
        <f t="shared" si="217"/>
        <v>0</v>
      </c>
      <c r="U215" s="2">
        <f t="shared" si="217"/>
        <v>27.945142499999999</v>
      </c>
      <c r="V215" s="2">
        <f t="shared" si="217"/>
        <v>3.1927500000000004E-2</v>
      </c>
      <c r="W215" s="2">
        <f t="shared" si="217"/>
        <v>0</v>
      </c>
      <c r="X215" s="2">
        <f t="shared" si="217"/>
        <v>7941.32</v>
      </c>
      <c r="Y215" s="2">
        <f t="shared" si="217"/>
        <v>5532.59</v>
      </c>
      <c r="Z215" s="2">
        <f t="shared" si="217"/>
        <v>0</v>
      </c>
      <c r="AA215" s="2">
        <f t="shared" si="217"/>
        <v>0</v>
      </c>
      <c r="AB215" s="2">
        <f t="shared" si="217"/>
        <v>22731.96</v>
      </c>
      <c r="AC215" s="2">
        <f t="shared" si="217"/>
        <v>13853.3</v>
      </c>
      <c r="AD215" s="2">
        <f t="shared" si="217"/>
        <v>117.61</v>
      </c>
      <c r="AE215" s="2">
        <f t="shared" si="217"/>
        <v>13.64</v>
      </c>
      <c r="AF215" s="2">
        <f t="shared" si="217"/>
        <v>8761.0499999999993</v>
      </c>
      <c r="AG215" s="2">
        <f t="shared" si="217"/>
        <v>0</v>
      </c>
      <c r="AH215" s="2">
        <f t="shared" si="217"/>
        <v>27.945142499999999</v>
      </c>
      <c r="AI215" s="2">
        <f t="shared" si="217"/>
        <v>3.1927500000000004E-2</v>
      </c>
      <c r="AJ215" s="2">
        <f t="shared" si="217"/>
        <v>0</v>
      </c>
      <c r="AK215" s="2">
        <f t="shared" si="217"/>
        <v>7941.32</v>
      </c>
      <c r="AL215" s="2">
        <f t="shared" si="217"/>
        <v>5532.59</v>
      </c>
      <c r="AM215" s="2">
        <f t="shared" si="217"/>
        <v>0</v>
      </c>
      <c r="AN215" s="2">
        <f t="shared" si="217"/>
        <v>0</v>
      </c>
      <c r="AO215" s="2">
        <f t="shared" si="217"/>
        <v>0</v>
      </c>
      <c r="AP215" s="2">
        <f t="shared" si="217"/>
        <v>0</v>
      </c>
      <c r="AQ215" s="2">
        <f t="shared" si="217"/>
        <v>0</v>
      </c>
      <c r="AR215" s="2">
        <f t="shared" si="217"/>
        <v>36205.870000000003</v>
      </c>
      <c r="AS215" s="2">
        <f t="shared" si="217"/>
        <v>1701.23</v>
      </c>
      <c r="AT215" s="2">
        <f t="shared" si="217"/>
        <v>34504.639999999999</v>
      </c>
      <c r="AU215" s="2">
        <f t="shared" ref="AU215:BZ215" si="218">AU235</f>
        <v>0</v>
      </c>
      <c r="AV215" s="2">
        <f t="shared" si="218"/>
        <v>13853.3</v>
      </c>
      <c r="AW215" s="2">
        <f t="shared" si="218"/>
        <v>13853.3</v>
      </c>
      <c r="AX215" s="2">
        <f t="shared" si="218"/>
        <v>0</v>
      </c>
      <c r="AY215" s="2">
        <f t="shared" si="218"/>
        <v>13853.3</v>
      </c>
      <c r="AZ215" s="2">
        <f t="shared" si="218"/>
        <v>0</v>
      </c>
      <c r="BA215" s="2">
        <f t="shared" si="218"/>
        <v>0</v>
      </c>
      <c r="BB215" s="2">
        <f t="shared" si="218"/>
        <v>0</v>
      </c>
      <c r="BC215" s="2">
        <f t="shared" si="218"/>
        <v>0</v>
      </c>
      <c r="BD215" s="2">
        <f t="shared" si="218"/>
        <v>0</v>
      </c>
      <c r="BE215" s="2">
        <f t="shared" si="218"/>
        <v>0</v>
      </c>
      <c r="BF215" s="2">
        <f t="shared" si="218"/>
        <v>0</v>
      </c>
      <c r="BG215" s="2">
        <f t="shared" si="218"/>
        <v>0</v>
      </c>
      <c r="BH215" s="2">
        <f t="shared" si="218"/>
        <v>0</v>
      </c>
      <c r="BI215" s="2">
        <f t="shared" si="218"/>
        <v>0</v>
      </c>
      <c r="BJ215" s="2">
        <f t="shared" si="218"/>
        <v>0</v>
      </c>
      <c r="BK215" s="2">
        <f t="shared" si="218"/>
        <v>0</v>
      </c>
      <c r="BL215" s="2">
        <f t="shared" si="218"/>
        <v>0</v>
      </c>
      <c r="BM215" s="2">
        <f t="shared" si="218"/>
        <v>0</v>
      </c>
      <c r="BN215" s="2">
        <f t="shared" si="218"/>
        <v>0</v>
      </c>
      <c r="BO215" s="2">
        <f t="shared" si="218"/>
        <v>0</v>
      </c>
      <c r="BP215" s="2">
        <f t="shared" si="218"/>
        <v>0</v>
      </c>
      <c r="BQ215" s="2">
        <f t="shared" si="218"/>
        <v>0</v>
      </c>
      <c r="BR215" s="2">
        <f t="shared" si="218"/>
        <v>0</v>
      </c>
      <c r="BS215" s="2">
        <f t="shared" si="218"/>
        <v>0</v>
      </c>
      <c r="BT215" s="2">
        <f t="shared" si="218"/>
        <v>0</v>
      </c>
      <c r="BU215" s="2">
        <f t="shared" si="218"/>
        <v>0</v>
      </c>
      <c r="BV215" s="2">
        <f t="shared" si="218"/>
        <v>0</v>
      </c>
      <c r="BW215" s="2">
        <f t="shared" si="218"/>
        <v>0</v>
      </c>
      <c r="BX215" s="2">
        <f t="shared" si="218"/>
        <v>0</v>
      </c>
      <c r="BY215" s="2">
        <f t="shared" si="218"/>
        <v>0</v>
      </c>
      <c r="BZ215" s="2">
        <f t="shared" si="218"/>
        <v>0</v>
      </c>
      <c r="CA215" s="2">
        <f t="shared" ref="CA215:DF215" si="219">CA235</f>
        <v>36205.870000000003</v>
      </c>
      <c r="CB215" s="2">
        <f t="shared" si="219"/>
        <v>1701.23</v>
      </c>
      <c r="CC215" s="2">
        <f t="shared" si="219"/>
        <v>34504.639999999999</v>
      </c>
      <c r="CD215" s="2">
        <f t="shared" si="219"/>
        <v>0</v>
      </c>
      <c r="CE215" s="2">
        <f t="shared" si="219"/>
        <v>13853.3</v>
      </c>
      <c r="CF215" s="2">
        <f t="shared" si="219"/>
        <v>13853.3</v>
      </c>
      <c r="CG215" s="2">
        <f t="shared" si="219"/>
        <v>0</v>
      </c>
      <c r="CH215" s="2">
        <f t="shared" si="219"/>
        <v>13853.3</v>
      </c>
      <c r="CI215" s="2">
        <f t="shared" si="219"/>
        <v>0</v>
      </c>
      <c r="CJ215" s="2">
        <f t="shared" si="219"/>
        <v>0</v>
      </c>
      <c r="CK215" s="2">
        <f t="shared" si="219"/>
        <v>0</v>
      </c>
      <c r="CL215" s="2">
        <f t="shared" si="219"/>
        <v>0</v>
      </c>
      <c r="CM215" s="2">
        <f t="shared" si="219"/>
        <v>0</v>
      </c>
      <c r="CN215" s="2">
        <f t="shared" si="219"/>
        <v>0</v>
      </c>
      <c r="CO215" s="2">
        <f t="shared" si="219"/>
        <v>0</v>
      </c>
      <c r="CP215" s="2">
        <f t="shared" si="219"/>
        <v>0</v>
      </c>
      <c r="CQ215" s="2">
        <f t="shared" si="219"/>
        <v>0</v>
      </c>
      <c r="CR215" s="2">
        <f t="shared" si="219"/>
        <v>0</v>
      </c>
      <c r="CS215" s="2">
        <f t="shared" si="219"/>
        <v>0</v>
      </c>
      <c r="CT215" s="2">
        <f t="shared" si="219"/>
        <v>0</v>
      </c>
      <c r="CU215" s="2">
        <f t="shared" si="219"/>
        <v>0</v>
      </c>
      <c r="CV215" s="2">
        <f t="shared" si="219"/>
        <v>0</v>
      </c>
      <c r="CW215" s="2">
        <f t="shared" si="219"/>
        <v>0</v>
      </c>
      <c r="CX215" s="2">
        <f t="shared" si="219"/>
        <v>0</v>
      </c>
      <c r="CY215" s="2">
        <f t="shared" si="219"/>
        <v>0</v>
      </c>
      <c r="CZ215" s="2">
        <f t="shared" si="219"/>
        <v>0</v>
      </c>
      <c r="DA215" s="2">
        <f t="shared" si="219"/>
        <v>0</v>
      </c>
      <c r="DB215" s="2">
        <f t="shared" si="219"/>
        <v>0</v>
      </c>
      <c r="DC215" s="2">
        <f t="shared" si="219"/>
        <v>0</v>
      </c>
      <c r="DD215" s="2">
        <f t="shared" si="219"/>
        <v>0</v>
      </c>
      <c r="DE215" s="2">
        <f t="shared" si="219"/>
        <v>0</v>
      </c>
      <c r="DF215" s="2">
        <f t="shared" si="219"/>
        <v>0</v>
      </c>
      <c r="DG215" s="3">
        <f t="shared" ref="DG215:EL215" si="220">DG235</f>
        <v>0</v>
      </c>
      <c r="DH215" s="3">
        <f t="shared" si="220"/>
        <v>0</v>
      </c>
      <c r="DI215" s="3">
        <f t="shared" si="220"/>
        <v>0</v>
      </c>
      <c r="DJ215" s="3">
        <f t="shared" si="220"/>
        <v>0</v>
      </c>
      <c r="DK215" s="3">
        <f t="shared" si="220"/>
        <v>0</v>
      </c>
      <c r="DL215" s="3">
        <f t="shared" si="220"/>
        <v>0</v>
      </c>
      <c r="DM215" s="3">
        <f t="shared" si="220"/>
        <v>0</v>
      </c>
      <c r="DN215" s="3">
        <f t="shared" si="220"/>
        <v>0</v>
      </c>
      <c r="DO215" s="3">
        <f t="shared" si="220"/>
        <v>0</v>
      </c>
      <c r="DP215" s="3">
        <f t="shared" si="220"/>
        <v>0</v>
      </c>
      <c r="DQ215" s="3">
        <f t="shared" si="220"/>
        <v>0</v>
      </c>
      <c r="DR215" s="3">
        <f t="shared" si="220"/>
        <v>0</v>
      </c>
      <c r="DS215" s="3">
        <f t="shared" si="220"/>
        <v>0</v>
      </c>
      <c r="DT215" s="3">
        <f t="shared" si="220"/>
        <v>0</v>
      </c>
      <c r="DU215" s="3">
        <f t="shared" si="220"/>
        <v>0</v>
      </c>
      <c r="DV215" s="3">
        <f t="shared" si="220"/>
        <v>0</v>
      </c>
      <c r="DW215" s="3">
        <f t="shared" si="220"/>
        <v>0</v>
      </c>
      <c r="DX215" s="3">
        <f t="shared" si="220"/>
        <v>0</v>
      </c>
      <c r="DY215" s="3">
        <f t="shared" si="220"/>
        <v>0</v>
      </c>
      <c r="DZ215" s="3">
        <f t="shared" si="220"/>
        <v>0</v>
      </c>
      <c r="EA215" s="3">
        <f t="shared" si="220"/>
        <v>0</v>
      </c>
      <c r="EB215" s="3">
        <f t="shared" si="220"/>
        <v>0</v>
      </c>
      <c r="EC215" s="3">
        <f t="shared" si="220"/>
        <v>0</v>
      </c>
      <c r="ED215" s="3">
        <f t="shared" si="220"/>
        <v>0</v>
      </c>
      <c r="EE215" s="3">
        <f t="shared" si="220"/>
        <v>0</v>
      </c>
      <c r="EF215" s="3">
        <f t="shared" si="220"/>
        <v>0</v>
      </c>
      <c r="EG215" s="3">
        <f t="shared" si="220"/>
        <v>0</v>
      </c>
      <c r="EH215" s="3">
        <f t="shared" si="220"/>
        <v>0</v>
      </c>
      <c r="EI215" s="3">
        <f t="shared" si="220"/>
        <v>0</v>
      </c>
      <c r="EJ215" s="3">
        <f t="shared" si="220"/>
        <v>0</v>
      </c>
      <c r="EK215" s="3">
        <f t="shared" si="220"/>
        <v>0</v>
      </c>
      <c r="EL215" s="3">
        <f t="shared" si="220"/>
        <v>0</v>
      </c>
      <c r="EM215" s="3">
        <f t="shared" ref="EM215:FR215" si="221">EM235</f>
        <v>0</v>
      </c>
      <c r="EN215" s="3">
        <f t="shared" si="221"/>
        <v>0</v>
      </c>
      <c r="EO215" s="3">
        <f t="shared" si="221"/>
        <v>0</v>
      </c>
      <c r="EP215" s="3">
        <f t="shared" si="221"/>
        <v>0</v>
      </c>
      <c r="EQ215" s="3">
        <f t="shared" si="221"/>
        <v>0</v>
      </c>
      <c r="ER215" s="3">
        <f t="shared" si="221"/>
        <v>0</v>
      </c>
      <c r="ES215" s="3">
        <f t="shared" si="221"/>
        <v>0</v>
      </c>
      <c r="ET215" s="3">
        <f t="shared" si="221"/>
        <v>0</v>
      </c>
      <c r="EU215" s="3">
        <f t="shared" si="221"/>
        <v>0</v>
      </c>
      <c r="EV215" s="3">
        <f t="shared" si="221"/>
        <v>0</v>
      </c>
      <c r="EW215" s="3">
        <f t="shared" si="221"/>
        <v>0</v>
      </c>
      <c r="EX215" s="3">
        <f t="shared" si="221"/>
        <v>0</v>
      </c>
      <c r="EY215" s="3">
        <f t="shared" si="221"/>
        <v>0</v>
      </c>
      <c r="EZ215" s="3">
        <f t="shared" si="221"/>
        <v>0</v>
      </c>
      <c r="FA215" s="3">
        <f t="shared" si="221"/>
        <v>0</v>
      </c>
      <c r="FB215" s="3">
        <f t="shared" si="221"/>
        <v>0</v>
      </c>
      <c r="FC215" s="3">
        <f t="shared" si="221"/>
        <v>0</v>
      </c>
      <c r="FD215" s="3">
        <f t="shared" si="221"/>
        <v>0</v>
      </c>
      <c r="FE215" s="3">
        <f t="shared" si="221"/>
        <v>0</v>
      </c>
      <c r="FF215" s="3">
        <f t="shared" si="221"/>
        <v>0</v>
      </c>
      <c r="FG215" s="3">
        <f t="shared" si="221"/>
        <v>0</v>
      </c>
      <c r="FH215" s="3">
        <f t="shared" si="221"/>
        <v>0</v>
      </c>
      <c r="FI215" s="3">
        <f t="shared" si="221"/>
        <v>0</v>
      </c>
      <c r="FJ215" s="3">
        <f t="shared" si="221"/>
        <v>0</v>
      </c>
      <c r="FK215" s="3">
        <f t="shared" si="221"/>
        <v>0</v>
      </c>
      <c r="FL215" s="3">
        <f t="shared" si="221"/>
        <v>0</v>
      </c>
      <c r="FM215" s="3">
        <f t="shared" si="221"/>
        <v>0</v>
      </c>
      <c r="FN215" s="3">
        <f t="shared" si="221"/>
        <v>0</v>
      </c>
      <c r="FO215" s="3">
        <f t="shared" si="221"/>
        <v>0</v>
      </c>
      <c r="FP215" s="3">
        <f t="shared" si="221"/>
        <v>0</v>
      </c>
      <c r="FQ215" s="3">
        <f t="shared" si="221"/>
        <v>0</v>
      </c>
      <c r="FR215" s="3">
        <f t="shared" si="221"/>
        <v>0</v>
      </c>
      <c r="FS215" s="3">
        <f t="shared" ref="FS215:GX215" si="222">FS235</f>
        <v>0</v>
      </c>
      <c r="FT215" s="3">
        <f t="shared" si="222"/>
        <v>0</v>
      </c>
      <c r="FU215" s="3">
        <f t="shared" si="222"/>
        <v>0</v>
      </c>
      <c r="FV215" s="3">
        <f t="shared" si="222"/>
        <v>0</v>
      </c>
      <c r="FW215" s="3">
        <f t="shared" si="222"/>
        <v>0</v>
      </c>
      <c r="FX215" s="3">
        <f t="shared" si="222"/>
        <v>0</v>
      </c>
      <c r="FY215" s="3">
        <f t="shared" si="222"/>
        <v>0</v>
      </c>
      <c r="FZ215" s="3">
        <f t="shared" si="222"/>
        <v>0</v>
      </c>
      <c r="GA215" s="3">
        <f t="shared" si="222"/>
        <v>0</v>
      </c>
      <c r="GB215" s="3">
        <f t="shared" si="222"/>
        <v>0</v>
      </c>
      <c r="GC215" s="3">
        <f t="shared" si="222"/>
        <v>0</v>
      </c>
      <c r="GD215" s="3">
        <f t="shared" si="222"/>
        <v>0</v>
      </c>
      <c r="GE215" s="3">
        <f t="shared" si="222"/>
        <v>0</v>
      </c>
      <c r="GF215" s="3">
        <f t="shared" si="222"/>
        <v>0</v>
      </c>
      <c r="GG215" s="3">
        <f t="shared" si="222"/>
        <v>0</v>
      </c>
      <c r="GH215" s="3">
        <f t="shared" si="222"/>
        <v>0</v>
      </c>
      <c r="GI215" s="3">
        <f t="shared" si="222"/>
        <v>0</v>
      </c>
      <c r="GJ215" s="3">
        <f t="shared" si="222"/>
        <v>0</v>
      </c>
      <c r="GK215" s="3">
        <f t="shared" si="222"/>
        <v>0</v>
      </c>
      <c r="GL215" s="3">
        <f t="shared" si="222"/>
        <v>0</v>
      </c>
      <c r="GM215" s="3">
        <f t="shared" si="222"/>
        <v>0</v>
      </c>
      <c r="GN215" s="3">
        <f t="shared" si="222"/>
        <v>0</v>
      </c>
      <c r="GO215" s="3">
        <f t="shared" si="222"/>
        <v>0</v>
      </c>
      <c r="GP215" s="3">
        <f t="shared" si="222"/>
        <v>0</v>
      </c>
      <c r="GQ215" s="3">
        <f t="shared" si="222"/>
        <v>0</v>
      </c>
      <c r="GR215" s="3">
        <f t="shared" si="222"/>
        <v>0</v>
      </c>
      <c r="GS215" s="3">
        <f t="shared" si="222"/>
        <v>0</v>
      </c>
      <c r="GT215" s="3">
        <f t="shared" si="222"/>
        <v>0</v>
      </c>
      <c r="GU215" s="3">
        <f t="shared" si="222"/>
        <v>0</v>
      </c>
      <c r="GV215" s="3">
        <f t="shared" si="222"/>
        <v>0</v>
      </c>
      <c r="GW215" s="3">
        <f t="shared" si="222"/>
        <v>0</v>
      </c>
      <c r="GX215" s="3">
        <f t="shared" si="222"/>
        <v>0</v>
      </c>
    </row>
    <row r="217" spans="1:245" x14ac:dyDescent="0.2">
      <c r="A217">
        <v>17</v>
      </c>
      <c r="B217">
        <v>1</v>
      </c>
      <c r="C217">
        <f>ROW(SmtRes!A554)</f>
        <v>554</v>
      </c>
      <c r="D217">
        <f>ROW(EtalonRes!A533)</f>
        <v>533</v>
      </c>
      <c r="E217" t="s">
        <v>680</v>
      </c>
      <c r="F217" t="s">
        <v>681</v>
      </c>
      <c r="G217" t="s">
        <v>682</v>
      </c>
      <c r="H217" t="s">
        <v>29</v>
      </c>
      <c r="I217">
        <f>ROUND(1,5)</f>
        <v>1</v>
      </c>
      <c r="J217">
        <v>0</v>
      </c>
      <c r="O217">
        <f t="shared" ref="O217:O233" si="223">ROUND(CP217,2)</f>
        <v>2051.98</v>
      </c>
      <c r="P217">
        <f t="shared" ref="P217:P233" si="224">ROUND(CQ217*I217,2)</f>
        <v>29.95</v>
      </c>
      <c r="Q217">
        <f t="shared" ref="Q217:Q233" si="225">ROUND(CR217*I217,2)</f>
        <v>0</v>
      </c>
      <c r="R217">
        <f t="shared" ref="R217:R233" si="226">ROUND(CS217*I217,2)</f>
        <v>0</v>
      </c>
      <c r="S217">
        <f t="shared" ref="S217:S233" si="227">ROUND(CT217*I217,2)</f>
        <v>2022.03</v>
      </c>
      <c r="T217">
        <f t="shared" ref="T217:T233" si="228">ROUND(CU217*I217,2)</f>
        <v>0</v>
      </c>
      <c r="U217">
        <f t="shared" ref="U217:U233" si="229">CV217*I217</f>
        <v>6.1559999999999997</v>
      </c>
      <c r="V217">
        <f t="shared" ref="V217:V233" si="230">CW217*I217</f>
        <v>0</v>
      </c>
      <c r="W217">
        <f t="shared" ref="W217:W233" si="231">ROUND(CX217*I217,2)</f>
        <v>0</v>
      </c>
      <c r="X217">
        <f t="shared" ref="X217:X233" si="232">ROUND(CY217,2)</f>
        <v>1617.62</v>
      </c>
      <c r="Y217">
        <f t="shared" ref="Y217:Y233" si="233">ROUND(CZ217,2)</f>
        <v>1213.22</v>
      </c>
      <c r="AA217">
        <v>68990560</v>
      </c>
      <c r="AB217">
        <f t="shared" ref="AB217:AB233" si="234">ROUND((AC217+AD217+AF217),2)</f>
        <v>60.98</v>
      </c>
      <c r="AC217">
        <f t="shared" ref="AC217:AC233" si="235">ROUND((ES217),2)</f>
        <v>0.89</v>
      </c>
      <c r="AD217">
        <f>ROUND(((((ET217*1.35))-((EU217*1.35)))+AE217),2)</f>
        <v>0</v>
      </c>
      <c r="AE217">
        <f>ROUND(((EU217*1.35)),2)</f>
        <v>0</v>
      </c>
      <c r="AF217">
        <f>ROUND(((EV217*1.35)),2)</f>
        <v>60.09</v>
      </c>
      <c r="AG217">
        <f t="shared" ref="AG217:AG233" si="236">ROUND((AP217),2)</f>
        <v>0</v>
      </c>
      <c r="AH217">
        <f>((EW217*1.35))</f>
        <v>6.1559999999999997</v>
      </c>
      <c r="AI217">
        <f>((EX217*1.35))</f>
        <v>0</v>
      </c>
      <c r="AJ217">
        <f t="shared" ref="AJ217:AJ233" si="237">(AS217)</f>
        <v>0</v>
      </c>
      <c r="AK217">
        <v>45.4</v>
      </c>
      <c r="AL217">
        <v>0.89</v>
      </c>
      <c r="AM217">
        <v>0</v>
      </c>
      <c r="AN217">
        <v>0</v>
      </c>
      <c r="AO217">
        <v>44.51</v>
      </c>
      <c r="AP217">
        <v>0</v>
      </c>
      <c r="AQ217">
        <v>4.5599999999999996</v>
      </c>
      <c r="AR217">
        <v>0</v>
      </c>
      <c r="AS217">
        <v>0</v>
      </c>
      <c r="AT217">
        <v>80</v>
      </c>
      <c r="AU217">
        <v>60</v>
      </c>
      <c r="AV217">
        <v>1</v>
      </c>
      <c r="AW217">
        <v>1</v>
      </c>
      <c r="AZ217">
        <v>1</v>
      </c>
      <c r="BA217">
        <v>33.65</v>
      </c>
      <c r="BB217">
        <v>1</v>
      </c>
      <c r="BC217">
        <v>33.65</v>
      </c>
      <c r="BD217" t="s">
        <v>3</v>
      </c>
      <c r="BE217" t="s">
        <v>3</v>
      </c>
      <c r="BF217" t="s">
        <v>3</v>
      </c>
      <c r="BG217" t="s">
        <v>3</v>
      </c>
      <c r="BH217">
        <v>0</v>
      </c>
      <c r="BI217">
        <v>2</v>
      </c>
      <c r="BJ217" t="s">
        <v>683</v>
      </c>
      <c r="BM217">
        <v>110012</v>
      </c>
      <c r="BN217">
        <v>0</v>
      </c>
      <c r="BO217" t="s">
        <v>681</v>
      </c>
      <c r="BP217">
        <v>1</v>
      </c>
      <c r="BQ217">
        <v>3</v>
      </c>
      <c r="BR217">
        <v>0</v>
      </c>
      <c r="BS217">
        <v>33.65</v>
      </c>
      <c r="BT217">
        <v>1</v>
      </c>
      <c r="BU217">
        <v>1</v>
      </c>
      <c r="BV217">
        <v>1</v>
      </c>
      <c r="BW217">
        <v>1</v>
      </c>
      <c r="BX217">
        <v>1</v>
      </c>
      <c r="BY217" t="s">
        <v>3</v>
      </c>
      <c r="BZ217">
        <v>80</v>
      </c>
      <c r="CA217">
        <v>60</v>
      </c>
      <c r="CE217">
        <v>0</v>
      </c>
      <c r="CF217">
        <v>0</v>
      </c>
      <c r="CG217">
        <v>0</v>
      </c>
      <c r="CM217">
        <v>0</v>
      </c>
      <c r="CN217" t="s">
        <v>1329</v>
      </c>
      <c r="CO217">
        <v>0</v>
      </c>
      <c r="CP217">
        <f t="shared" ref="CP217:CP233" si="238">(P217+Q217+S217)</f>
        <v>2051.98</v>
      </c>
      <c r="CQ217">
        <f t="shared" ref="CQ217:CQ233" si="239">AC217*BC217</f>
        <v>29.948499999999999</v>
      </c>
      <c r="CR217">
        <f t="shared" ref="CR217:CR233" si="240">AD217*BB217</f>
        <v>0</v>
      </c>
      <c r="CS217">
        <f t="shared" ref="CS217:CS233" si="241">AE217*BS217</f>
        <v>0</v>
      </c>
      <c r="CT217">
        <f t="shared" ref="CT217:CT233" si="242">AF217*BA217</f>
        <v>2022.0285000000001</v>
      </c>
      <c r="CU217">
        <f t="shared" ref="CU217:CU233" si="243">AG217</f>
        <v>0</v>
      </c>
      <c r="CV217">
        <f t="shared" ref="CV217:CV233" si="244">AH217</f>
        <v>6.1559999999999997</v>
      </c>
      <c r="CW217">
        <f t="shared" ref="CW217:CW233" si="245">AI217</f>
        <v>0</v>
      </c>
      <c r="CX217">
        <f t="shared" ref="CX217:CX233" si="246">AJ217</f>
        <v>0</v>
      </c>
      <c r="CY217">
        <f t="shared" ref="CY217:CY233" si="247">(((S217+R217)*AT217)/100)</f>
        <v>1617.624</v>
      </c>
      <c r="CZ217">
        <f t="shared" ref="CZ217:CZ233" si="248">(((S217+R217)*AU217)/100)</f>
        <v>1213.2180000000001</v>
      </c>
      <c r="DC217" t="s">
        <v>3</v>
      </c>
      <c r="DD217" t="s">
        <v>3</v>
      </c>
      <c r="DE217" t="s">
        <v>200</v>
      </c>
      <c r="DF217" t="s">
        <v>200</v>
      </c>
      <c r="DG217" t="s">
        <v>200</v>
      </c>
      <c r="DH217" t="s">
        <v>3</v>
      </c>
      <c r="DI217" t="s">
        <v>200</v>
      </c>
      <c r="DJ217" t="s">
        <v>200</v>
      </c>
      <c r="DK217" t="s">
        <v>3</v>
      </c>
      <c r="DL217" t="s">
        <v>3</v>
      </c>
      <c r="DM217" t="s">
        <v>3</v>
      </c>
      <c r="DN217">
        <v>0</v>
      </c>
      <c r="DO217">
        <v>0</v>
      </c>
      <c r="DP217">
        <v>1</v>
      </c>
      <c r="DQ217">
        <v>1</v>
      </c>
      <c r="DU217">
        <v>1013</v>
      </c>
      <c r="DV217" t="s">
        <v>29</v>
      </c>
      <c r="DW217" t="s">
        <v>29</v>
      </c>
      <c r="DX217">
        <v>1</v>
      </c>
      <c r="DZ217" t="s">
        <v>3</v>
      </c>
      <c r="EA217" t="s">
        <v>3</v>
      </c>
      <c r="EB217" t="s">
        <v>3</v>
      </c>
      <c r="EC217" t="s">
        <v>3</v>
      </c>
      <c r="EE217">
        <v>64095237</v>
      </c>
      <c r="EF217">
        <v>3</v>
      </c>
      <c r="EG217" t="s">
        <v>22</v>
      </c>
      <c r="EH217">
        <v>0</v>
      </c>
      <c r="EI217" t="s">
        <v>3</v>
      </c>
      <c r="EJ217">
        <v>2</v>
      </c>
      <c r="EK217">
        <v>110012</v>
      </c>
      <c r="EL217" t="s">
        <v>684</v>
      </c>
      <c r="EM217" t="s">
        <v>32</v>
      </c>
      <c r="EO217" t="s">
        <v>42</v>
      </c>
      <c r="EQ217">
        <v>0</v>
      </c>
      <c r="ER217">
        <v>45.4</v>
      </c>
      <c r="ES217">
        <v>0.89</v>
      </c>
      <c r="ET217">
        <v>0</v>
      </c>
      <c r="EU217">
        <v>0</v>
      </c>
      <c r="EV217">
        <v>44.51</v>
      </c>
      <c r="EW217">
        <v>4.5599999999999996</v>
      </c>
      <c r="EX217">
        <v>0</v>
      </c>
      <c r="EY217">
        <v>0</v>
      </c>
      <c r="FQ217">
        <v>0</v>
      </c>
      <c r="FR217">
        <f t="shared" ref="FR217:FR233" si="249">ROUND(IF(AND(BH217=3,BI217=3),P217,0),2)</f>
        <v>0</v>
      </c>
      <c r="FS217">
        <v>0</v>
      </c>
      <c r="FX217">
        <v>80</v>
      </c>
      <c r="FY217">
        <v>60</v>
      </c>
      <c r="GA217" t="s">
        <v>3</v>
      </c>
      <c r="GD217">
        <v>1</v>
      </c>
      <c r="GF217">
        <v>838580480</v>
      </c>
      <c r="GG217">
        <v>2</v>
      </c>
      <c r="GH217">
        <v>1</v>
      </c>
      <c r="GI217">
        <v>2</v>
      </c>
      <c r="GJ217">
        <v>0</v>
      </c>
      <c r="GK217">
        <v>0</v>
      </c>
      <c r="GL217">
        <f t="shared" ref="GL217:GL233" si="250">ROUND(IF(AND(BH217=3,BI217=3,FS217&lt;&gt;0),P217,0),2)</f>
        <v>0</v>
      </c>
      <c r="GM217">
        <f t="shared" ref="GM217:GM233" si="251">ROUND(O217+X217+Y217,2)+GX217</f>
        <v>4882.82</v>
      </c>
      <c r="GN217">
        <f t="shared" ref="GN217:GN233" si="252">IF(OR(BI217=0,BI217=1),ROUND(O217+X217+Y217,2),0)</f>
        <v>0</v>
      </c>
      <c r="GO217">
        <f t="shared" ref="GO217:GO233" si="253">IF(BI217=2,ROUND(O217+X217+Y217,2),0)</f>
        <v>4882.82</v>
      </c>
      <c r="GP217">
        <f t="shared" ref="GP217:GP233" si="254">IF(BI217=4,ROUND(O217+X217+Y217,2)+GX217,0)</f>
        <v>0</v>
      </c>
      <c r="GR217">
        <v>0</v>
      </c>
      <c r="GS217">
        <v>3</v>
      </c>
      <c r="GT217">
        <v>0</v>
      </c>
      <c r="GU217" t="s">
        <v>3</v>
      </c>
      <c r="GV217">
        <f t="shared" ref="GV217:GV233" si="255">ROUND((GT217),2)</f>
        <v>0</v>
      </c>
      <c r="GW217">
        <v>1</v>
      </c>
      <c r="GX217">
        <f t="shared" ref="GX217:GX233" si="256">ROUND(HC217*I217,2)</f>
        <v>0</v>
      </c>
      <c r="HA217">
        <v>0</v>
      </c>
      <c r="HB217">
        <v>0</v>
      </c>
      <c r="HC217">
        <f t="shared" ref="HC217:HC233" si="257">GV217*GW217</f>
        <v>0</v>
      </c>
      <c r="HE217" t="s">
        <v>3</v>
      </c>
      <c r="HF217" t="s">
        <v>3</v>
      </c>
      <c r="IK217">
        <v>0</v>
      </c>
    </row>
    <row r="218" spans="1:245" x14ac:dyDescent="0.2">
      <c r="A218">
        <v>18</v>
      </c>
      <c r="B218">
        <v>1</v>
      </c>
      <c r="C218">
        <v>553</v>
      </c>
      <c r="E218" t="s">
        <v>685</v>
      </c>
      <c r="F218" t="s">
        <v>686</v>
      </c>
      <c r="G218" t="s">
        <v>1342</v>
      </c>
      <c r="H218" t="s">
        <v>29</v>
      </c>
      <c r="I218">
        <f>I217*J218</f>
        <v>1</v>
      </c>
      <c r="J218">
        <v>1</v>
      </c>
      <c r="O218">
        <f t="shared" si="223"/>
        <v>8019.21</v>
      </c>
      <c r="P218">
        <f t="shared" si="224"/>
        <v>8019.21</v>
      </c>
      <c r="Q218">
        <f t="shared" si="225"/>
        <v>0</v>
      </c>
      <c r="R218">
        <f t="shared" si="226"/>
        <v>0</v>
      </c>
      <c r="S218">
        <f t="shared" si="227"/>
        <v>0</v>
      </c>
      <c r="T218">
        <f t="shared" si="228"/>
        <v>0</v>
      </c>
      <c r="U218">
        <f t="shared" si="229"/>
        <v>0</v>
      </c>
      <c r="V218">
        <f t="shared" si="230"/>
        <v>0</v>
      </c>
      <c r="W218">
        <f t="shared" si="231"/>
        <v>0</v>
      </c>
      <c r="X218">
        <f t="shared" si="232"/>
        <v>0</v>
      </c>
      <c r="Y218">
        <f t="shared" si="233"/>
        <v>0</v>
      </c>
      <c r="AA218">
        <v>68990560</v>
      </c>
      <c r="AB218">
        <f t="shared" si="234"/>
        <v>1220.58</v>
      </c>
      <c r="AC218">
        <f t="shared" si="235"/>
        <v>1220.58</v>
      </c>
      <c r="AD218">
        <f>ROUND((((ET218)-(EU218))+AE218),2)</f>
        <v>0</v>
      </c>
      <c r="AE218">
        <f>ROUND((EU218),2)</f>
        <v>0</v>
      </c>
      <c r="AF218">
        <f>ROUND((EV218),2)</f>
        <v>0</v>
      </c>
      <c r="AG218">
        <f t="shared" si="236"/>
        <v>0</v>
      </c>
      <c r="AH218">
        <f>(EW218)</f>
        <v>0</v>
      </c>
      <c r="AI218">
        <f>(EX218)</f>
        <v>0</v>
      </c>
      <c r="AJ218">
        <f t="shared" si="237"/>
        <v>0</v>
      </c>
      <c r="AK218">
        <v>1220.58</v>
      </c>
      <c r="AL218">
        <v>1220.58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80</v>
      </c>
      <c r="AU218">
        <v>60</v>
      </c>
      <c r="AV218">
        <v>1</v>
      </c>
      <c r="AW218">
        <v>1</v>
      </c>
      <c r="AZ218">
        <v>1</v>
      </c>
      <c r="BA218">
        <v>1</v>
      </c>
      <c r="BB218">
        <v>1</v>
      </c>
      <c r="BC218">
        <v>6.57</v>
      </c>
      <c r="BD218" t="s">
        <v>3</v>
      </c>
      <c r="BE218" t="s">
        <v>3</v>
      </c>
      <c r="BF218" t="s">
        <v>3</v>
      </c>
      <c r="BG218" t="s">
        <v>3</v>
      </c>
      <c r="BH218">
        <v>3</v>
      </c>
      <c r="BI218">
        <v>2</v>
      </c>
      <c r="BJ218" t="s">
        <v>687</v>
      </c>
      <c r="BM218">
        <v>110012</v>
      </c>
      <c r="BN218">
        <v>0</v>
      </c>
      <c r="BO218" t="s">
        <v>686</v>
      </c>
      <c r="BP218">
        <v>1</v>
      </c>
      <c r="BQ218">
        <v>3</v>
      </c>
      <c r="BR218">
        <v>0</v>
      </c>
      <c r="BS218">
        <v>1</v>
      </c>
      <c r="BT218">
        <v>1</v>
      </c>
      <c r="BU218">
        <v>1</v>
      </c>
      <c r="BV218">
        <v>1</v>
      </c>
      <c r="BW218">
        <v>1</v>
      </c>
      <c r="BX218">
        <v>1</v>
      </c>
      <c r="BY218" t="s">
        <v>3</v>
      </c>
      <c r="BZ218">
        <v>80</v>
      </c>
      <c r="CA218">
        <v>60</v>
      </c>
      <c r="CE218">
        <v>0</v>
      </c>
      <c r="CF218">
        <v>0</v>
      </c>
      <c r="CG218">
        <v>0</v>
      </c>
      <c r="CM218">
        <v>0</v>
      </c>
      <c r="CN218" t="s">
        <v>3</v>
      </c>
      <c r="CO218">
        <v>0</v>
      </c>
      <c r="CP218">
        <f t="shared" si="238"/>
        <v>8019.21</v>
      </c>
      <c r="CQ218">
        <f t="shared" si="239"/>
        <v>8019.2105999999994</v>
      </c>
      <c r="CR218">
        <f t="shared" si="240"/>
        <v>0</v>
      </c>
      <c r="CS218">
        <f t="shared" si="241"/>
        <v>0</v>
      </c>
      <c r="CT218">
        <f t="shared" si="242"/>
        <v>0</v>
      </c>
      <c r="CU218">
        <f t="shared" si="243"/>
        <v>0</v>
      </c>
      <c r="CV218">
        <f t="shared" si="244"/>
        <v>0</v>
      </c>
      <c r="CW218">
        <f t="shared" si="245"/>
        <v>0</v>
      </c>
      <c r="CX218">
        <f t="shared" si="246"/>
        <v>0</v>
      </c>
      <c r="CY218">
        <f t="shared" si="247"/>
        <v>0</v>
      </c>
      <c r="CZ218">
        <f t="shared" si="248"/>
        <v>0</v>
      </c>
      <c r="DC218" t="s">
        <v>3</v>
      </c>
      <c r="DD218" t="s">
        <v>3</v>
      </c>
      <c r="DE218" t="s">
        <v>3</v>
      </c>
      <c r="DF218" t="s">
        <v>3</v>
      </c>
      <c r="DG218" t="s">
        <v>3</v>
      </c>
      <c r="DH218" t="s">
        <v>3</v>
      </c>
      <c r="DI218" t="s">
        <v>3</v>
      </c>
      <c r="DJ218" t="s">
        <v>3</v>
      </c>
      <c r="DK218" t="s">
        <v>3</v>
      </c>
      <c r="DL218" t="s">
        <v>3</v>
      </c>
      <c r="DM218" t="s">
        <v>3</v>
      </c>
      <c r="DN218">
        <v>0</v>
      </c>
      <c r="DO218">
        <v>0</v>
      </c>
      <c r="DP218">
        <v>1</v>
      </c>
      <c r="DQ218">
        <v>1</v>
      </c>
      <c r="DU218">
        <v>1013</v>
      </c>
      <c r="DV218" t="s">
        <v>29</v>
      </c>
      <c r="DW218" t="s">
        <v>29</v>
      </c>
      <c r="DX218">
        <v>1</v>
      </c>
      <c r="DZ218" t="s">
        <v>3</v>
      </c>
      <c r="EA218" t="s">
        <v>3</v>
      </c>
      <c r="EB218" t="s">
        <v>3</v>
      </c>
      <c r="EC218" t="s">
        <v>3</v>
      </c>
      <c r="EE218">
        <v>64095237</v>
      </c>
      <c r="EF218">
        <v>3</v>
      </c>
      <c r="EG218" t="s">
        <v>22</v>
      </c>
      <c r="EH218">
        <v>0</v>
      </c>
      <c r="EI218" t="s">
        <v>3</v>
      </c>
      <c r="EJ218">
        <v>2</v>
      </c>
      <c r="EK218">
        <v>110012</v>
      </c>
      <c r="EL218" t="s">
        <v>684</v>
      </c>
      <c r="EM218" t="s">
        <v>32</v>
      </c>
      <c r="EO218" t="s">
        <v>3</v>
      </c>
      <c r="EQ218">
        <v>0</v>
      </c>
      <c r="ER218">
        <v>1220.58</v>
      </c>
      <c r="ES218">
        <v>1220.58</v>
      </c>
      <c r="ET218">
        <v>0</v>
      </c>
      <c r="EU218">
        <v>0</v>
      </c>
      <c r="EV218">
        <v>0</v>
      </c>
      <c r="EW218">
        <v>0</v>
      </c>
      <c r="EX218">
        <v>0</v>
      </c>
      <c r="FQ218">
        <v>0</v>
      </c>
      <c r="FR218">
        <f t="shared" si="249"/>
        <v>0</v>
      </c>
      <c r="FS218">
        <v>0</v>
      </c>
      <c r="FX218">
        <v>80</v>
      </c>
      <c r="FY218">
        <v>60</v>
      </c>
      <c r="GA218" t="s">
        <v>3</v>
      </c>
      <c r="GD218">
        <v>1</v>
      </c>
      <c r="GF218">
        <v>-536182174</v>
      </c>
      <c r="GG218">
        <v>2</v>
      </c>
      <c r="GH218">
        <v>1</v>
      </c>
      <c r="GI218">
        <v>2</v>
      </c>
      <c r="GJ218">
        <v>0</v>
      </c>
      <c r="GK218">
        <v>0</v>
      </c>
      <c r="GL218">
        <f t="shared" si="250"/>
        <v>0</v>
      </c>
      <c r="GM218">
        <f t="shared" si="251"/>
        <v>8019.21</v>
      </c>
      <c r="GN218">
        <f t="shared" si="252"/>
        <v>0</v>
      </c>
      <c r="GO218">
        <f t="shared" si="253"/>
        <v>8019.21</v>
      </c>
      <c r="GP218">
        <f t="shared" si="254"/>
        <v>0</v>
      </c>
      <c r="GR218">
        <v>0</v>
      </c>
      <c r="GS218">
        <v>3</v>
      </c>
      <c r="GT218">
        <v>0</v>
      </c>
      <c r="GU218" t="s">
        <v>3</v>
      </c>
      <c r="GV218">
        <f t="shared" si="255"/>
        <v>0</v>
      </c>
      <c r="GW218">
        <v>1</v>
      </c>
      <c r="GX218">
        <f t="shared" si="256"/>
        <v>0</v>
      </c>
      <c r="HA218">
        <v>0</v>
      </c>
      <c r="HB218">
        <v>0</v>
      </c>
      <c r="HC218">
        <f t="shared" si="257"/>
        <v>0</v>
      </c>
      <c r="HE218" t="s">
        <v>3</v>
      </c>
      <c r="HF218" t="s">
        <v>3</v>
      </c>
      <c r="IK218">
        <v>0</v>
      </c>
    </row>
    <row r="219" spans="1:245" x14ac:dyDescent="0.2">
      <c r="A219">
        <v>17</v>
      </c>
      <c r="B219">
        <v>1</v>
      </c>
      <c r="C219">
        <f>ROW(SmtRes!A557)</f>
        <v>557</v>
      </c>
      <c r="D219">
        <f>ROW(EtalonRes!A535)</f>
        <v>535</v>
      </c>
      <c r="E219" t="s">
        <v>688</v>
      </c>
      <c r="F219" t="s">
        <v>689</v>
      </c>
      <c r="G219" t="s">
        <v>690</v>
      </c>
      <c r="H219" t="s">
        <v>29</v>
      </c>
      <c r="I219">
        <f>ROUND(1,5)</f>
        <v>1</v>
      </c>
      <c r="J219">
        <v>0</v>
      </c>
      <c r="O219">
        <f t="shared" si="223"/>
        <v>786.4</v>
      </c>
      <c r="P219">
        <f t="shared" si="224"/>
        <v>11.44</v>
      </c>
      <c r="Q219">
        <f t="shared" si="225"/>
        <v>0</v>
      </c>
      <c r="R219">
        <f t="shared" si="226"/>
        <v>0</v>
      </c>
      <c r="S219">
        <f t="shared" si="227"/>
        <v>774.96</v>
      </c>
      <c r="T219">
        <f t="shared" si="228"/>
        <v>0</v>
      </c>
      <c r="U219">
        <f t="shared" si="229"/>
        <v>2.7</v>
      </c>
      <c r="V219">
        <f t="shared" si="230"/>
        <v>0</v>
      </c>
      <c r="W219">
        <f t="shared" si="231"/>
        <v>0</v>
      </c>
      <c r="X219">
        <f t="shared" si="232"/>
        <v>619.97</v>
      </c>
      <c r="Y219">
        <f t="shared" si="233"/>
        <v>464.98</v>
      </c>
      <c r="AA219">
        <v>68990560</v>
      </c>
      <c r="AB219">
        <f t="shared" si="234"/>
        <v>23.37</v>
      </c>
      <c r="AC219">
        <f t="shared" si="235"/>
        <v>0.34</v>
      </c>
      <c r="AD219">
        <f>ROUND(((((ET219*1.35))-((EU219*1.35)))+AE219),2)</f>
        <v>0</v>
      </c>
      <c r="AE219">
        <f>ROUND(((EU219*1.35)),2)</f>
        <v>0</v>
      </c>
      <c r="AF219">
        <f>ROUND(((EV219*1.35)),2)</f>
        <v>23.03</v>
      </c>
      <c r="AG219">
        <f t="shared" si="236"/>
        <v>0</v>
      </c>
      <c r="AH219">
        <f>((EW219*1.35))</f>
        <v>2.7</v>
      </c>
      <c r="AI219">
        <f>((EX219*1.35))</f>
        <v>0</v>
      </c>
      <c r="AJ219">
        <f t="shared" si="237"/>
        <v>0</v>
      </c>
      <c r="AK219">
        <v>17.399999999999999</v>
      </c>
      <c r="AL219">
        <v>0.34</v>
      </c>
      <c r="AM219">
        <v>0</v>
      </c>
      <c r="AN219">
        <v>0</v>
      </c>
      <c r="AO219">
        <v>17.059999999999999</v>
      </c>
      <c r="AP219">
        <v>0</v>
      </c>
      <c r="AQ219">
        <v>2</v>
      </c>
      <c r="AR219">
        <v>0</v>
      </c>
      <c r="AS219">
        <v>0</v>
      </c>
      <c r="AT219">
        <v>80</v>
      </c>
      <c r="AU219">
        <v>60</v>
      </c>
      <c r="AV219">
        <v>1</v>
      </c>
      <c r="AW219">
        <v>1</v>
      </c>
      <c r="AZ219">
        <v>1</v>
      </c>
      <c r="BA219">
        <v>33.65</v>
      </c>
      <c r="BB219">
        <v>1</v>
      </c>
      <c r="BC219">
        <v>33.65</v>
      </c>
      <c r="BD219" t="s">
        <v>3</v>
      </c>
      <c r="BE219" t="s">
        <v>3</v>
      </c>
      <c r="BF219" t="s">
        <v>3</v>
      </c>
      <c r="BG219" t="s">
        <v>3</v>
      </c>
      <c r="BH219">
        <v>0</v>
      </c>
      <c r="BI219">
        <v>2</v>
      </c>
      <c r="BJ219" t="s">
        <v>691</v>
      </c>
      <c r="BM219">
        <v>110001</v>
      </c>
      <c r="BN219">
        <v>0</v>
      </c>
      <c r="BO219" t="s">
        <v>689</v>
      </c>
      <c r="BP219">
        <v>1</v>
      </c>
      <c r="BQ219">
        <v>3</v>
      </c>
      <c r="BR219">
        <v>0</v>
      </c>
      <c r="BS219">
        <v>33.65</v>
      </c>
      <c r="BT219">
        <v>1</v>
      </c>
      <c r="BU219">
        <v>1</v>
      </c>
      <c r="BV219">
        <v>1</v>
      </c>
      <c r="BW219">
        <v>1</v>
      </c>
      <c r="BX219">
        <v>1</v>
      </c>
      <c r="BY219" t="s">
        <v>3</v>
      </c>
      <c r="BZ219">
        <v>80</v>
      </c>
      <c r="CA219">
        <v>60</v>
      </c>
      <c r="CE219">
        <v>0</v>
      </c>
      <c r="CF219">
        <v>0</v>
      </c>
      <c r="CG219">
        <v>0</v>
      </c>
      <c r="CM219">
        <v>0</v>
      </c>
      <c r="CN219" t="s">
        <v>1329</v>
      </c>
      <c r="CO219">
        <v>0</v>
      </c>
      <c r="CP219">
        <f t="shared" si="238"/>
        <v>786.40000000000009</v>
      </c>
      <c r="CQ219">
        <f t="shared" si="239"/>
        <v>11.441000000000001</v>
      </c>
      <c r="CR219">
        <f t="shared" si="240"/>
        <v>0</v>
      </c>
      <c r="CS219">
        <f t="shared" si="241"/>
        <v>0</v>
      </c>
      <c r="CT219">
        <f t="shared" si="242"/>
        <v>774.95950000000005</v>
      </c>
      <c r="CU219">
        <f t="shared" si="243"/>
        <v>0</v>
      </c>
      <c r="CV219">
        <f t="shared" si="244"/>
        <v>2.7</v>
      </c>
      <c r="CW219">
        <f t="shared" si="245"/>
        <v>0</v>
      </c>
      <c r="CX219">
        <f t="shared" si="246"/>
        <v>0</v>
      </c>
      <c r="CY219">
        <f t="shared" si="247"/>
        <v>619.96800000000007</v>
      </c>
      <c r="CZ219">
        <f t="shared" si="248"/>
        <v>464.97600000000006</v>
      </c>
      <c r="DC219" t="s">
        <v>3</v>
      </c>
      <c r="DD219" t="s">
        <v>3</v>
      </c>
      <c r="DE219" t="s">
        <v>200</v>
      </c>
      <c r="DF219" t="s">
        <v>200</v>
      </c>
      <c r="DG219" t="s">
        <v>200</v>
      </c>
      <c r="DH219" t="s">
        <v>3</v>
      </c>
      <c r="DI219" t="s">
        <v>200</v>
      </c>
      <c r="DJ219" t="s">
        <v>200</v>
      </c>
      <c r="DK219" t="s">
        <v>3</v>
      </c>
      <c r="DL219" t="s">
        <v>3</v>
      </c>
      <c r="DM219" t="s">
        <v>3</v>
      </c>
      <c r="DN219">
        <v>0</v>
      </c>
      <c r="DO219">
        <v>0</v>
      </c>
      <c r="DP219">
        <v>1</v>
      </c>
      <c r="DQ219">
        <v>1</v>
      </c>
      <c r="DU219">
        <v>1013</v>
      </c>
      <c r="DV219" t="s">
        <v>29</v>
      </c>
      <c r="DW219" t="s">
        <v>29</v>
      </c>
      <c r="DX219">
        <v>1</v>
      </c>
      <c r="DZ219" t="s">
        <v>3</v>
      </c>
      <c r="EA219" t="s">
        <v>3</v>
      </c>
      <c r="EB219" t="s">
        <v>3</v>
      </c>
      <c r="EC219" t="s">
        <v>3</v>
      </c>
      <c r="EE219">
        <v>64094912</v>
      </c>
      <c r="EF219">
        <v>3</v>
      </c>
      <c r="EG219" t="s">
        <v>22</v>
      </c>
      <c r="EH219">
        <v>0</v>
      </c>
      <c r="EI219" t="s">
        <v>3</v>
      </c>
      <c r="EJ219">
        <v>2</v>
      </c>
      <c r="EK219">
        <v>110001</v>
      </c>
      <c r="EL219" t="s">
        <v>692</v>
      </c>
      <c r="EM219" t="s">
        <v>32</v>
      </c>
      <c r="EO219" t="s">
        <v>42</v>
      </c>
      <c r="EQ219">
        <v>0</v>
      </c>
      <c r="ER219">
        <v>17.399999999999999</v>
      </c>
      <c r="ES219">
        <v>0.34</v>
      </c>
      <c r="ET219">
        <v>0</v>
      </c>
      <c r="EU219">
        <v>0</v>
      </c>
      <c r="EV219">
        <v>17.059999999999999</v>
      </c>
      <c r="EW219">
        <v>2</v>
      </c>
      <c r="EX219">
        <v>0</v>
      </c>
      <c r="EY219">
        <v>0</v>
      </c>
      <c r="FQ219">
        <v>0</v>
      </c>
      <c r="FR219">
        <f t="shared" si="249"/>
        <v>0</v>
      </c>
      <c r="FS219">
        <v>0</v>
      </c>
      <c r="FX219">
        <v>80</v>
      </c>
      <c r="FY219">
        <v>60</v>
      </c>
      <c r="GA219" t="s">
        <v>3</v>
      </c>
      <c r="GD219">
        <v>1</v>
      </c>
      <c r="GF219">
        <v>308976805</v>
      </c>
      <c r="GG219">
        <v>2</v>
      </c>
      <c r="GH219">
        <v>1</v>
      </c>
      <c r="GI219">
        <v>2</v>
      </c>
      <c r="GJ219">
        <v>0</v>
      </c>
      <c r="GK219">
        <v>0</v>
      </c>
      <c r="GL219">
        <f t="shared" si="250"/>
        <v>0</v>
      </c>
      <c r="GM219">
        <f t="shared" si="251"/>
        <v>1871.35</v>
      </c>
      <c r="GN219">
        <f t="shared" si="252"/>
        <v>0</v>
      </c>
      <c r="GO219">
        <f t="shared" si="253"/>
        <v>1871.35</v>
      </c>
      <c r="GP219">
        <f t="shared" si="254"/>
        <v>0</v>
      </c>
      <c r="GR219">
        <v>0</v>
      </c>
      <c r="GS219">
        <v>3</v>
      </c>
      <c r="GT219">
        <v>0</v>
      </c>
      <c r="GU219" t="s">
        <v>3</v>
      </c>
      <c r="GV219">
        <f t="shared" si="255"/>
        <v>0</v>
      </c>
      <c r="GW219">
        <v>1</v>
      </c>
      <c r="GX219">
        <f t="shared" si="256"/>
        <v>0</v>
      </c>
      <c r="HA219">
        <v>0</v>
      </c>
      <c r="HB219">
        <v>0</v>
      </c>
      <c r="HC219">
        <f t="shared" si="257"/>
        <v>0</v>
      </c>
      <c r="HE219" t="s">
        <v>3</v>
      </c>
      <c r="HF219" t="s">
        <v>3</v>
      </c>
      <c r="IK219">
        <v>0</v>
      </c>
    </row>
    <row r="220" spans="1:245" x14ac:dyDescent="0.2">
      <c r="A220">
        <v>18</v>
      </c>
      <c r="B220">
        <v>1</v>
      </c>
      <c r="C220">
        <v>556</v>
      </c>
      <c r="E220" t="s">
        <v>693</v>
      </c>
      <c r="F220" t="s">
        <v>694</v>
      </c>
      <c r="G220" t="s">
        <v>1343</v>
      </c>
      <c r="H220" t="s">
        <v>29</v>
      </c>
      <c r="I220">
        <f>I219*J220</f>
        <v>1</v>
      </c>
      <c r="J220">
        <v>1</v>
      </c>
      <c r="O220">
        <f t="shared" si="223"/>
        <v>2199.92</v>
      </c>
      <c r="P220">
        <f t="shared" si="224"/>
        <v>2199.92</v>
      </c>
      <c r="Q220">
        <f t="shared" si="225"/>
        <v>0</v>
      </c>
      <c r="R220">
        <f t="shared" si="226"/>
        <v>0</v>
      </c>
      <c r="S220">
        <f t="shared" si="227"/>
        <v>0</v>
      </c>
      <c r="T220">
        <f t="shared" si="228"/>
        <v>0</v>
      </c>
      <c r="U220">
        <f t="shared" si="229"/>
        <v>0</v>
      </c>
      <c r="V220">
        <f t="shared" si="230"/>
        <v>0</v>
      </c>
      <c r="W220">
        <f t="shared" si="231"/>
        <v>0</v>
      </c>
      <c r="X220">
        <f t="shared" si="232"/>
        <v>0</v>
      </c>
      <c r="Y220">
        <f t="shared" si="233"/>
        <v>0</v>
      </c>
      <c r="AA220">
        <v>68990560</v>
      </c>
      <c r="AB220">
        <f t="shared" si="234"/>
        <v>535.26</v>
      </c>
      <c r="AC220">
        <f t="shared" si="235"/>
        <v>535.26</v>
      </c>
      <c r="AD220">
        <f>ROUND((((ET220)-(EU220))+AE220),2)</f>
        <v>0</v>
      </c>
      <c r="AE220">
        <f>ROUND((EU220),2)</f>
        <v>0</v>
      </c>
      <c r="AF220">
        <f>ROUND((EV220),2)</f>
        <v>0</v>
      </c>
      <c r="AG220">
        <f t="shared" si="236"/>
        <v>0</v>
      </c>
      <c r="AH220">
        <f>(EW220)</f>
        <v>0</v>
      </c>
      <c r="AI220">
        <f>(EX220)</f>
        <v>0</v>
      </c>
      <c r="AJ220">
        <f t="shared" si="237"/>
        <v>0</v>
      </c>
      <c r="AK220">
        <v>535.26</v>
      </c>
      <c r="AL220">
        <v>535.26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80</v>
      </c>
      <c r="AU220">
        <v>60</v>
      </c>
      <c r="AV220">
        <v>1</v>
      </c>
      <c r="AW220">
        <v>1</v>
      </c>
      <c r="AZ220">
        <v>1</v>
      </c>
      <c r="BA220">
        <v>1</v>
      </c>
      <c r="BB220">
        <v>1</v>
      </c>
      <c r="BC220">
        <v>4.1100000000000003</v>
      </c>
      <c r="BD220" t="s">
        <v>3</v>
      </c>
      <c r="BE220" t="s">
        <v>3</v>
      </c>
      <c r="BF220" t="s">
        <v>3</v>
      </c>
      <c r="BG220" t="s">
        <v>3</v>
      </c>
      <c r="BH220">
        <v>3</v>
      </c>
      <c r="BI220">
        <v>2</v>
      </c>
      <c r="BJ220" t="s">
        <v>695</v>
      </c>
      <c r="BM220">
        <v>110012</v>
      </c>
      <c r="BN220">
        <v>0</v>
      </c>
      <c r="BO220" t="s">
        <v>694</v>
      </c>
      <c r="BP220">
        <v>1</v>
      </c>
      <c r="BQ220">
        <v>3</v>
      </c>
      <c r="BR220">
        <v>0</v>
      </c>
      <c r="BS220">
        <v>1</v>
      </c>
      <c r="BT220">
        <v>1</v>
      </c>
      <c r="BU220">
        <v>1</v>
      </c>
      <c r="BV220">
        <v>1</v>
      </c>
      <c r="BW220">
        <v>1</v>
      </c>
      <c r="BX220">
        <v>1</v>
      </c>
      <c r="BY220" t="s">
        <v>3</v>
      </c>
      <c r="BZ220">
        <v>80</v>
      </c>
      <c r="CA220">
        <v>60</v>
      </c>
      <c r="CE220">
        <v>0</v>
      </c>
      <c r="CF220">
        <v>0</v>
      </c>
      <c r="CG220">
        <v>0</v>
      </c>
      <c r="CM220">
        <v>0</v>
      </c>
      <c r="CN220" t="s">
        <v>3</v>
      </c>
      <c r="CO220">
        <v>0</v>
      </c>
      <c r="CP220">
        <f t="shared" si="238"/>
        <v>2199.92</v>
      </c>
      <c r="CQ220">
        <f t="shared" si="239"/>
        <v>2199.9186</v>
      </c>
      <c r="CR220">
        <f t="shared" si="240"/>
        <v>0</v>
      </c>
      <c r="CS220">
        <f t="shared" si="241"/>
        <v>0</v>
      </c>
      <c r="CT220">
        <f t="shared" si="242"/>
        <v>0</v>
      </c>
      <c r="CU220">
        <f t="shared" si="243"/>
        <v>0</v>
      </c>
      <c r="CV220">
        <f t="shared" si="244"/>
        <v>0</v>
      </c>
      <c r="CW220">
        <f t="shared" si="245"/>
        <v>0</v>
      </c>
      <c r="CX220">
        <f t="shared" si="246"/>
        <v>0</v>
      </c>
      <c r="CY220">
        <f t="shared" si="247"/>
        <v>0</v>
      </c>
      <c r="CZ220">
        <f t="shared" si="248"/>
        <v>0</v>
      </c>
      <c r="DC220" t="s">
        <v>3</v>
      </c>
      <c r="DD220" t="s">
        <v>3</v>
      </c>
      <c r="DE220" t="s">
        <v>3</v>
      </c>
      <c r="DF220" t="s">
        <v>3</v>
      </c>
      <c r="DG220" t="s">
        <v>3</v>
      </c>
      <c r="DH220" t="s">
        <v>3</v>
      </c>
      <c r="DI220" t="s">
        <v>3</v>
      </c>
      <c r="DJ220" t="s">
        <v>3</v>
      </c>
      <c r="DK220" t="s">
        <v>3</v>
      </c>
      <c r="DL220" t="s">
        <v>3</v>
      </c>
      <c r="DM220" t="s">
        <v>3</v>
      </c>
      <c r="DN220">
        <v>0</v>
      </c>
      <c r="DO220">
        <v>0</v>
      </c>
      <c r="DP220">
        <v>1</v>
      </c>
      <c r="DQ220">
        <v>1</v>
      </c>
      <c r="DU220">
        <v>1013</v>
      </c>
      <c r="DV220" t="s">
        <v>29</v>
      </c>
      <c r="DW220" t="s">
        <v>29</v>
      </c>
      <c r="DX220">
        <v>1</v>
      </c>
      <c r="DZ220" t="s">
        <v>3</v>
      </c>
      <c r="EA220" t="s">
        <v>3</v>
      </c>
      <c r="EB220" t="s">
        <v>3</v>
      </c>
      <c r="EC220" t="s">
        <v>3</v>
      </c>
      <c r="EE220">
        <v>64095237</v>
      </c>
      <c r="EF220">
        <v>3</v>
      </c>
      <c r="EG220" t="s">
        <v>22</v>
      </c>
      <c r="EH220">
        <v>0</v>
      </c>
      <c r="EI220" t="s">
        <v>3</v>
      </c>
      <c r="EJ220">
        <v>2</v>
      </c>
      <c r="EK220">
        <v>110012</v>
      </c>
      <c r="EL220" t="s">
        <v>684</v>
      </c>
      <c r="EM220" t="s">
        <v>32</v>
      </c>
      <c r="EO220" t="s">
        <v>3</v>
      </c>
      <c r="EQ220">
        <v>0</v>
      </c>
      <c r="ER220">
        <v>535.26</v>
      </c>
      <c r="ES220">
        <v>535.26</v>
      </c>
      <c r="ET220">
        <v>0</v>
      </c>
      <c r="EU220">
        <v>0</v>
      </c>
      <c r="EV220">
        <v>0</v>
      </c>
      <c r="EW220">
        <v>0</v>
      </c>
      <c r="EX220">
        <v>0</v>
      </c>
      <c r="FQ220">
        <v>0</v>
      </c>
      <c r="FR220">
        <f t="shared" si="249"/>
        <v>0</v>
      </c>
      <c r="FS220">
        <v>0</v>
      </c>
      <c r="FX220">
        <v>80</v>
      </c>
      <c r="FY220">
        <v>60</v>
      </c>
      <c r="GA220" t="s">
        <v>3</v>
      </c>
      <c r="GD220">
        <v>1</v>
      </c>
      <c r="GF220">
        <v>2129847283</v>
      </c>
      <c r="GG220">
        <v>2</v>
      </c>
      <c r="GH220">
        <v>1</v>
      </c>
      <c r="GI220">
        <v>2</v>
      </c>
      <c r="GJ220">
        <v>0</v>
      </c>
      <c r="GK220">
        <v>0</v>
      </c>
      <c r="GL220">
        <f t="shared" si="250"/>
        <v>0</v>
      </c>
      <c r="GM220">
        <f t="shared" si="251"/>
        <v>2199.92</v>
      </c>
      <c r="GN220">
        <f t="shared" si="252"/>
        <v>0</v>
      </c>
      <c r="GO220">
        <f t="shared" si="253"/>
        <v>2199.92</v>
      </c>
      <c r="GP220">
        <f t="shared" si="254"/>
        <v>0</v>
      </c>
      <c r="GR220">
        <v>0</v>
      </c>
      <c r="GS220">
        <v>3</v>
      </c>
      <c r="GT220">
        <v>0</v>
      </c>
      <c r="GU220" t="s">
        <v>3</v>
      </c>
      <c r="GV220">
        <f t="shared" si="255"/>
        <v>0</v>
      </c>
      <c r="GW220">
        <v>1</v>
      </c>
      <c r="GX220">
        <f t="shared" si="256"/>
        <v>0</v>
      </c>
      <c r="HA220">
        <v>0</v>
      </c>
      <c r="HB220">
        <v>0</v>
      </c>
      <c r="HC220">
        <f t="shared" si="257"/>
        <v>0</v>
      </c>
      <c r="HE220" t="s">
        <v>3</v>
      </c>
      <c r="HF220" t="s">
        <v>3</v>
      </c>
      <c r="IK220">
        <v>0</v>
      </c>
    </row>
    <row r="221" spans="1:245" x14ac:dyDescent="0.2">
      <c r="A221">
        <v>17</v>
      </c>
      <c r="B221">
        <v>1</v>
      </c>
      <c r="C221">
        <f>ROW(SmtRes!A562)</f>
        <v>562</v>
      </c>
      <c r="D221">
        <f>ROW(EtalonRes!A538)</f>
        <v>538</v>
      </c>
      <c r="E221" t="s">
        <v>696</v>
      </c>
      <c r="F221" t="s">
        <v>542</v>
      </c>
      <c r="G221" t="s">
        <v>543</v>
      </c>
      <c r="H221" t="s">
        <v>90</v>
      </c>
      <c r="I221">
        <f>ROUND(50/100,5)</f>
        <v>0.5</v>
      </c>
      <c r="J221">
        <v>0</v>
      </c>
      <c r="O221">
        <f t="shared" si="223"/>
        <v>3307.42</v>
      </c>
      <c r="P221">
        <f t="shared" si="224"/>
        <v>137.93</v>
      </c>
      <c r="Q221">
        <f t="shared" si="225"/>
        <v>0</v>
      </c>
      <c r="R221">
        <f t="shared" si="226"/>
        <v>0</v>
      </c>
      <c r="S221">
        <f t="shared" si="227"/>
        <v>3169.49</v>
      </c>
      <c r="T221">
        <f t="shared" si="228"/>
        <v>0</v>
      </c>
      <c r="U221">
        <f t="shared" si="229"/>
        <v>10.26</v>
      </c>
      <c r="V221">
        <f t="shared" si="230"/>
        <v>0</v>
      </c>
      <c r="W221">
        <f t="shared" si="231"/>
        <v>0</v>
      </c>
      <c r="X221">
        <f t="shared" si="232"/>
        <v>3011.02</v>
      </c>
      <c r="Y221">
        <f t="shared" si="233"/>
        <v>2060.17</v>
      </c>
      <c r="AA221">
        <v>68990560</v>
      </c>
      <c r="AB221">
        <f t="shared" si="234"/>
        <v>205.17</v>
      </c>
      <c r="AC221">
        <f t="shared" si="235"/>
        <v>16.79</v>
      </c>
      <c r="AD221">
        <f>ROUND(((((ET221*1.35))-((EU221*1.35)))+AE221),2)</f>
        <v>0</v>
      </c>
      <c r="AE221">
        <f>ROUND(((EU221*1.35)),2)</f>
        <v>0</v>
      </c>
      <c r="AF221">
        <f>ROUND(((EV221*1.35)),2)</f>
        <v>188.38</v>
      </c>
      <c r="AG221">
        <f t="shared" si="236"/>
        <v>0</v>
      </c>
      <c r="AH221">
        <f>((EW221*1.35))</f>
        <v>20.52</v>
      </c>
      <c r="AI221">
        <f>((EX221*1.35))</f>
        <v>0</v>
      </c>
      <c r="AJ221">
        <f t="shared" si="237"/>
        <v>0</v>
      </c>
      <c r="AK221">
        <v>156.33000000000001</v>
      </c>
      <c r="AL221">
        <v>16.79</v>
      </c>
      <c r="AM221">
        <v>0</v>
      </c>
      <c r="AN221">
        <v>0</v>
      </c>
      <c r="AO221">
        <v>139.54</v>
      </c>
      <c r="AP221">
        <v>0</v>
      </c>
      <c r="AQ221">
        <v>15.2</v>
      </c>
      <c r="AR221">
        <v>0</v>
      </c>
      <c r="AS221">
        <v>0</v>
      </c>
      <c r="AT221">
        <v>95</v>
      </c>
      <c r="AU221">
        <v>65</v>
      </c>
      <c r="AV221">
        <v>1</v>
      </c>
      <c r="AW221">
        <v>1</v>
      </c>
      <c r="AZ221">
        <v>1</v>
      </c>
      <c r="BA221">
        <v>33.65</v>
      </c>
      <c r="BB221">
        <v>1</v>
      </c>
      <c r="BC221">
        <v>16.43</v>
      </c>
      <c r="BD221" t="s">
        <v>3</v>
      </c>
      <c r="BE221" t="s">
        <v>3</v>
      </c>
      <c r="BF221" t="s">
        <v>3</v>
      </c>
      <c r="BG221" t="s">
        <v>3</v>
      </c>
      <c r="BH221">
        <v>0</v>
      </c>
      <c r="BI221">
        <v>2</v>
      </c>
      <c r="BJ221" t="s">
        <v>544</v>
      </c>
      <c r="BM221">
        <v>108001</v>
      </c>
      <c r="BN221">
        <v>0</v>
      </c>
      <c r="BO221" t="s">
        <v>542</v>
      </c>
      <c r="BP221">
        <v>1</v>
      </c>
      <c r="BQ221">
        <v>3</v>
      </c>
      <c r="BR221">
        <v>0</v>
      </c>
      <c r="BS221">
        <v>33.65</v>
      </c>
      <c r="BT221">
        <v>1</v>
      </c>
      <c r="BU221">
        <v>1</v>
      </c>
      <c r="BV221">
        <v>1</v>
      </c>
      <c r="BW221">
        <v>1</v>
      </c>
      <c r="BX221">
        <v>1</v>
      </c>
      <c r="BY221" t="s">
        <v>3</v>
      </c>
      <c r="BZ221">
        <v>95</v>
      </c>
      <c r="CA221">
        <v>65</v>
      </c>
      <c r="CE221">
        <v>0</v>
      </c>
      <c r="CF221">
        <v>0</v>
      </c>
      <c r="CG221">
        <v>0</v>
      </c>
      <c r="CM221">
        <v>0</v>
      </c>
      <c r="CN221" t="s">
        <v>1329</v>
      </c>
      <c r="CO221">
        <v>0</v>
      </c>
      <c r="CP221">
        <f t="shared" si="238"/>
        <v>3307.4199999999996</v>
      </c>
      <c r="CQ221">
        <f t="shared" si="239"/>
        <v>275.85969999999998</v>
      </c>
      <c r="CR221">
        <f t="shared" si="240"/>
        <v>0</v>
      </c>
      <c r="CS221">
        <f t="shared" si="241"/>
        <v>0</v>
      </c>
      <c r="CT221">
        <f t="shared" si="242"/>
        <v>6338.9869999999992</v>
      </c>
      <c r="CU221">
        <f t="shared" si="243"/>
        <v>0</v>
      </c>
      <c r="CV221">
        <f t="shared" si="244"/>
        <v>20.52</v>
      </c>
      <c r="CW221">
        <f t="shared" si="245"/>
        <v>0</v>
      </c>
      <c r="CX221">
        <f t="shared" si="246"/>
        <v>0</v>
      </c>
      <c r="CY221">
        <f t="shared" si="247"/>
        <v>3011.0155</v>
      </c>
      <c r="CZ221">
        <f t="shared" si="248"/>
        <v>2060.1684999999998</v>
      </c>
      <c r="DC221" t="s">
        <v>3</v>
      </c>
      <c r="DD221" t="s">
        <v>3</v>
      </c>
      <c r="DE221" t="s">
        <v>200</v>
      </c>
      <c r="DF221" t="s">
        <v>200</v>
      </c>
      <c r="DG221" t="s">
        <v>200</v>
      </c>
      <c r="DH221" t="s">
        <v>3</v>
      </c>
      <c r="DI221" t="s">
        <v>200</v>
      </c>
      <c r="DJ221" t="s">
        <v>200</v>
      </c>
      <c r="DK221" t="s">
        <v>3</v>
      </c>
      <c r="DL221" t="s">
        <v>3</v>
      </c>
      <c r="DM221" t="s">
        <v>3</v>
      </c>
      <c r="DN221">
        <v>0</v>
      </c>
      <c r="DO221">
        <v>0</v>
      </c>
      <c r="DP221">
        <v>1</v>
      </c>
      <c r="DQ221">
        <v>1</v>
      </c>
      <c r="DU221">
        <v>1003</v>
      </c>
      <c r="DV221" t="s">
        <v>90</v>
      </c>
      <c r="DW221" t="s">
        <v>90</v>
      </c>
      <c r="DX221">
        <v>100</v>
      </c>
      <c r="DZ221" t="s">
        <v>3</v>
      </c>
      <c r="EA221" t="s">
        <v>3</v>
      </c>
      <c r="EB221" t="s">
        <v>3</v>
      </c>
      <c r="EC221" t="s">
        <v>3</v>
      </c>
      <c r="EE221">
        <v>64094909</v>
      </c>
      <c r="EF221">
        <v>3</v>
      </c>
      <c r="EG221" t="s">
        <v>22</v>
      </c>
      <c r="EH221">
        <v>0</v>
      </c>
      <c r="EI221" t="s">
        <v>3</v>
      </c>
      <c r="EJ221">
        <v>2</v>
      </c>
      <c r="EK221">
        <v>108001</v>
      </c>
      <c r="EL221" t="s">
        <v>23</v>
      </c>
      <c r="EM221" t="s">
        <v>24</v>
      </c>
      <c r="EO221" t="s">
        <v>42</v>
      </c>
      <c r="EQ221">
        <v>0</v>
      </c>
      <c r="ER221">
        <v>156.33000000000001</v>
      </c>
      <c r="ES221">
        <v>16.79</v>
      </c>
      <c r="ET221">
        <v>0</v>
      </c>
      <c r="EU221">
        <v>0</v>
      </c>
      <c r="EV221">
        <v>139.54</v>
      </c>
      <c r="EW221">
        <v>15.2</v>
      </c>
      <c r="EX221">
        <v>0</v>
      </c>
      <c r="EY221">
        <v>0</v>
      </c>
      <c r="FQ221">
        <v>0</v>
      </c>
      <c r="FR221">
        <f t="shared" si="249"/>
        <v>0</v>
      </c>
      <c r="FS221">
        <v>0</v>
      </c>
      <c r="FX221">
        <v>95</v>
      </c>
      <c r="FY221">
        <v>65</v>
      </c>
      <c r="GA221" t="s">
        <v>3</v>
      </c>
      <c r="GD221">
        <v>1</v>
      </c>
      <c r="GF221">
        <v>1032387993</v>
      </c>
      <c r="GG221">
        <v>2</v>
      </c>
      <c r="GH221">
        <v>1</v>
      </c>
      <c r="GI221">
        <v>2</v>
      </c>
      <c r="GJ221">
        <v>0</v>
      </c>
      <c r="GK221">
        <v>0</v>
      </c>
      <c r="GL221">
        <f t="shared" si="250"/>
        <v>0</v>
      </c>
      <c r="GM221">
        <f t="shared" si="251"/>
        <v>8378.61</v>
      </c>
      <c r="GN221">
        <f t="shared" si="252"/>
        <v>0</v>
      </c>
      <c r="GO221">
        <f t="shared" si="253"/>
        <v>8378.61</v>
      </c>
      <c r="GP221">
        <f t="shared" si="254"/>
        <v>0</v>
      </c>
      <c r="GR221">
        <v>0</v>
      </c>
      <c r="GS221">
        <v>3</v>
      </c>
      <c r="GT221">
        <v>0</v>
      </c>
      <c r="GU221" t="s">
        <v>3</v>
      </c>
      <c r="GV221">
        <f t="shared" si="255"/>
        <v>0</v>
      </c>
      <c r="GW221">
        <v>1</v>
      </c>
      <c r="GX221">
        <f t="shared" si="256"/>
        <v>0</v>
      </c>
      <c r="HA221">
        <v>0</v>
      </c>
      <c r="HB221">
        <v>0</v>
      </c>
      <c r="HC221">
        <f t="shared" si="257"/>
        <v>0</v>
      </c>
      <c r="HE221" t="s">
        <v>3</v>
      </c>
      <c r="HF221" t="s">
        <v>3</v>
      </c>
      <c r="IK221">
        <v>0</v>
      </c>
    </row>
    <row r="222" spans="1:245" x14ac:dyDescent="0.2">
      <c r="A222">
        <v>18</v>
      </c>
      <c r="B222">
        <v>1</v>
      </c>
      <c r="C222">
        <v>560</v>
      </c>
      <c r="E222" t="s">
        <v>697</v>
      </c>
      <c r="F222" t="s">
        <v>546</v>
      </c>
      <c r="G222" t="s">
        <v>547</v>
      </c>
      <c r="H222" t="s">
        <v>18</v>
      </c>
      <c r="I222">
        <f>I221*J222</f>
        <v>0.5</v>
      </c>
      <c r="J222">
        <v>1</v>
      </c>
      <c r="O222">
        <f t="shared" si="223"/>
        <v>211.47</v>
      </c>
      <c r="P222">
        <f t="shared" si="224"/>
        <v>211.47</v>
      </c>
      <c r="Q222">
        <f t="shared" si="225"/>
        <v>0</v>
      </c>
      <c r="R222">
        <f t="shared" si="226"/>
        <v>0</v>
      </c>
      <c r="S222">
        <f t="shared" si="227"/>
        <v>0</v>
      </c>
      <c r="T222">
        <f t="shared" si="228"/>
        <v>0</v>
      </c>
      <c r="U222">
        <f t="shared" si="229"/>
        <v>0</v>
      </c>
      <c r="V222">
        <f t="shared" si="230"/>
        <v>0</v>
      </c>
      <c r="W222">
        <f t="shared" si="231"/>
        <v>0</v>
      </c>
      <c r="X222">
        <f t="shared" si="232"/>
        <v>0</v>
      </c>
      <c r="Y222">
        <f t="shared" si="233"/>
        <v>0</v>
      </c>
      <c r="AA222">
        <v>68990560</v>
      </c>
      <c r="AB222">
        <f t="shared" si="234"/>
        <v>38</v>
      </c>
      <c r="AC222">
        <f t="shared" si="235"/>
        <v>38</v>
      </c>
      <c r="AD222">
        <f>ROUND((((ET222)-(EU222))+AE222),2)</f>
        <v>0</v>
      </c>
      <c r="AE222">
        <f>ROUND((EU222),2)</f>
        <v>0</v>
      </c>
      <c r="AF222">
        <f>ROUND((EV222),2)</f>
        <v>0</v>
      </c>
      <c r="AG222">
        <f t="shared" si="236"/>
        <v>0</v>
      </c>
      <c r="AH222">
        <f>(EW222)</f>
        <v>0</v>
      </c>
      <c r="AI222">
        <f>(EX222)</f>
        <v>0</v>
      </c>
      <c r="AJ222">
        <f t="shared" si="237"/>
        <v>0</v>
      </c>
      <c r="AK222">
        <v>38</v>
      </c>
      <c r="AL222">
        <v>38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95</v>
      </c>
      <c r="AU222">
        <v>65</v>
      </c>
      <c r="AV222">
        <v>1</v>
      </c>
      <c r="AW222">
        <v>1</v>
      </c>
      <c r="AZ222">
        <v>1</v>
      </c>
      <c r="BA222">
        <v>1</v>
      </c>
      <c r="BB222">
        <v>1</v>
      </c>
      <c r="BC222">
        <v>11.13</v>
      </c>
      <c r="BD222" t="s">
        <v>3</v>
      </c>
      <c r="BE222" t="s">
        <v>3</v>
      </c>
      <c r="BF222" t="s">
        <v>3</v>
      </c>
      <c r="BG222" t="s">
        <v>3</v>
      </c>
      <c r="BH222">
        <v>3</v>
      </c>
      <c r="BI222">
        <v>2</v>
      </c>
      <c r="BJ222" t="s">
        <v>548</v>
      </c>
      <c r="BM222">
        <v>108001</v>
      </c>
      <c r="BN222">
        <v>0</v>
      </c>
      <c r="BO222" t="s">
        <v>546</v>
      </c>
      <c r="BP222">
        <v>1</v>
      </c>
      <c r="BQ222">
        <v>3</v>
      </c>
      <c r="BR222">
        <v>0</v>
      </c>
      <c r="BS222">
        <v>1</v>
      </c>
      <c r="BT222">
        <v>1</v>
      </c>
      <c r="BU222">
        <v>1</v>
      </c>
      <c r="BV222">
        <v>1</v>
      </c>
      <c r="BW222">
        <v>1</v>
      </c>
      <c r="BX222">
        <v>1</v>
      </c>
      <c r="BY222" t="s">
        <v>3</v>
      </c>
      <c r="BZ222">
        <v>95</v>
      </c>
      <c r="CA222">
        <v>65</v>
      </c>
      <c r="CE222">
        <v>0</v>
      </c>
      <c r="CF222">
        <v>0</v>
      </c>
      <c r="CG222">
        <v>0</v>
      </c>
      <c r="CM222">
        <v>0</v>
      </c>
      <c r="CN222" t="s">
        <v>3</v>
      </c>
      <c r="CO222">
        <v>0</v>
      </c>
      <c r="CP222">
        <f t="shared" si="238"/>
        <v>211.47</v>
      </c>
      <c r="CQ222">
        <f t="shared" si="239"/>
        <v>422.94000000000005</v>
      </c>
      <c r="CR222">
        <f t="shared" si="240"/>
        <v>0</v>
      </c>
      <c r="CS222">
        <f t="shared" si="241"/>
        <v>0</v>
      </c>
      <c r="CT222">
        <f t="shared" si="242"/>
        <v>0</v>
      </c>
      <c r="CU222">
        <f t="shared" si="243"/>
        <v>0</v>
      </c>
      <c r="CV222">
        <f t="shared" si="244"/>
        <v>0</v>
      </c>
      <c r="CW222">
        <f t="shared" si="245"/>
        <v>0</v>
      </c>
      <c r="CX222">
        <f t="shared" si="246"/>
        <v>0</v>
      </c>
      <c r="CY222">
        <f t="shared" si="247"/>
        <v>0</v>
      </c>
      <c r="CZ222">
        <f t="shared" si="248"/>
        <v>0</v>
      </c>
      <c r="DC222" t="s">
        <v>3</v>
      </c>
      <c r="DD222" t="s">
        <v>3</v>
      </c>
      <c r="DE222" t="s">
        <v>3</v>
      </c>
      <c r="DF222" t="s">
        <v>3</v>
      </c>
      <c r="DG222" t="s">
        <v>3</v>
      </c>
      <c r="DH222" t="s">
        <v>3</v>
      </c>
      <c r="DI222" t="s">
        <v>3</v>
      </c>
      <c r="DJ222" t="s">
        <v>3</v>
      </c>
      <c r="DK222" t="s">
        <v>3</v>
      </c>
      <c r="DL222" t="s">
        <v>3</v>
      </c>
      <c r="DM222" t="s">
        <v>3</v>
      </c>
      <c r="DN222">
        <v>0</v>
      </c>
      <c r="DO222">
        <v>0</v>
      </c>
      <c r="DP222">
        <v>1</v>
      </c>
      <c r="DQ222">
        <v>1</v>
      </c>
      <c r="DU222">
        <v>1013</v>
      </c>
      <c r="DV222" t="s">
        <v>18</v>
      </c>
      <c r="DW222" t="s">
        <v>18</v>
      </c>
      <c r="DX222">
        <v>1</v>
      </c>
      <c r="DZ222" t="s">
        <v>3</v>
      </c>
      <c r="EA222" t="s">
        <v>3</v>
      </c>
      <c r="EB222" t="s">
        <v>3</v>
      </c>
      <c r="EC222" t="s">
        <v>3</v>
      </c>
      <c r="EE222">
        <v>64094909</v>
      </c>
      <c r="EF222">
        <v>3</v>
      </c>
      <c r="EG222" t="s">
        <v>22</v>
      </c>
      <c r="EH222">
        <v>0</v>
      </c>
      <c r="EI222" t="s">
        <v>3</v>
      </c>
      <c r="EJ222">
        <v>2</v>
      </c>
      <c r="EK222">
        <v>108001</v>
      </c>
      <c r="EL222" t="s">
        <v>23</v>
      </c>
      <c r="EM222" t="s">
        <v>24</v>
      </c>
      <c r="EO222" t="s">
        <v>3</v>
      </c>
      <c r="EQ222">
        <v>0</v>
      </c>
      <c r="ER222">
        <v>38</v>
      </c>
      <c r="ES222">
        <v>38</v>
      </c>
      <c r="ET222">
        <v>0</v>
      </c>
      <c r="EU222">
        <v>0</v>
      </c>
      <c r="EV222">
        <v>0</v>
      </c>
      <c r="EW222">
        <v>0</v>
      </c>
      <c r="EX222">
        <v>0</v>
      </c>
      <c r="FQ222">
        <v>0</v>
      </c>
      <c r="FR222">
        <f t="shared" si="249"/>
        <v>0</v>
      </c>
      <c r="FS222">
        <v>0</v>
      </c>
      <c r="FX222">
        <v>95</v>
      </c>
      <c r="FY222">
        <v>65</v>
      </c>
      <c r="GA222" t="s">
        <v>3</v>
      </c>
      <c r="GD222">
        <v>1</v>
      </c>
      <c r="GF222">
        <v>1862872504</v>
      </c>
      <c r="GG222">
        <v>2</v>
      </c>
      <c r="GH222">
        <v>1</v>
      </c>
      <c r="GI222">
        <v>2</v>
      </c>
      <c r="GJ222">
        <v>0</v>
      </c>
      <c r="GK222">
        <v>0</v>
      </c>
      <c r="GL222">
        <f t="shared" si="250"/>
        <v>0</v>
      </c>
      <c r="GM222">
        <f t="shared" si="251"/>
        <v>211.47</v>
      </c>
      <c r="GN222">
        <f t="shared" si="252"/>
        <v>0</v>
      </c>
      <c r="GO222">
        <f t="shared" si="253"/>
        <v>211.47</v>
      </c>
      <c r="GP222">
        <f t="shared" si="254"/>
        <v>0</v>
      </c>
      <c r="GR222">
        <v>0</v>
      </c>
      <c r="GS222">
        <v>3</v>
      </c>
      <c r="GT222">
        <v>0</v>
      </c>
      <c r="GU222" t="s">
        <v>3</v>
      </c>
      <c r="GV222">
        <f t="shared" si="255"/>
        <v>0</v>
      </c>
      <c r="GW222">
        <v>1</v>
      </c>
      <c r="GX222">
        <f t="shared" si="256"/>
        <v>0</v>
      </c>
      <c r="HA222">
        <v>0</v>
      </c>
      <c r="HB222">
        <v>0</v>
      </c>
      <c r="HC222">
        <f t="shared" si="257"/>
        <v>0</v>
      </c>
      <c r="HE222" t="s">
        <v>3</v>
      </c>
      <c r="HF222" t="s">
        <v>3</v>
      </c>
      <c r="IK222">
        <v>0</v>
      </c>
    </row>
    <row r="223" spans="1:245" x14ac:dyDescent="0.2">
      <c r="A223">
        <v>18</v>
      </c>
      <c r="B223">
        <v>1</v>
      </c>
      <c r="C223">
        <v>561</v>
      </c>
      <c r="E223" t="s">
        <v>698</v>
      </c>
      <c r="F223" t="s">
        <v>550</v>
      </c>
      <c r="G223" t="s">
        <v>551</v>
      </c>
      <c r="H223" t="s">
        <v>379</v>
      </c>
      <c r="I223">
        <f>I221*J223</f>
        <v>50</v>
      </c>
      <c r="J223">
        <v>100</v>
      </c>
      <c r="O223">
        <f t="shared" si="223"/>
        <v>497.86</v>
      </c>
      <c r="P223">
        <f t="shared" si="224"/>
        <v>497.86</v>
      </c>
      <c r="Q223">
        <f t="shared" si="225"/>
        <v>0</v>
      </c>
      <c r="R223">
        <f t="shared" si="226"/>
        <v>0</v>
      </c>
      <c r="S223">
        <f t="shared" si="227"/>
        <v>0</v>
      </c>
      <c r="T223">
        <f t="shared" si="228"/>
        <v>0</v>
      </c>
      <c r="U223">
        <f t="shared" si="229"/>
        <v>0</v>
      </c>
      <c r="V223">
        <f t="shared" si="230"/>
        <v>0</v>
      </c>
      <c r="W223">
        <f t="shared" si="231"/>
        <v>0</v>
      </c>
      <c r="X223">
        <f t="shared" si="232"/>
        <v>0</v>
      </c>
      <c r="Y223">
        <f t="shared" si="233"/>
        <v>0</v>
      </c>
      <c r="AA223">
        <v>68990560</v>
      </c>
      <c r="AB223">
        <f t="shared" si="234"/>
        <v>1.24</v>
      </c>
      <c r="AC223">
        <f t="shared" si="235"/>
        <v>1.24</v>
      </c>
      <c r="AD223">
        <f>ROUND((((ET223)-(EU223))+AE223),2)</f>
        <v>0</v>
      </c>
      <c r="AE223">
        <f>ROUND((EU223),2)</f>
        <v>0</v>
      </c>
      <c r="AF223">
        <f>ROUND((EV223),2)</f>
        <v>0</v>
      </c>
      <c r="AG223">
        <f t="shared" si="236"/>
        <v>0</v>
      </c>
      <c r="AH223">
        <f>(EW223)</f>
        <v>0</v>
      </c>
      <c r="AI223">
        <f>(EX223)</f>
        <v>0</v>
      </c>
      <c r="AJ223">
        <f t="shared" si="237"/>
        <v>0</v>
      </c>
      <c r="AK223">
        <v>1.24</v>
      </c>
      <c r="AL223">
        <v>1.24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95</v>
      </c>
      <c r="AU223">
        <v>65</v>
      </c>
      <c r="AV223">
        <v>1</v>
      </c>
      <c r="AW223">
        <v>1</v>
      </c>
      <c r="AZ223">
        <v>1</v>
      </c>
      <c r="BA223">
        <v>1</v>
      </c>
      <c r="BB223">
        <v>1</v>
      </c>
      <c r="BC223">
        <v>8.0299999999999994</v>
      </c>
      <c r="BD223" t="s">
        <v>3</v>
      </c>
      <c r="BE223" t="s">
        <v>3</v>
      </c>
      <c r="BF223" t="s">
        <v>3</v>
      </c>
      <c r="BG223" t="s">
        <v>3</v>
      </c>
      <c r="BH223">
        <v>3</v>
      </c>
      <c r="BI223">
        <v>2</v>
      </c>
      <c r="BJ223" t="s">
        <v>552</v>
      </c>
      <c r="BM223">
        <v>108001</v>
      </c>
      <c r="BN223">
        <v>0</v>
      </c>
      <c r="BO223" t="s">
        <v>550</v>
      </c>
      <c r="BP223">
        <v>1</v>
      </c>
      <c r="BQ223">
        <v>3</v>
      </c>
      <c r="BR223">
        <v>0</v>
      </c>
      <c r="BS223">
        <v>1</v>
      </c>
      <c r="BT223">
        <v>1</v>
      </c>
      <c r="BU223">
        <v>1</v>
      </c>
      <c r="BV223">
        <v>1</v>
      </c>
      <c r="BW223">
        <v>1</v>
      </c>
      <c r="BX223">
        <v>1</v>
      </c>
      <c r="BY223" t="s">
        <v>3</v>
      </c>
      <c r="BZ223">
        <v>95</v>
      </c>
      <c r="CA223">
        <v>65</v>
      </c>
      <c r="CE223">
        <v>0</v>
      </c>
      <c r="CF223">
        <v>0</v>
      </c>
      <c r="CG223">
        <v>0</v>
      </c>
      <c r="CM223">
        <v>0</v>
      </c>
      <c r="CN223" t="s">
        <v>3</v>
      </c>
      <c r="CO223">
        <v>0</v>
      </c>
      <c r="CP223">
        <f t="shared" si="238"/>
        <v>497.86</v>
      </c>
      <c r="CQ223">
        <f t="shared" si="239"/>
        <v>9.9571999999999985</v>
      </c>
      <c r="CR223">
        <f t="shared" si="240"/>
        <v>0</v>
      </c>
      <c r="CS223">
        <f t="shared" si="241"/>
        <v>0</v>
      </c>
      <c r="CT223">
        <f t="shared" si="242"/>
        <v>0</v>
      </c>
      <c r="CU223">
        <f t="shared" si="243"/>
        <v>0</v>
      </c>
      <c r="CV223">
        <f t="shared" si="244"/>
        <v>0</v>
      </c>
      <c r="CW223">
        <f t="shared" si="245"/>
        <v>0</v>
      </c>
      <c r="CX223">
        <f t="shared" si="246"/>
        <v>0</v>
      </c>
      <c r="CY223">
        <f t="shared" si="247"/>
        <v>0</v>
      </c>
      <c r="CZ223">
        <f t="shared" si="248"/>
        <v>0</v>
      </c>
      <c r="DC223" t="s">
        <v>3</v>
      </c>
      <c r="DD223" t="s">
        <v>3</v>
      </c>
      <c r="DE223" t="s">
        <v>3</v>
      </c>
      <c r="DF223" t="s">
        <v>3</v>
      </c>
      <c r="DG223" t="s">
        <v>3</v>
      </c>
      <c r="DH223" t="s">
        <v>3</v>
      </c>
      <c r="DI223" t="s">
        <v>3</v>
      </c>
      <c r="DJ223" t="s">
        <v>3</v>
      </c>
      <c r="DK223" t="s">
        <v>3</v>
      </c>
      <c r="DL223" t="s">
        <v>3</v>
      </c>
      <c r="DM223" t="s">
        <v>3</v>
      </c>
      <c r="DN223">
        <v>0</v>
      </c>
      <c r="DO223">
        <v>0</v>
      </c>
      <c r="DP223">
        <v>1</v>
      </c>
      <c r="DQ223">
        <v>1</v>
      </c>
      <c r="DU223">
        <v>1003</v>
      </c>
      <c r="DV223" t="s">
        <v>379</v>
      </c>
      <c r="DW223" t="s">
        <v>379</v>
      </c>
      <c r="DX223">
        <v>1</v>
      </c>
      <c r="DZ223" t="s">
        <v>3</v>
      </c>
      <c r="EA223" t="s">
        <v>3</v>
      </c>
      <c r="EB223" t="s">
        <v>3</v>
      </c>
      <c r="EC223" t="s">
        <v>3</v>
      </c>
      <c r="EE223">
        <v>64094909</v>
      </c>
      <c r="EF223">
        <v>3</v>
      </c>
      <c r="EG223" t="s">
        <v>22</v>
      </c>
      <c r="EH223">
        <v>0</v>
      </c>
      <c r="EI223" t="s">
        <v>3</v>
      </c>
      <c r="EJ223">
        <v>2</v>
      </c>
      <c r="EK223">
        <v>108001</v>
      </c>
      <c r="EL223" t="s">
        <v>23</v>
      </c>
      <c r="EM223" t="s">
        <v>24</v>
      </c>
      <c r="EO223" t="s">
        <v>3</v>
      </c>
      <c r="EQ223">
        <v>0</v>
      </c>
      <c r="ER223">
        <v>1.24</v>
      </c>
      <c r="ES223">
        <v>1.24</v>
      </c>
      <c r="ET223">
        <v>0</v>
      </c>
      <c r="EU223">
        <v>0</v>
      </c>
      <c r="EV223">
        <v>0</v>
      </c>
      <c r="EW223">
        <v>0</v>
      </c>
      <c r="EX223">
        <v>0</v>
      </c>
      <c r="FQ223">
        <v>0</v>
      </c>
      <c r="FR223">
        <f t="shared" si="249"/>
        <v>0</v>
      </c>
      <c r="FS223">
        <v>0</v>
      </c>
      <c r="FX223">
        <v>95</v>
      </c>
      <c r="FY223">
        <v>65</v>
      </c>
      <c r="GA223" t="s">
        <v>3</v>
      </c>
      <c r="GD223">
        <v>1</v>
      </c>
      <c r="GF223">
        <v>559914826</v>
      </c>
      <c r="GG223">
        <v>2</v>
      </c>
      <c r="GH223">
        <v>1</v>
      </c>
      <c r="GI223">
        <v>2</v>
      </c>
      <c r="GJ223">
        <v>0</v>
      </c>
      <c r="GK223">
        <v>0</v>
      </c>
      <c r="GL223">
        <f t="shared" si="250"/>
        <v>0</v>
      </c>
      <c r="GM223">
        <f t="shared" si="251"/>
        <v>497.86</v>
      </c>
      <c r="GN223">
        <f t="shared" si="252"/>
        <v>0</v>
      </c>
      <c r="GO223">
        <f t="shared" si="253"/>
        <v>497.86</v>
      </c>
      <c r="GP223">
        <f t="shared" si="254"/>
        <v>0</v>
      </c>
      <c r="GR223">
        <v>0</v>
      </c>
      <c r="GS223">
        <v>3</v>
      </c>
      <c r="GT223">
        <v>0</v>
      </c>
      <c r="GU223" t="s">
        <v>3</v>
      </c>
      <c r="GV223">
        <f t="shared" si="255"/>
        <v>0</v>
      </c>
      <c r="GW223">
        <v>1</v>
      </c>
      <c r="GX223">
        <f t="shared" si="256"/>
        <v>0</v>
      </c>
      <c r="HA223">
        <v>0</v>
      </c>
      <c r="HB223">
        <v>0</v>
      </c>
      <c r="HC223">
        <f t="shared" si="257"/>
        <v>0</v>
      </c>
      <c r="HE223" t="s">
        <v>3</v>
      </c>
      <c r="HF223" t="s">
        <v>3</v>
      </c>
      <c r="IK223">
        <v>0</v>
      </c>
    </row>
    <row r="224" spans="1:245" x14ac:dyDescent="0.2">
      <c r="A224">
        <v>17</v>
      </c>
      <c r="B224">
        <v>1</v>
      </c>
      <c r="C224">
        <f>ROW(SmtRes!A573)</f>
        <v>573</v>
      </c>
      <c r="D224">
        <f>ROW(EtalonRes!A548)</f>
        <v>548</v>
      </c>
      <c r="E224" t="s">
        <v>699</v>
      </c>
      <c r="F224" t="s">
        <v>575</v>
      </c>
      <c r="G224" t="s">
        <v>576</v>
      </c>
      <c r="H224" t="s">
        <v>90</v>
      </c>
      <c r="I224">
        <f>ROUND(50/100,5)</f>
        <v>0.5</v>
      </c>
      <c r="J224">
        <v>0</v>
      </c>
      <c r="O224">
        <f t="shared" si="223"/>
        <v>1237.79</v>
      </c>
      <c r="P224">
        <f t="shared" si="224"/>
        <v>61.97</v>
      </c>
      <c r="Q224">
        <f t="shared" si="225"/>
        <v>24.99</v>
      </c>
      <c r="R224">
        <f t="shared" si="226"/>
        <v>11.44</v>
      </c>
      <c r="S224">
        <f t="shared" si="227"/>
        <v>1150.83</v>
      </c>
      <c r="T224">
        <f t="shared" si="228"/>
        <v>0</v>
      </c>
      <c r="U224">
        <f t="shared" si="229"/>
        <v>3.6382500000000002</v>
      </c>
      <c r="V224">
        <f t="shared" si="230"/>
        <v>2.7000000000000003E-2</v>
      </c>
      <c r="W224">
        <f t="shared" si="231"/>
        <v>0</v>
      </c>
      <c r="X224">
        <f t="shared" si="232"/>
        <v>1104.1600000000001</v>
      </c>
      <c r="Y224">
        <f t="shared" si="233"/>
        <v>755.48</v>
      </c>
      <c r="AA224">
        <v>68990560</v>
      </c>
      <c r="AB224">
        <f t="shared" si="234"/>
        <v>87.77</v>
      </c>
      <c r="AC224">
        <f t="shared" si="235"/>
        <v>14.48</v>
      </c>
      <c r="AD224">
        <f>ROUND(((((ET224*1.35))-((EU224*1.35)))+AE224),2)</f>
        <v>4.8899999999999997</v>
      </c>
      <c r="AE224">
        <f>ROUND(((EU224*1.35)),2)</f>
        <v>0.68</v>
      </c>
      <c r="AF224">
        <f>ROUND(((EV224*1.35)),2)</f>
        <v>68.400000000000006</v>
      </c>
      <c r="AG224">
        <f t="shared" si="236"/>
        <v>0</v>
      </c>
      <c r="AH224">
        <f>((EW224*1.35))</f>
        <v>7.2765000000000004</v>
      </c>
      <c r="AI224">
        <f>((EX224*1.35))</f>
        <v>5.4000000000000006E-2</v>
      </c>
      <c r="AJ224">
        <f t="shared" si="237"/>
        <v>0</v>
      </c>
      <c r="AK224">
        <v>68.77</v>
      </c>
      <c r="AL224">
        <v>14.48</v>
      </c>
      <c r="AM224">
        <v>3.62</v>
      </c>
      <c r="AN224">
        <v>0.5</v>
      </c>
      <c r="AO224">
        <v>50.67</v>
      </c>
      <c r="AP224">
        <v>0</v>
      </c>
      <c r="AQ224">
        <v>5.39</v>
      </c>
      <c r="AR224">
        <v>0.04</v>
      </c>
      <c r="AS224">
        <v>0</v>
      </c>
      <c r="AT224">
        <v>95</v>
      </c>
      <c r="AU224">
        <v>65</v>
      </c>
      <c r="AV224">
        <v>1</v>
      </c>
      <c r="AW224">
        <v>1</v>
      </c>
      <c r="AZ224">
        <v>1</v>
      </c>
      <c r="BA224">
        <v>33.65</v>
      </c>
      <c r="BB224">
        <v>10.220000000000001</v>
      </c>
      <c r="BC224">
        <v>8.56</v>
      </c>
      <c r="BD224" t="s">
        <v>3</v>
      </c>
      <c r="BE224" t="s">
        <v>3</v>
      </c>
      <c r="BF224" t="s">
        <v>3</v>
      </c>
      <c r="BG224" t="s">
        <v>3</v>
      </c>
      <c r="BH224">
        <v>0</v>
      </c>
      <c r="BI224">
        <v>2</v>
      </c>
      <c r="BJ224" t="s">
        <v>577</v>
      </c>
      <c r="BM224">
        <v>108001</v>
      </c>
      <c r="BN224">
        <v>0</v>
      </c>
      <c r="BO224" t="s">
        <v>575</v>
      </c>
      <c r="BP224">
        <v>1</v>
      </c>
      <c r="BQ224">
        <v>3</v>
      </c>
      <c r="BR224">
        <v>0</v>
      </c>
      <c r="BS224">
        <v>33.65</v>
      </c>
      <c r="BT224">
        <v>1</v>
      </c>
      <c r="BU224">
        <v>1</v>
      </c>
      <c r="BV224">
        <v>1</v>
      </c>
      <c r="BW224">
        <v>1</v>
      </c>
      <c r="BX224">
        <v>1</v>
      </c>
      <c r="BY224" t="s">
        <v>3</v>
      </c>
      <c r="BZ224">
        <v>95</v>
      </c>
      <c r="CA224">
        <v>65</v>
      </c>
      <c r="CE224">
        <v>0</v>
      </c>
      <c r="CF224">
        <v>0</v>
      </c>
      <c r="CG224">
        <v>0</v>
      </c>
      <c r="CM224">
        <v>0</v>
      </c>
      <c r="CN224" t="s">
        <v>1329</v>
      </c>
      <c r="CO224">
        <v>0</v>
      </c>
      <c r="CP224">
        <f t="shared" si="238"/>
        <v>1237.79</v>
      </c>
      <c r="CQ224">
        <f t="shared" si="239"/>
        <v>123.94880000000001</v>
      </c>
      <c r="CR224">
        <f t="shared" si="240"/>
        <v>49.9758</v>
      </c>
      <c r="CS224">
        <f t="shared" si="241"/>
        <v>22.882000000000001</v>
      </c>
      <c r="CT224">
        <f t="shared" si="242"/>
        <v>2301.6600000000003</v>
      </c>
      <c r="CU224">
        <f t="shared" si="243"/>
        <v>0</v>
      </c>
      <c r="CV224">
        <f t="shared" si="244"/>
        <v>7.2765000000000004</v>
      </c>
      <c r="CW224">
        <f t="shared" si="245"/>
        <v>5.4000000000000006E-2</v>
      </c>
      <c r="CX224">
        <f t="shared" si="246"/>
        <v>0</v>
      </c>
      <c r="CY224">
        <f t="shared" si="247"/>
        <v>1104.1565000000001</v>
      </c>
      <c r="CZ224">
        <f t="shared" si="248"/>
        <v>755.47550000000001</v>
      </c>
      <c r="DC224" t="s">
        <v>3</v>
      </c>
      <c r="DD224" t="s">
        <v>3</v>
      </c>
      <c r="DE224" t="s">
        <v>200</v>
      </c>
      <c r="DF224" t="s">
        <v>200</v>
      </c>
      <c r="DG224" t="s">
        <v>200</v>
      </c>
      <c r="DH224" t="s">
        <v>3</v>
      </c>
      <c r="DI224" t="s">
        <v>200</v>
      </c>
      <c r="DJ224" t="s">
        <v>200</v>
      </c>
      <c r="DK224" t="s">
        <v>3</v>
      </c>
      <c r="DL224" t="s">
        <v>3</v>
      </c>
      <c r="DM224" t="s">
        <v>3</v>
      </c>
      <c r="DN224">
        <v>0</v>
      </c>
      <c r="DO224">
        <v>0</v>
      </c>
      <c r="DP224">
        <v>1</v>
      </c>
      <c r="DQ224">
        <v>1</v>
      </c>
      <c r="DU224">
        <v>1003</v>
      </c>
      <c r="DV224" t="s">
        <v>90</v>
      </c>
      <c r="DW224" t="s">
        <v>90</v>
      </c>
      <c r="DX224">
        <v>100</v>
      </c>
      <c r="DZ224" t="s">
        <v>3</v>
      </c>
      <c r="EA224" t="s">
        <v>3</v>
      </c>
      <c r="EB224" t="s">
        <v>3</v>
      </c>
      <c r="EC224" t="s">
        <v>3</v>
      </c>
      <c r="EE224">
        <v>64094909</v>
      </c>
      <c r="EF224">
        <v>3</v>
      </c>
      <c r="EG224" t="s">
        <v>22</v>
      </c>
      <c r="EH224">
        <v>0</v>
      </c>
      <c r="EI224" t="s">
        <v>3</v>
      </c>
      <c r="EJ224">
        <v>2</v>
      </c>
      <c r="EK224">
        <v>108001</v>
      </c>
      <c r="EL224" t="s">
        <v>23</v>
      </c>
      <c r="EM224" t="s">
        <v>24</v>
      </c>
      <c r="EO224" t="s">
        <v>42</v>
      </c>
      <c r="EQ224">
        <v>0</v>
      </c>
      <c r="ER224">
        <v>68.77</v>
      </c>
      <c r="ES224">
        <v>14.48</v>
      </c>
      <c r="ET224">
        <v>3.62</v>
      </c>
      <c r="EU224">
        <v>0.5</v>
      </c>
      <c r="EV224">
        <v>50.67</v>
      </c>
      <c r="EW224">
        <v>5.39</v>
      </c>
      <c r="EX224">
        <v>0.04</v>
      </c>
      <c r="EY224">
        <v>0</v>
      </c>
      <c r="FQ224">
        <v>0</v>
      </c>
      <c r="FR224">
        <f t="shared" si="249"/>
        <v>0</v>
      </c>
      <c r="FS224">
        <v>0</v>
      </c>
      <c r="FX224">
        <v>95</v>
      </c>
      <c r="FY224">
        <v>65</v>
      </c>
      <c r="GA224" t="s">
        <v>3</v>
      </c>
      <c r="GD224">
        <v>1</v>
      </c>
      <c r="GF224">
        <v>2069076848</v>
      </c>
      <c r="GG224">
        <v>2</v>
      </c>
      <c r="GH224">
        <v>1</v>
      </c>
      <c r="GI224">
        <v>2</v>
      </c>
      <c r="GJ224">
        <v>0</v>
      </c>
      <c r="GK224">
        <v>0</v>
      </c>
      <c r="GL224">
        <f t="shared" si="250"/>
        <v>0</v>
      </c>
      <c r="GM224">
        <f t="shared" si="251"/>
        <v>3097.43</v>
      </c>
      <c r="GN224">
        <f t="shared" si="252"/>
        <v>0</v>
      </c>
      <c r="GO224">
        <f t="shared" si="253"/>
        <v>3097.43</v>
      </c>
      <c r="GP224">
        <f t="shared" si="254"/>
        <v>0</v>
      </c>
      <c r="GR224">
        <v>0</v>
      </c>
      <c r="GS224">
        <v>3</v>
      </c>
      <c r="GT224">
        <v>0</v>
      </c>
      <c r="GU224" t="s">
        <v>3</v>
      </c>
      <c r="GV224">
        <f t="shared" si="255"/>
        <v>0</v>
      </c>
      <c r="GW224">
        <v>1</v>
      </c>
      <c r="GX224">
        <f t="shared" si="256"/>
        <v>0</v>
      </c>
      <c r="HA224">
        <v>0</v>
      </c>
      <c r="HB224">
        <v>0</v>
      </c>
      <c r="HC224">
        <f t="shared" si="257"/>
        <v>0</v>
      </c>
      <c r="HE224" t="s">
        <v>3</v>
      </c>
      <c r="HF224" t="s">
        <v>3</v>
      </c>
      <c r="IK224">
        <v>0</v>
      </c>
    </row>
    <row r="225" spans="1:245" x14ac:dyDescent="0.2">
      <c r="A225">
        <v>18</v>
      </c>
      <c r="B225">
        <v>1</v>
      </c>
      <c r="C225">
        <v>572</v>
      </c>
      <c r="E225" t="s">
        <v>700</v>
      </c>
      <c r="F225" t="s">
        <v>701</v>
      </c>
      <c r="G225" t="s">
        <v>1344</v>
      </c>
      <c r="H225" t="s">
        <v>379</v>
      </c>
      <c r="I225">
        <f>I224*J225</f>
        <v>50</v>
      </c>
      <c r="J225">
        <v>100</v>
      </c>
      <c r="O225">
        <f t="shared" si="223"/>
        <v>1160.95</v>
      </c>
      <c r="P225">
        <f t="shared" si="224"/>
        <v>1160.95</v>
      </c>
      <c r="Q225">
        <f t="shared" si="225"/>
        <v>0</v>
      </c>
      <c r="R225">
        <f t="shared" si="226"/>
        <v>0</v>
      </c>
      <c r="S225">
        <f t="shared" si="227"/>
        <v>0</v>
      </c>
      <c r="T225">
        <f t="shared" si="228"/>
        <v>0</v>
      </c>
      <c r="U225">
        <f t="shared" si="229"/>
        <v>0</v>
      </c>
      <c r="V225">
        <f t="shared" si="230"/>
        <v>0</v>
      </c>
      <c r="W225">
        <f t="shared" si="231"/>
        <v>0</v>
      </c>
      <c r="X225">
        <f t="shared" si="232"/>
        <v>0</v>
      </c>
      <c r="Y225">
        <f t="shared" si="233"/>
        <v>0</v>
      </c>
      <c r="AA225">
        <v>68990560</v>
      </c>
      <c r="AB225">
        <f t="shared" si="234"/>
        <v>7.49</v>
      </c>
      <c r="AC225">
        <f t="shared" si="235"/>
        <v>7.49</v>
      </c>
      <c r="AD225">
        <f>ROUND((((ET225)-(EU225))+AE225),2)</f>
        <v>0</v>
      </c>
      <c r="AE225">
        <f>ROUND((EU225),2)</f>
        <v>0</v>
      </c>
      <c r="AF225">
        <f>ROUND((EV225),2)</f>
        <v>0</v>
      </c>
      <c r="AG225">
        <f t="shared" si="236"/>
        <v>0</v>
      </c>
      <c r="AH225">
        <f>(EW225)</f>
        <v>0</v>
      </c>
      <c r="AI225">
        <f>(EX225)</f>
        <v>0</v>
      </c>
      <c r="AJ225">
        <f t="shared" si="237"/>
        <v>0</v>
      </c>
      <c r="AK225">
        <v>7.49</v>
      </c>
      <c r="AL225">
        <v>7.49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95</v>
      </c>
      <c r="AU225">
        <v>65</v>
      </c>
      <c r="AV225">
        <v>1</v>
      </c>
      <c r="AW225">
        <v>1</v>
      </c>
      <c r="AZ225">
        <v>1</v>
      </c>
      <c r="BA225">
        <v>1</v>
      </c>
      <c r="BB225">
        <v>1</v>
      </c>
      <c r="BC225">
        <v>3.1</v>
      </c>
      <c r="BD225" t="s">
        <v>3</v>
      </c>
      <c r="BE225" t="s">
        <v>3</v>
      </c>
      <c r="BF225" t="s">
        <v>3</v>
      </c>
      <c r="BG225" t="s">
        <v>3</v>
      </c>
      <c r="BH225">
        <v>3</v>
      </c>
      <c r="BI225">
        <v>2</v>
      </c>
      <c r="BJ225" t="s">
        <v>702</v>
      </c>
      <c r="BM225">
        <v>108001</v>
      </c>
      <c r="BN225">
        <v>0</v>
      </c>
      <c r="BO225" t="s">
        <v>701</v>
      </c>
      <c r="BP225">
        <v>1</v>
      </c>
      <c r="BQ225">
        <v>3</v>
      </c>
      <c r="BR225">
        <v>0</v>
      </c>
      <c r="BS225">
        <v>1</v>
      </c>
      <c r="BT225">
        <v>1</v>
      </c>
      <c r="BU225">
        <v>1</v>
      </c>
      <c r="BV225">
        <v>1</v>
      </c>
      <c r="BW225">
        <v>1</v>
      </c>
      <c r="BX225">
        <v>1</v>
      </c>
      <c r="BY225" t="s">
        <v>3</v>
      </c>
      <c r="BZ225">
        <v>95</v>
      </c>
      <c r="CA225">
        <v>65</v>
      </c>
      <c r="CE225">
        <v>0</v>
      </c>
      <c r="CF225">
        <v>0</v>
      </c>
      <c r="CG225">
        <v>0</v>
      </c>
      <c r="CM225">
        <v>0</v>
      </c>
      <c r="CN225" t="s">
        <v>3</v>
      </c>
      <c r="CO225">
        <v>0</v>
      </c>
      <c r="CP225">
        <f t="shared" si="238"/>
        <v>1160.95</v>
      </c>
      <c r="CQ225">
        <f t="shared" si="239"/>
        <v>23.219000000000001</v>
      </c>
      <c r="CR225">
        <f t="shared" si="240"/>
        <v>0</v>
      </c>
      <c r="CS225">
        <f t="shared" si="241"/>
        <v>0</v>
      </c>
      <c r="CT225">
        <f t="shared" si="242"/>
        <v>0</v>
      </c>
      <c r="CU225">
        <f t="shared" si="243"/>
        <v>0</v>
      </c>
      <c r="CV225">
        <f t="shared" si="244"/>
        <v>0</v>
      </c>
      <c r="CW225">
        <f t="shared" si="245"/>
        <v>0</v>
      </c>
      <c r="CX225">
        <f t="shared" si="246"/>
        <v>0</v>
      </c>
      <c r="CY225">
        <f t="shared" si="247"/>
        <v>0</v>
      </c>
      <c r="CZ225">
        <f t="shared" si="248"/>
        <v>0</v>
      </c>
      <c r="DC225" t="s">
        <v>3</v>
      </c>
      <c r="DD225" t="s">
        <v>3</v>
      </c>
      <c r="DE225" t="s">
        <v>3</v>
      </c>
      <c r="DF225" t="s">
        <v>3</v>
      </c>
      <c r="DG225" t="s">
        <v>3</v>
      </c>
      <c r="DH225" t="s">
        <v>3</v>
      </c>
      <c r="DI225" t="s">
        <v>3</v>
      </c>
      <c r="DJ225" t="s">
        <v>3</v>
      </c>
      <c r="DK225" t="s">
        <v>3</v>
      </c>
      <c r="DL225" t="s">
        <v>3</v>
      </c>
      <c r="DM225" t="s">
        <v>3</v>
      </c>
      <c r="DN225">
        <v>0</v>
      </c>
      <c r="DO225">
        <v>0</v>
      </c>
      <c r="DP225">
        <v>1</v>
      </c>
      <c r="DQ225">
        <v>1</v>
      </c>
      <c r="DU225">
        <v>1003</v>
      </c>
      <c r="DV225" t="s">
        <v>379</v>
      </c>
      <c r="DW225" t="s">
        <v>379</v>
      </c>
      <c r="DX225">
        <v>1</v>
      </c>
      <c r="DZ225" t="s">
        <v>3</v>
      </c>
      <c r="EA225" t="s">
        <v>3</v>
      </c>
      <c r="EB225" t="s">
        <v>3</v>
      </c>
      <c r="EC225" t="s">
        <v>3</v>
      </c>
      <c r="EE225">
        <v>64094909</v>
      </c>
      <c r="EF225">
        <v>3</v>
      </c>
      <c r="EG225" t="s">
        <v>22</v>
      </c>
      <c r="EH225">
        <v>0</v>
      </c>
      <c r="EI225" t="s">
        <v>3</v>
      </c>
      <c r="EJ225">
        <v>2</v>
      </c>
      <c r="EK225">
        <v>108001</v>
      </c>
      <c r="EL225" t="s">
        <v>23</v>
      </c>
      <c r="EM225" t="s">
        <v>24</v>
      </c>
      <c r="EO225" t="s">
        <v>3</v>
      </c>
      <c r="EQ225">
        <v>0</v>
      </c>
      <c r="ER225">
        <v>7.49</v>
      </c>
      <c r="ES225">
        <v>7.49</v>
      </c>
      <c r="ET225">
        <v>0</v>
      </c>
      <c r="EU225">
        <v>0</v>
      </c>
      <c r="EV225">
        <v>0</v>
      </c>
      <c r="EW225">
        <v>0</v>
      </c>
      <c r="EX225">
        <v>0</v>
      </c>
      <c r="FQ225">
        <v>0</v>
      </c>
      <c r="FR225">
        <f t="shared" si="249"/>
        <v>0</v>
      </c>
      <c r="FS225">
        <v>0</v>
      </c>
      <c r="FX225">
        <v>95</v>
      </c>
      <c r="FY225">
        <v>65</v>
      </c>
      <c r="GA225" t="s">
        <v>3</v>
      </c>
      <c r="GD225">
        <v>1</v>
      </c>
      <c r="GF225">
        <v>-1153376764</v>
      </c>
      <c r="GG225">
        <v>2</v>
      </c>
      <c r="GH225">
        <v>1</v>
      </c>
      <c r="GI225">
        <v>2</v>
      </c>
      <c r="GJ225">
        <v>0</v>
      </c>
      <c r="GK225">
        <v>0</v>
      </c>
      <c r="GL225">
        <f t="shared" si="250"/>
        <v>0</v>
      </c>
      <c r="GM225">
        <f t="shared" si="251"/>
        <v>1160.95</v>
      </c>
      <c r="GN225">
        <f t="shared" si="252"/>
        <v>0</v>
      </c>
      <c r="GO225">
        <f t="shared" si="253"/>
        <v>1160.95</v>
      </c>
      <c r="GP225">
        <f t="shared" si="254"/>
        <v>0</v>
      </c>
      <c r="GR225">
        <v>0</v>
      </c>
      <c r="GS225">
        <v>3</v>
      </c>
      <c r="GT225">
        <v>0</v>
      </c>
      <c r="GU225" t="s">
        <v>3</v>
      </c>
      <c r="GV225">
        <f t="shared" si="255"/>
        <v>0</v>
      </c>
      <c r="GW225">
        <v>1</v>
      </c>
      <c r="GX225">
        <f t="shared" si="256"/>
        <v>0</v>
      </c>
      <c r="HA225">
        <v>0</v>
      </c>
      <c r="HB225">
        <v>0</v>
      </c>
      <c r="HC225">
        <f t="shared" si="257"/>
        <v>0</v>
      </c>
      <c r="HE225" t="s">
        <v>3</v>
      </c>
      <c r="HF225" t="s">
        <v>3</v>
      </c>
      <c r="IK225">
        <v>0</v>
      </c>
    </row>
    <row r="226" spans="1:245" x14ac:dyDescent="0.2">
      <c r="A226">
        <v>17</v>
      </c>
      <c r="B226">
        <v>1</v>
      </c>
      <c r="C226">
        <f>ROW(SmtRes!A581)</f>
        <v>581</v>
      </c>
      <c r="D226">
        <f>ROW(EtalonRes!A554)</f>
        <v>554</v>
      </c>
      <c r="E226" t="s">
        <v>703</v>
      </c>
      <c r="F226" t="s">
        <v>583</v>
      </c>
      <c r="G226" t="s">
        <v>584</v>
      </c>
      <c r="H226" t="s">
        <v>90</v>
      </c>
      <c r="I226">
        <f>ROUND(10.5/100,5)</f>
        <v>0.105</v>
      </c>
      <c r="J226">
        <v>0</v>
      </c>
      <c r="O226">
        <f t="shared" si="223"/>
        <v>782.51</v>
      </c>
      <c r="P226">
        <f t="shared" si="224"/>
        <v>42.91</v>
      </c>
      <c r="Q226">
        <f t="shared" si="225"/>
        <v>0.66</v>
      </c>
      <c r="R226">
        <f t="shared" si="226"/>
        <v>0.67</v>
      </c>
      <c r="S226">
        <f t="shared" si="227"/>
        <v>738.94</v>
      </c>
      <c r="T226">
        <f t="shared" si="228"/>
        <v>0</v>
      </c>
      <c r="U226">
        <f t="shared" si="229"/>
        <v>2.3091075000000001</v>
      </c>
      <c r="V226">
        <f t="shared" si="230"/>
        <v>1.4175000000000001E-3</v>
      </c>
      <c r="W226">
        <f t="shared" si="231"/>
        <v>0</v>
      </c>
      <c r="X226">
        <f t="shared" si="232"/>
        <v>702.63</v>
      </c>
      <c r="Y226">
        <f t="shared" si="233"/>
        <v>480.75</v>
      </c>
      <c r="AA226">
        <v>68990560</v>
      </c>
      <c r="AB226">
        <f t="shared" si="234"/>
        <v>261.08999999999997</v>
      </c>
      <c r="AC226">
        <f t="shared" si="235"/>
        <v>51.53</v>
      </c>
      <c r="AD226">
        <f>ROUND(((((ET226*1.35))-((EU226*1.35)))+AE226),2)</f>
        <v>0.42</v>
      </c>
      <c r="AE226">
        <f>ROUND(((EU226*1.35)),2)</f>
        <v>0.19</v>
      </c>
      <c r="AF226">
        <f>ROUND(((EV226*1.35)),2)</f>
        <v>209.14</v>
      </c>
      <c r="AG226">
        <f t="shared" si="236"/>
        <v>0</v>
      </c>
      <c r="AH226">
        <f>((EW226*1.35))</f>
        <v>21.991500000000002</v>
      </c>
      <c r="AI226">
        <f>((EX226*1.35))</f>
        <v>1.3500000000000002E-2</v>
      </c>
      <c r="AJ226">
        <f t="shared" si="237"/>
        <v>0</v>
      </c>
      <c r="AK226">
        <v>206.76</v>
      </c>
      <c r="AL226">
        <v>51.53</v>
      </c>
      <c r="AM226">
        <v>0.31</v>
      </c>
      <c r="AN226">
        <v>0.14000000000000001</v>
      </c>
      <c r="AO226">
        <v>154.91999999999999</v>
      </c>
      <c r="AP226">
        <v>0</v>
      </c>
      <c r="AQ226">
        <v>16.29</v>
      </c>
      <c r="AR226">
        <v>0.01</v>
      </c>
      <c r="AS226">
        <v>0</v>
      </c>
      <c r="AT226">
        <v>95</v>
      </c>
      <c r="AU226">
        <v>65</v>
      </c>
      <c r="AV226">
        <v>1</v>
      </c>
      <c r="AW226">
        <v>1</v>
      </c>
      <c r="AZ226">
        <v>1</v>
      </c>
      <c r="BA226">
        <v>33.65</v>
      </c>
      <c r="BB226">
        <v>14.88</v>
      </c>
      <c r="BC226">
        <v>7.93</v>
      </c>
      <c r="BD226" t="s">
        <v>3</v>
      </c>
      <c r="BE226" t="s">
        <v>3</v>
      </c>
      <c r="BF226" t="s">
        <v>3</v>
      </c>
      <c r="BG226" t="s">
        <v>3</v>
      </c>
      <c r="BH226">
        <v>0</v>
      </c>
      <c r="BI226">
        <v>2</v>
      </c>
      <c r="BJ226" t="s">
        <v>585</v>
      </c>
      <c r="BM226">
        <v>108001</v>
      </c>
      <c r="BN226">
        <v>0</v>
      </c>
      <c r="BO226" t="s">
        <v>583</v>
      </c>
      <c r="BP226">
        <v>1</v>
      </c>
      <c r="BQ226">
        <v>3</v>
      </c>
      <c r="BR226">
        <v>0</v>
      </c>
      <c r="BS226">
        <v>33.65</v>
      </c>
      <c r="BT226">
        <v>1</v>
      </c>
      <c r="BU226">
        <v>1</v>
      </c>
      <c r="BV226">
        <v>1</v>
      </c>
      <c r="BW226">
        <v>1</v>
      </c>
      <c r="BX226">
        <v>1</v>
      </c>
      <c r="BY226" t="s">
        <v>3</v>
      </c>
      <c r="BZ226">
        <v>95</v>
      </c>
      <c r="CA226">
        <v>65</v>
      </c>
      <c r="CE226">
        <v>0</v>
      </c>
      <c r="CF226">
        <v>0</v>
      </c>
      <c r="CG226">
        <v>0</v>
      </c>
      <c r="CM226">
        <v>0</v>
      </c>
      <c r="CN226" t="s">
        <v>1329</v>
      </c>
      <c r="CO226">
        <v>0</v>
      </c>
      <c r="CP226">
        <f t="shared" si="238"/>
        <v>782.51</v>
      </c>
      <c r="CQ226">
        <f t="shared" si="239"/>
        <v>408.63290000000001</v>
      </c>
      <c r="CR226">
        <f t="shared" si="240"/>
        <v>6.2496</v>
      </c>
      <c r="CS226">
        <f t="shared" si="241"/>
        <v>6.3934999999999995</v>
      </c>
      <c r="CT226">
        <f t="shared" si="242"/>
        <v>7037.5609999999997</v>
      </c>
      <c r="CU226">
        <f t="shared" si="243"/>
        <v>0</v>
      </c>
      <c r="CV226">
        <f t="shared" si="244"/>
        <v>21.991500000000002</v>
      </c>
      <c r="CW226">
        <f t="shared" si="245"/>
        <v>1.3500000000000002E-2</v>
      </c>
      <c r="CX226">
        <f t="shared" si="246"/>
        <v>0</v>
      </c>
      <c r="CY226">
        <f t="shared" si="247"/>
        <v>702.62950000000001</v>
      </c>
      <c r="CZ226">
        <f t="shared" si="248"/>
        <v>480.74650000000003</v>
      </c>
      <c r="DC226" t="s">
        <v>3</v>
      </c>
      <c r="DD226" t="s">
        <v>3</v>
      </c>
      <c r="DE226" t="s">
        <v>200</v>
      </c>
      <c r="DF226" t="s">
        <v>200</v>
      </c>
      <c r="DG226" t="s">
        <v>200</v>
      </c>
      <c r="DH226" t="s">
        <v>3</v>
      </c>
      <c r="DI226" t="s">
        <v>200</v>
      </c>
      <c r="DJ226" t="s">
        <v>200</v>
      </c>
      <c r="DK226" t="s">
        <v>3</v>
      </c>
      <c r="DL226" t="s">
        <v>3</v>
      </c>
      <c r="DM226" t="s">
        <v>3</v>
      </c>
      <c r="DN226">
        <v>0</v>
      </c>
      <c r="DO226">
        <v>0</v>
      </c>
      <c r="DP226">
        <v>1</v>
      </c>
      <c r="DQ226">
        <v>1</v>
      </c>
      <c r="DU226">
        <v>1003</v>
      </c>
      <c r="DV226" t="s">
        <v>90</v>
      </c>
      <c r="DW226" t="s">
        <v>90</v>
      </c>
      <c r="DX226">
        <v>100</v>
      </c>
      <c r="DZ226" t="s">
        <v>3</v>
      </c>
      <c r="EA226" t="s">
        <v>3</v>
      </c>
      <c r="EB226" t="s">
        <v>3</v>
      </c>
      <c r="EC226" t="s">
        <v>3</v>
      </c>
      <c r="EE226">
        <v>64094909</v>
      </c>
      <c r="EF226">
        <v>3</v>
      </c>
      <c r="EG226" t="s">
        <v>22</v>
      </c>
      <c r="EH226">
        <v>0</v>
      </c>
      <c r="EI226" t="s">
        <v>3</v>
      </c>
      <c r="EJ226">
        <v>2</v>
      </c>
      <c r="EK226">
        <v>108001</v>
      </c>
      <c r="EL226" t="s">
        <v>23</v>
      </c>
      <c r="EM226" t="s">
        <v>24</v>
      </c>
      <c r="EO226" t="s">
        <v>42</v>
      </c>
      <c r="EQ226">
        <v>0</v>
      </c>
      <c r="ER226">
        <v>206.76</v>
      </c>
      <c r="ES226">
        <v>51.53</v>
      </c>
      <c r="ET226">
        <v>0.31</v>
      </c>
      <c r="EU226">
        <v>0.14000000000000001</v>
      </c>
      <c r="EV226">
        <v>154.91999999999999</v>
      </c>
      <c r="EW226">
        <v>16.29</v>
      </c>
      <c r="EX226">
        <v>0.01</v>
      </c>
      <c r="EY226">
        <v>0</v>
      </c>
      <c r="FQ226">
        <v>0</v>
      </c>
      <c r="FR226">
        <f t="shared" si="249"/>
        <v>0</v>
      </c>
      <c r="FS226">
        <v>0</v>
      </c>
      <c r="FX226">
        <v>95</v>
      </c>
      <c r="FY226">
        <v>65</v>
      </c>
      <c r="GA226" t="s">
        <v>3</v>
      </c>
      <c r="GD226">
        <v>1</v>
      </c>
      <c r="GF226">
        <v>1798457799</v>
      </c>
      <c r="GG226">
        <v>2</v>
      </c>
      <c r="GH226">
        <v>1</v>
      </c>
      <c r="GI226">
        <v>2</v>
      </c>
      <c r="GJ226">
        <v>0</v>
      </c>
      <c r="GK226">
        <v>0</v>
      </c>
      <c r="GL226">
        <f t="shared" si="250"/>
        <v>0</v>
      </c>
      <c r="GM226">
        <f t="shared" si="251"/>
        <v>1965.89</v>
      </c>
      <c r="GN226">
        <f t="shared" si="252"/>
        <v>0</v>
      </c>
      <c r="GO226">
        <f t="shared" si="253"/>
        <v>1965.89</v>
      </c>
      <c r="GP226">
        <f t="shared" si="254"/>
        <v>0</v>
      </c>
      <c r="GR226">
        <v>0</v>
      </c>
      <c r="GS226">
        <v>3</v>
      </c>
      <c r="GT226">
        <v>0</v>
      </c>
      <c r="GU226" t="s">
        <v>3</v>
      </c>
      <c r="GV226">
        <f t="shared" si="255"/>
        <v>0</v>
      </c>
      <c r="GW226">
        <v>1</v>
      </c>
      <c r="GX226">
        <f t="shared" si="256"/>
        <v>0</v>
      </c>
      <c r="HA226">
        <v>0</v>
      </c>
      <c r="HB226">
        <v>0</v>
      </c>
      <c r="HC226">
        <f t="shared" si="257"/>
        <v>0</v>
      </c>
      <c r="HE226" t="s">
        <v>3</v>
      </c>
      <c r="HF226" t="s">
        <v>3</v>
      </c>
      <c r="IK226">
        <v>0</v>
      </c>
    </row>
    <row r="227" spans="1:245" x14ac:dyDescent="0.2">
      <c r="A227">
        <v>18</v>
      </c>
      <c r="B227">
        <v>1</v>
      </c>
      <c r="C227">
        <v>580</v>
      </c>
      <c r="E227" t="s">
        <v>704</v>
      </c>
      <c r="F227" t="s">
        <v>587</v>
      </c>
      <c r="G227" t="s">
        <v>588</v>
      </c>
      <c r="H227" t="s">
        <v>379</v>
      </c>
      <c r="I227">
        <f>I226*J227</f>
        <v>10</v>
      </c>
      <c r="J227">
        <v>95.238095238095241</v>
      </c>
      <c r="O227">
        <f t="shared" si="223"/>
        <v>632.78</v>
      </c>
      <c r="P227">
        <f t="shared" si="224"/>
        <v>632.78</v>
      </c>
      <c r="Q227">
        <f t="shared" si="225"/>
        <v>0</v>
      </c>
      <c r="R227">
        <f t="shared" si="226"/>
        <v>0</v>
      </c>
      <c r="S227">
        <f t="shared" si="227"/>
        <v>0</v>
      </c>
      <c r="T227">
        <f t="shared" si="228"/>
        <v>0</v>
      </c>
      <c r="U227">
        <f t="shared" si="229"/>
        <v>0</v>
      </c>
      <c r="V227">
        <f t="shared" si="230"/>
        <v>0</v>
      </c>
      <c r="W227">
        <f t="shared" si="231"/>
        <v>0</v>
      </c>
      <c r="X227">
        <f t="shared" si="232"/>
        <v>0</v>
      </c>
      <c r="Y227">
        <f t="shared" si="233"/>
        <v>0</v>
      </c>
      <c r="AA227">
        <v>68990560</v>
      </c>
      <c r="AB227">
        <f t="shared" si="234"/>
        <v>7.15</v>
      </c>
      <c r="AC227">
        <f t="shared" si="235"/>
        <v>7.15</v>
      </c>
      <c r="AD227">
        <f>ROUND((((ET227)-(EU227))+AE227),2)</f>
        <v>0</v>
      </c>
      <c r="AE227">
        <f>ROUND((EU227),2)</f>
        <v>0</v>
      </c>
      <c r="AF227">
        <f>ROUND((EV227),2)</f>
        <v>0</v>
      </c>
      <c r="AG227">
        <f t="shared" si="236"/>
        <v>0</v>
      </c>
      <c r="AH227">
        <f>(EW227)</f>
        <v>0</v>
      </c>
      <c r="AI227">
        <f>(EX227)</f>
        <v>0</v>
      </c>
      <c r="AJ227">
        <f t="shared" si="237"/>
        <v>0</v>
      </c>
      <c r="AK227">
        <v>7.15</v>
      </c>
      <c r="AL227">
        <v>7.15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1</v>
      </c>
      <c r="AW227">
        <v>1</v>
      </c>
      <c r="AZ227">
        <v>1</v>
      </c>
      <c r="BA227">
        <v>1</v>
      </c>
      <c r="BB227">
        <v>1</v>
      </c>
      <c r="BC227">
        <v>8.85</v>
      </c>
      <c r="BD227" t="s">
        <v>3</v>
      </c>
      <c r="BE227" t="s">
        <v>3</v>
      </c>
      <c r="BF227" t="s">
        <v>3</v>
      </c>
      <c r="BG227" t="s">
        <v>3</v>
      </c>
      <c r="BH227">
        <v>3</v>
      </c>
      <c r="BI227">
        <v>2</v>
      </c>
      <c r="BJ227" t="s">
        <v>705</v>
      </c>
      <c r="BM227">
        <v>500002</v>
      </c>
      <c r="BN227">
        <v>0</v>
      </c>
      <c r="BO227" t="s">
        <v>587</v>
      </c>
      <c r="BP227">
        <v>1</v>
      </c>
      <c r="BQ227">
        <v>12</v>
      </c>
      <c r="BR227">
        <v>0</v>
      </c>
      <c r="BS227">
        <v>1</v>
      </c>
      <c r="BT227">
        <v>1</v>
      </c>
      <c r="BU227">
        <v>1</v>
      </c>
      <c r="BV227">
        <v>1</v>
      </c>
      <c r="BW227">
        <v>1</v>
      </c>
      <c r="BX227">
        <v>1</v>
      </c>
      <c r="BY227" t="s">
        <v>3</v>
      </c>
      <c r="BZ227">
        <v>0</v>
      </c>
      <c r="CA227">
        <v>0</v>
      </c>
      <c r="CE227">
        <v>0</v>
      </c>
      <c r="CF227">
        <v>0</v>
      </c>
      <c r="CG227">
        <v>0</v>
      </c>
      <c r="CM227">
        <v>0</v>
      </c>
      <c r="CN227" t="s">
        <v>3</v>
      </c>
      <c r="CO227">
        <v>0</v>
      </c>
      <c r="CP227">
        <f t="shared" si="238"/>
        <v>632.78</v>
      </c>
      <c r="CQ227">
        <f t="shared" si="239"/>
        <v>63.277500000000003</v>
      </c>
      <c r="CR227">
        <f t="shared" si="240"/>
        <v>0</v>
      </c>
      <c r="CS227">
        <f t="shared" si="241"/>
        <v>0</v>
      </c>
      <c r="CT227">
        <f t="shared" si="242"/>
        <v>0</v>
      </c>
      <c r="CU227">
        <f t="shared" si="243"/>
        <v>0</v>
      </c>
      <c r="CV227">
        <f t="shared" si="244"/>
        <v>0</v>
      </c>
      <c r="CW227">
        <f t="shared" si="245"/>
        <v>0</v>
      </c>
      <c r="CX227">
        <f t="shared" si="246"/>
        <v>0</v>
      </c>
      <c r="CY227">
        <f t="shared" si="247"/>
        <v>0</v>
      </c>
      <c r="CZ227">
        <f t="shared" si="248"/>
        <v>0</v>
      </c>
      <c r="DC227" t="s">
        <v>3</v>
      </c>
      <c r="DD227" t="s">
        <v>3</v>
      </c>
      <c r="DE227" t="s">
        <v>3</v>
      </c>
      <c r="DF227" t="s">
        <v>3</v>
      </c>
      <c r="DG227" t="s">
        <v>3</v>
      </c>
      <c r="DH227" t="s">
        <v>3</v>
      </c>
      <c r="DI227" t="s">
        <v>3</v>
      </c>
      <c r="DJ227" t="s">
        <v>3</v>
      </c>
      <c r="DK227" t="s">
        <v>3</v>
      </c>
      <c r="DL227" t="s">
        <v>3</v>
      </c>
      <c r="DM227" t="s">
        <v>3</v>
      </c>
      <c r="DN227">
        <v>0</v>
      </c>
      <c r="DO227">
        <v>0</v>
      </c>
      <c r="DP227">
        <v>1</v>
      </c>
      <c r="DQ227">
        <v>1</v>
      </c>
      <c r="DU227">
        <v>1003</v>
      </c>
      <c r="DV227" t="s">
        <v>379</v>
      </c>
      <c r="DW227" t="s">
        <v>379</v>
      </c>
      <c r="DX227">
        <v>1</v>
      </c>
      <c r="DZ227" t="s">
        <v>3</v>
      </c>
      <c r="EA227" t="s">
        <v>3</v>
      </c>
      <c r="EB227" t="s">
        <v>3</v>
      </c>
      <c r="EC227" t="s">
        <v>3</v>
      </c>
      <c r="EE227">
        <v>64094960</v>
      </c>
      <c r="EF227">
        <v>12</v>
      </c>
      <c r="EG227" t="s">
        <v>706</v>
      </c>
      <c r="EH227">
        <v>0</v>
      </c>
      <c r="EI227" t="s">
        <v>3</v>
      </c>
      <c r="EJ227">
        <v>2</v>
      </c>
      <c r="EK227">
        <v>500002</v>
      </c>
      <c r="EL227" t="s">
        <v>707</v>
      </c>
      <c r="EM227" t="s">
        <v>708</v>
      </c>
      <c r="EO227" t="s">
        <v>3</v>
      </c>
      <c r="EQ227">
        <v>0</v>
      </c>
      <c r="ER227">
        <v>7.15</v>
      </c>
      <c r="ES227">
        <v>7.15</v>
      </c>
      <c r="ET227">
        <v>0</v>
      </c>
      <c r="EU227">
        <v>0</v>
      </c>
      <c r="EV227">
        <v>0</v>
      </c>
      <c r="EW227">
        <v>0</v>
      </c>
      <c r="EX227">
        <v>0</v>
      </c>
      <c r="FQ227">
        <v>0</v>
      </c>
      <c r="FR227">
        <f t="shared" si="249"/>
        <v>0</v>
      </c>
      <c r="FS227">
        <v>0</v>
      </c>
      <c r="FX227">
        <v>0</v>
      </c>
      <c r="FY227">
        <v>0</v>
      </c>
      <c r="GA227" t="s">
        <v>3</v>
      </c>
      <c r="GD227">
        <v>1</v>
      </c>
      <c r="GF227">
        <v>-1011760881</v>
      </c>
      <c r="GG227">
        <v>2</v>
      </c>
      <c r="GH227">
        <v>1</v>
      </c>
      <c r="GI227">
        <v>2</v>
      </c>
      <c r="GJ227">
        <v>0</v>
      </c>
      <c r="GK227">
        <v>0</v>
      </c>
      <c r="GL227">
        <f t="shared" si="250"/>
        <v>0</v>
      </c>
      <c r="GM227">
        <f t="shared" si="251"/>
        <v>632.78</v>
      </c>
      <c r="GN227">
        <f t="shared" si="252"/>
        <v>0</v>
      </c>
      <c r="GO227">
        <f t="shared" si="253"/>
        <v>632.78</v>
      </c>
      <c r="GP227">
        <f t="shared" si="254"/>
        <v>0</v>
      </c>
      <c r="GR227">
        <v>0</v>
      </c>
      <c r="GS227">
        <v>3</v>
      </c>
      <c r="GT227">
        <v>0</v>
      </c>
      <c r="GU227" t="s">
        <v>3</v>
      </c>
      <c r="GV227">
        <f t="shared" si="255"/>
        <v>0</v>
      </c>
      <c r="GW227">
        <v>1</v>
      </c>
      <c r="GX227">
        <f t="shared" si="256"/>
        <v>0</v>
      </c>
      <c r="HA227">
        <v>0</v>
      </c>
      <c r="HB227">
        <v>0</v>
      </c>
      <c r="HC227">
        <f t="shared" si="257"/>
        <v>0</v>
      </c>
      <c r="HE227" t="s">
        <v>3</v>
      </c>
      <c r="HF227" t="s">
        <v>3</v>
      </c>
      <c r="IK227">
        <v>0</v>
      </c>
    </row>
    <row r="228" spans="1:245" x14ac:dyDescent="0.2">
      <c r="A228">
        <v>18</v>
      </c>
      <c r="B228">
        <v>1</v>
      </c>
      <c r="C228">
        <v>579</v>
      </c>
      <c r="E228" t="s">
        <v>709</v>
      </c>
      <c r="F228" t="s">
        <v>710</v>
      </c>
      <c r="G228" t="s">
        <v>711</v>
      </c>
      <c r="H228" t="s">
        <v>90</v>
      </c>
      <c r="I228">
        <f>I226*J228</f>
        <v>5.0000000000000001E-3</v>
      </c>
      <c r="J228">
        <v>4.7619047619047623E-2</v>
      </c>
      <c r="O228">
        <f t="shared" si="223"/>
        <v>40.92</v>
      </c>
      <c r="P228">
        <f t="shared" si="224"/>
        <v>40.92</v>
      </c>
      <c r="Q228">
        <f t="shared" si="225"/>
        <v>0</v>
      </c>
      <c r="R228">
        <f t="shared" si="226"/>
        <v>0</v>
      </c>
      <c r="S228">
        <f t="shared" si="227"/>
        <v>0</v>
      </c>
      <c r="T228">
        <f t="shared" si="228"/>
        <v>0</v>
      </c>
      <c r="U228">
        <f t="shared" si="229"/>
        <v>0</v>
      </c>
      <c r="V228">
        <f t="shared" si="230"/>
        <v>0</v>
      </c>
      <c r="W228">
        <f t="shared" si="231"/>
        <v>0</v>
      </c>
      <c r="X228">
        <f t="shared" si="232"/>
        <v>0</v>
      </c>
      <c r="Y228">
        <f t="shared" si="233"/>
        <v>0</v>
      </c>
      <c r="AA228">
        <v>68990560</v>
      </c>
      <c r="AB228">
        <f t="shared" si="234"/>
        <v>730</v>
      </c>
      <c r="AC228">
        <f t="shared" si="235"/>
        <v>730</v>
      </c>
      <c r="AD228">
        <f>ROUND((((ET228)-(EU228))+AE228),2)</f>
        <v>0</v>
      </c>
      <c r="AE228">
        <f>ROUND((EU228),2)</f>
        <v>0</v>
      </c>
      <c r="AF228">
        <f>ROUND((EV228),2)</f>
        <v>0</v>
      </c>
      <c r="AG228">
        <f t="shared" si="236"/>
        <v>0</v>
      </c>
      <c r="AH228">
        <f>(EW228)</f>
        <v>0</v>
      </c>
      <c r="AI228">
        <f>(EX228)</f>
        <v>0</v>
      </c>
      <c r="AJ228">
        <f t="shared" si="237"/>
        <v>0</v>
      </c>
      <c r="AK228">
        <v>730</v>
      </c>
      <c r="AL228">
        <v>730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95</v>
      </c>
      <c r="AU228">
        <v>65</v>
      </c>
      <c r="AV228">
        <v>1</v>
      </c>
      <c r="AW228">
        <v>1</v>
      </c>
      <c r="AZ228">
        <v>1</v>
      </c>
      <c r="BA228">
        <v>1</v>
      </c>
      <c r="BB228">
        <v>1</v>
      </c>
      <c r="BC228">
        <v>11.21</v>
      </c>
      <c r="BD228" t="s">
        <v>3</v>
      </c>
      <c r="BE228" t="s">
        <v>3</v>
      </c>
      <c r="BF228" t="s">
        <v>3</v>
      </c>
      <c r="BG228" t="s">
        <v>3</v>
      </c>
      <c r="BH228">
        <v>3</v>
      </c>
      <c r="BI228">
        <v>2</v>
      </c>
      <c r="BJ228" t="s">
        <v>712</v>
      </c>
      <c r="BM228">
        <v>108001</v>
      </c>
      <c r="BN228">
        <v>0</v>
      </c>
      <c r="BO228" t="s">
        <v>710</v>
      </c>
      <c r="BP228">
        <v>1</v>
      </c>
      <c r="BQ228">
        <v>3</v>
      </c>
      <c r="BR228">
        <v>0</v>
      </c>
      <c r="BS228">
        <v>1</v>
      </c>
      <c r="BT228">
        <v>1</v>
      </c>
      <c r="BU228">
        <v>1</v>
      </c>
      <c r="BV228">
        <v>1</v>
      </c>
      <c r="BW228">
        <v>1</v>
      </c>
      <c r="BX228">
        <v>1</v>
      </c>
      <c r="BY228" t="s">
        <v>3</v>
      </c>
      <c r="BZ228">
        <v>95</v>
      </c>
      <c r="CA228">
        <v>65</v>
      </c>
      <c r="CE228">
        <v>0</v>
      </c>
      <c r="CF228">
        <v>0</v>
      </c>
      <c r="CG228">
        <v>0</v>
      </c>
      <c r="CM228">
        <v>0</v>
      </c>
      <c r="CN228" t="s">
        <v>3</v>
      </c>
      <c r="CO228">
        <v>0</v>
      </c>
      <c r="CP228">
        <f t="shared" si="238"/>
        <v>40.92</v>
      </c>
      <c r="CQ228">
        <f t="shared" si="239"/>
        <v>8183.3</v>
      </c>
      <c r="CR228">
        <f t="shared" si="240"/>
        <v>0</v>
      </c>
      <c r="CS228">
        <f t="shared" si="241"/>
        <v>0</v>
      </c>
      <c r="CT228">
        <f t="shared" si="242"/>
        <v>0</v>
      </c>
      <c r="CU228">
        <f t="shared" si="243"/>
        <v>0</v>
      </c>
      <c r="CV228">
        <f t="shared" si="244"/>
        <v>0</v>
      </c>
      <c r="CW228">
        <f t="shared" si="245"/>
        <v>0</v>
      </c>
      <c r="CX228">
        <f t="shared" si="246"/>
        <v>0</v>
      </c>
      <c r="CY228">
        <f t="shared" si="247"/>
        <v>0</v>
      </c>
      <c r="CZ228">
        <f t="shared" si="248"/>
        <v>0</v>
      </c>
      <c r="DC228" t="s">
        <v>3</v>
      </c>
      <c r="DD228" t="s">
        <v>3</v>
      </c>
      <c r="DE228" t="s">
        <v>3</v>
      </c>
      <c r="DF228" t="s">
        <v>3</v>
      </c>
      <c r="DG228" t="s">
        <v>3</v>
      </c>
      <c r="DH228" t="s">
        <v>3</v>
      </c>
      <c r="DI228" t="s">
        <v>3</v>
      </c>
      <c r="DJ228" t="s">
        <v>3</v>
      </c>
      <c r="DK228" t="s">
        <v>3</v>
      </c>
      <c r="DL228" t="s">
        <v>3</v>
      </c>
      <c r="DM228" t="s">
        <v>3</v>
      </c>
      <c r="DN228">
        <v>0</v>
      </c>
      <c r="DO228">
        <v>0</v>
      </c>
      <c r="DP228">
        <v>1</v>
      </c>
      <c r="DQ228">
        <v>1</v>
      </c>
      <c r="DU228">
        <v>1003</v>
      </c>
      <c r="DV228" t="s">
        <v>90</v>
      </c>
      <c r="DW228" t="s">
        <v>90</v>
      </c>
      <c r="DX228">
        <v>100</v>
      </c>
      <c r="DZ228" t="s">
        <v>3</v>
      </c>
      <c r="EA228" t="s">
        <v>3</v>
      </c>
      <c r="EB228" t="s">
        <v>3</v>
      </c>
      <c r="EC228" t="s">
        <v>3</v>
      </c>
      <c r="EE228">
        <v>64094909</v>
      </c>
      <c r="EF228">
        <v>3</v>
      </c>
      <c r="EG228" t="s">
        <v>22</v>
      </c>
      <c r="EH228">
        <v>0</v>
      </c>
      <c r="EI228" t="s">
        <v>3</v>
      </c>
      <c r="EJ228">
        <v>2</v>
      </c>
      <c r="EK228">
        <v>108001</v>
      </c>
      <c r="EL228" t="s">
        <v>23</v>
      </c>
      <c r="EM228" t="s">
        <v>24</v>
      </c>
      <c r="EO228" t="s">
        <v>3</v>
      </c>
      <c r="EQ228">
        <v>0</v>
      </c>
      <c r="ER228">
        <v>730</v>
      </c>
      <c r="ES228">
        <v>730</v>
      </c>
      <c r="ET228">
        <v>0</v>
      </c>
      <c r="EU228">
        <v>0</v>
      </c>
      <c r="EV228">
        <v>0</v>
      </c>
      <c r="EW228">
        <v>0</v>
      </c>
      <c r="EX228">
        <v>0</v>
      </c>
      <c r="FQ228">
        <v>0</v>
      </c>
      <c r="FR228">
        <f t="shared" si="249"/>
        <v>0</v>
      </c>
      <c r="FS228">
        <v>0</v>
      </c>
      <c r="FX228">
        <v>95</v>
      </c>
      <c r="FY228">
        <v>65</v>
      </c>
      <c r="GA228" t="s">
        <v>3</v>
      </c>
      <c r="GD228">
        <v>1</v>
      </c>
      <c r="GF228">
        <v>-2062817535</v>
      </c>
      <c r="GG228">
        <v>2</v>
      </c>
      <c r="GH228">
        <v>1</v>
      </c>
      <c r="GI228">
        <v>2</v>
      </c>
      <c r="GJ228">
        <v>0</v>
      </c>
      <c r="GK228">
        <v>0</v>
      </c>
      <c r="GL228">
        <f t="shared" si="250"/>
        <v>0</v>
      </c>
      <c r="GM228">
        <f t="shared" si="251"/>
        <v>40.92</v>
      </c>
      <c r="GN228">
        <f t="shared" si="252"/>
        <v>0</v>
      </c>
      <c r="GO228">
        <f t="shared" si="253"/>
        <v>40.92</v>
      </c>
      <c r="GP228">
        <f t="shared" si="254"/>
        <v>0</v>
      </c>
      <c r="GR228">
        <v>0</v>
      </c>
      <c r="GS228">
        <v>3</v>
      </c>
      <c r="GT228">
        <v>0</v>
      </c>
      <c r="GU228" t="s">
        <v>3</v>
      </c>
      <c r="GV228">
        <f t="shared" si="255"/>
        <v>0</v>
      </c>
      <c r="GW228">
        <v>1</v>
      </c>
      <c r="GX228">
        <f t="shared" si="256"/>
        <v>0</v>
      </c>
      <c r="HA228">
        <v>0</v>
      </c>
      <c r="HB228">
        <v>0</v>
      </c>
      <c r="HC228">
        <f t="shared" si="257"/>
        <v>0</v>
      </c>
      <c r="HE228" t="s">
        <v>3</v>
      </c>
      <c r="HF228" t="s">
        <v>3</v>
      </c>
      <c r="IK228">
        <v>0</v>
      </c>
    </row>
    <row r="229" spans="1:245" x14ac:dyDescent="0.2">
      <c r="A229">
        <v>17</v>
      </c>
      <c r="B229">
        <v>1</v>
      </c>
      <c r="C229">
        <f>ROW(SmtRes!A590)</f>
        <v>590</v>
      </c>
      <c r="D229">
        <f>ROW(EtalonRes!A562)</f>
        <v>562</v>
      </c>
      <c r="E229" t="s">
        <v>713</v>
      </c>
      <c r="F229" t="s">
        <v>591</v>
      </c>
      <c r="G229" t="s">
        <v>592</v>
      </c>
      <c r="H229" t="s">
        <v>90</v>
      </c>
      <c r="I229">
        <f>ROUND(10.5/100,5)</f>
        <v>0.105</v>
      </c>
      <c r="J229">
        <v>0</v>
      </c>
      <c r="O229">
        <f t="shared" si="223"/>
        <v>137.83000000000001</v>
      </c>
      <c r="P229">
        <f t="shared" si="224"/>
        <v>8.75</v>
      </c>
      <c r="Q229">
        <f t="shared" si="225"/>
        <v>2.62</v>
      </c>
      <c r="R229">
        <f t="shared" si="226"/>
        <v>1.24</v>
      </c>
      <c r="S229">
        <f t="shared" si="227"/>
        <v>126.46</v>
      </c>
      <c r="T229">
        <f t="shared" si="228"/>
        <v>0</v>
      </c>
      <c r="U229">
        <f t="shared" si="229"/>
        <v>0.39973499999999995</v>
      </c>
      <c r="V229">
        <f t="shared" si="230"/>
        <v>2.8350000000000003E-3</v>
      </c>
      <c r="W229">
        <f t="shared" si="231"/>
        <v>0</v>
      </c>
      <c r="X229">
        <f t="shared" si="232"/>
        <v>121.32</v>
      </c>
      <c r="Y229">
        <f t="shared" si="233"/>
        <v>83.01</v>
      </c>
      <c r="AA229">
        <v>68990560</v>
      </c>
      <c r="AB229">
        <f t="shared" si="234"/>
        <v>48.5</v>
      </c>
      <c r="AC229">
        <f t="shared" si="235"/>
        <v>10.27</v>
      </c>
      <c r="AD229">
        <f>ROUND(((((ET229*1.35))-((EU229*1.35)))+AE229),2)</f>
        <v>2.44</v>
      </c>
      <c r="AE229">
        <f>ROUND(((EU229*1.35)),2)</f>
        <v>0.35</v>
      </c>
      <c r="AF229">
        <f>ROUND(((EV229*1.35)),2)</f>
        <v>35.79</v>
      </c>
      <c r="AG229">
        <f t="shared" si="236"/>
        <v>0</v>
      </c>
      <c r="AH229">
        <f>((EW229*1.35))</f>
        <v>3.8069999999999999</v>
      </c>
      <c r="AI229">
        <f>((EX229*1.35))</f>
        <v>2.7000000000000003E-2</v>
      </c>
      <c r="AJ229">
        <f t="shared" si="237"/>
        <v>0</v>
      </c>
      <c r="AK229">
        <v>38.590000000000003</v>
      </c>
      <c r="AL229">
        <v>10.27</v>
      </c>
      <c r="AM229">
        <v>1.81</v>
      </c>
      <c r="AN229">
        <v>0.26</v>
      </c>
      <c r="AO229">
        <v>26.51</v>
      </c>
      <c r="AP229">
        <v>0</v>
      </c>
      <c r="AQ229">
        <v>2.82</v>
      </c>
      <c r="AR229">
        <v>0.02</v>
      </c>
      <c r="AS229">
        <v>0</v>
      </c>
      <c r="AT229">
        <v>95</v>
      </c>
      <c r="AU229">
        <v>65</v>
      </c>
      <c r="AV229">
        <v>1</v>
      </c>
      <c r="AW229">
        <v>1</v>
      </c>
      <c r="AZ229">
        <v>1</v>
      </c>
      <c r="BA229">
        <v>33.65</v>
      </c>
      <c r="BB229">
        <v>10.220000000000001</v>
      </c>
      <c r="BC229">
        <v>8.11</v>
      </c>
      <c r="BD229" t="s">
        <v>3</v>
      </c>
      <c r="BE229" t="s">
        <v>3</v>
      </c>
      <c r="BF229" t="s">
        <v>3</v>
      </c>
      <c r="BG229" t="s">
        <v>3</v>
      </c>
      <c r="BH229">
        <v>0</v>
      </c>
      <c r="BI229">
        <v>2</v>
      </c>
      <c r="BJ229" t="s">
        <v>593</v>
      </c>
      <c r="BM229">
        <v>108001</v>
      </c>
      <c r="BN229">
        <v>0</v>
      </c>
      <c r="BO229" t="s">
        <v>591</v>
      </c>
      <c r="BP229">
        <v>1</v>
      </c>
      <c r="BQ229">
        <v>3</v>
      </c>
      <c r="BR229">
        <v>0</v>
      </c>
      <c r="BS229">
        <v>33.65</v>
      </c>
      <c r="BT229">
        <v>1</v>
      </c>
      <c r="BU229">
        <v>1</v>
      </c>
      <c r="BV229">
        <v>1</v>
      </c>
      <c r="BW229">
        <v>1</v>
      </c>
      <c r="BX229">
        <v>1</v>
      </c>
      <c r="BY229" t="s">
        <v>3</v>
      </c>
      <c r="BZ229">
        <v>95</v>
      </c>
      <c r="CA229">
        <v>65</v>
      </c>
      <c r="CE229">
        <v>0</v>
      </c>
      <c r="CF229">
        <v>0</v>
      </c>
      <c r="CG229">
        <v>0</v>
      </c>
      <c r="CM229">
        <v>0</v>
      </c>
      <c r="CN229" t="s">
        <v>1329</v>
      </c>
      <c r="CO229">
        <v>0</v>
      </c>
      <c r="CP229">
        <f t="shared" si="238"/>
        <v>137.82999999999998</v>
      </c>
      <c r="CQ229">
        <f t="shared" si="239"/>
        <v>83.289699999999996</v>
      </c>
      <c r="CR229">
        <f t="shared" si="240"/>
        <v>24.936800000000002</v>
      </c>
      <c r="CS229">
        <f t="shared" si="241"/>
        <v>11.777499999999998</v>
      </c>
      <c r="CT229">
        <f t="shared" si="242"/>
        <v>1204.3335</v>
      </c>
      <c r="CU229">
        <f t="shared" si="243"/>
        <v>0</v>
      </c>
      <c r="CV229">
        <f t="shared" si="244"/>
        <v>3.8069999999999999</v>
      </c>
      <c r="CW229">
        <f t="shared" si="245"/>
        <v>2.7000000000000003E-2</v>
      </c>
      <c r="CX229">
        <f t="shared" si="246"/>
        <v>0</v>
      </c>
      <c r="CY229">
        <f t="shared" si="247"/>
        <v>121.31499999999998</v>
      </c>
      <c r="CZ229">
        <f t="shared" si="248"/>
        <v>83.004999999999995</v>
      </c>
      <c r="DC229" t="s">
        <v>3</v>
      </c>
      <c r="DD229" t="s">
        <v>3</v>
      </c>
      <c r="DE229" t="s">
        <v>200</v>
      </c>
      <c r="DF229" t="s">
        <v>200</v>
      </c>
      <c r="DG229" t="s">
        <v>200</v>
      </c>
      <c r="DH229" t="s">
        <v>3</v>
      </c>
      <c r="DI229" t="s">
        <v>200</v>
      </c>
      <c r="DJ229" t="s">
        <v>200</v>
      </c>
      <c r="DK229" t="s">
        <v>3</v>
      </c>
      <c r="DL229" t="s">
        <v>3</v>
      </c>
      <c r="DM229" t="s">
        <v>3</v>
      </c>
      <c r="DN229">
        <v>0</v>
      </c>
      <c r="DO229">
        <v>0</v>
      </c>
      <c r="DP229">
        <v>1</v>
      </c>
      <c r="DQ229">
        <v>1</v>
      </c>
      <c r="DU229">
        <v>1003</v>
      </c>
      <c r="DV229" t="s">
        <v>90</v>
      </c>
      <c r="DW229" t="s">
        <v>90</v>
      </c>
      <c r="DX229">
        <v>100</v>
      </c>
      <c r="DZ229" t="s">
        <v>3</v>
      </c>
      <c r="EA229" t="s">
        <v>3</v>
      </c>
      <c r="EB229" t="s">
        <v>3</v>
      </c>
      <c r="EC229" t="s">
        <v>3</v>
      </c>
      <c r="EE229">
        <v>64094909</v>
      </c>
      <c r="EF229">
        <v>3</v>
      </c>
      <c r="EG229" t="s">
        <v>22</v>
      </c>
      <c r="EH229">
        <v>0</v>
      </c>
      <c r="EI229" t="s">
        <v>3</v>
      </c>
      <c r="EJ229">
        <v>2</v>
      </c>
      <c r="EK229">
        <v>108001</v>
      </c>
      <c r="EL229" t="s">
        <v>23</v>
      </c>
      <c r="EM229" t="s">
        <v>24</v>
      </c>
      <c r="EO229" t="s">
        <v>42</v>
      </c>
      <c r="EQ229">
        <v>0</v>
      </c>
      <c r="ER229">
        <v>38.590000000000003</v>
      </c>
      <c r="ES229">
        <v>10.27</v>
      </c>
      <c r="ET229">
        <v>1.81</v>
      </c>
      <c r="EU229">
        <v>0.26</v>
      </c>
      <c r="EV229">
        <v>26.51</v>
      </c>
      <c r="EW229">
        <v>2.82</v>
      </c>
      <c r="EX229">
        <v>0.02</v>
      </c>
      <c r="EY229">
        <v>0</v>
      </c>
      <c r="FQ229">
        <v>0</v>
      </c>
      <c r="FR229">
        <f t="shared" si="249"/>
        <v>0</v>
      </c>
      <c r="FS229">
        <v>0</v>
      </c>
      <c r="FX229">
        <v>95</v>
      </c>
      <c r="FY229">
        <v>65</v>
      </c>
      <c r="GA229" t="s">
        <v>3</v>
      </c>
      <c r="GD229">
        <v>1</v>
      </c>
      <c r="GF229">
        <v>-1687353789</v>
      </c>
      <c r="GG229">
        <v>2</v>
      </c>
      <c r="GH229">
        <v>1</v>
      </c>
      <c r="GI229">
        <v>2</v>
      </c>
      <c r="GJ229">
        <v>0</v>
      </c>
      <c r="GK229">
        <v>0</v>
      </c>
      <c r="GL229">
        <f t="shared" si="250"/>
        <v>0</v>
      </c>
      <c r="GM229">
        <f t="shared" si="251"/>
        <v>342.16</v>
      </c>
      <c r="GN229">
        <f t="shared" si="252"/>
        <v>0</v>
      </c>
      <c r="GO229">
        <f t="shared" si="253"/>
        <v>342.16</v>
      </c>
      <c r="GP229">
        <f t="shared" si="254"/>
        <v>0</v>
      </c>
      <c r="GR229">
        <v>0</v>
      </c>
      <c r="GS229">
        <v>3</v>
      </c>
      <c r="GT229">
        <v>0</v>
      </c>
      <c r="GU229" t="s">
        <v>3</v>
      </c>
      <c r="GV229">
        <f t="shared" si="255"/>
        <v>0</v>
      </c>
      <c r="GW229">
        <v>1</v>
      </c>
      <c r="GX229">
        <f t="shared" si="256"/>
        <v>0</v>
      </c>
      <c r="HA229">
        <v>0</v>
      </c>
      <c r="HB229">
        <v>0</v>
      </c>
      <c r="HC229">
        <f t="shared" si="257"/>
        <v>0</v>
      </c>
      <c r="HE229" t="s">
        <v>3</v>
      </c>
      <c r="HF229" t="s">
        <v>3</v>
      </c>
      <c r="IK229">
        <v>0</v>
      </c>
    </row>
    <row r="230" spans="1:245" x14ac:dyDescent="0.2">
      <c r="A230">
        <v>18</v>
      </c>
      <c r="B230">
        <v>1</v>
      </c>
      <c r="C230">
        <v>589</v>
      </c>
      <c r="E230" t="s">
        <v>714</v>
      </c>
      <c r="F230" t="s">
        <v>701</v>
      </c>
      <c r="G230" t="s">
        <v>1344</v>
      </c>
      <c r="H230" t="s">
        <v>379</v>
      </c>
      <c r="I230">
        <f>I229*J230</f>
        <v>10.5</v>
      </c>
      <c r="J230">
        <v>100</v>
      </c>
      <c r="O230">
        <f t="shared" si="223"/>
        <v>243.8</v>
      </c>
      <c r="P230">
        <f t="shared" si="224"/>
        <v>243.8</v>
      </c>
      <c r="Q230">
        <f t="shared" si="225"/>
        <v>0</v>
      </c>
      <c r="R230">
        <f t="shared" si="226"/>
        <v>0</v>
      </c>
      <c r="S230">
        <f t="shared" si="227"/>
        <v>0</v>
      </c>
      <c r="T230">
        <f t="shared" si="228"/>
        <v>0</v>
      </c>
      <c r="U230">
        <f t="shared" si="229"/>
        <v>0</v>
      </c>
      <c r="V230">
        <f t="shared" si="230"/>
        <v>0</v>
      </c>
      <c r="W230">
        <f t="shared" si="231"/>
        <v>0</v>
      </c>
      <c r="X230">
        <f t="shared" si="232"/>
        <v>0</v>
      </c>
      <c r="Y230">
        <f t="shared" si="233"/>
        <v>0</v>
      </c>
      <c r="AA230">
        <v>68990560</v>
      </c>
      <c r="AB230">
        <f t="shared" si="234"/>
        <v>7.49</v>
      </c>
      <c r="AC230">
        <f t="shared" si="235"/>
        <v>7.49</v>
      </c>
      <c r="AD230">
        <f>ROUND((((ET230)-(EU230))+AE230),2)</f>
        <v>0</v>
      </c>
      <c r="AE230">
        <f>ROUND((EU230),2)</f>
        <v>0</v>
      </c>
      <c r="AF230">
        <f>ROUND((EV230),2)</f>
        <v>0</v>
      </c>
      <c r="AG230">
        <f t="shared" si="236"/>
        <v>0</v>
      </c>
      <c r="AH230">
        <f>(EW230)</f>
        <v>0</v>
      </c>
      <c r="AI230">
        <f>(EX230)</f>
        <v>0</v>
      </c>
      <c r="AJ230">
        <f t="shared" si="237"/>
        <v>0</v>
      </c>
      <c r="AK230">
        <v>7.49</v>
      </c>
      <c r="AL230">
        <v>7.49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95</v>
      </c>
      <c r="AU230">
        <v>65</v>
      </c>
      <c r="AV230">
        <v>1</v>
      </c>
      <c r="AW230">
        <v>1</v>
      </c>
      <c r="AZ230">
        <v>1</v>
      </c>
      <c r="BA230">
        <v>1</v>
      </c>
      <c r="BB230">
        <v>1</v>
      </c>
      <c r="BC230">
        <v>3.1</v>
      </c>
      <c r="BD230" t="s">
        <v>3</v>
      </c>
      <c r="BE230" t="s">
        <v>3</v>
      </c>
      <c r="BF230" t="s">
        <v>3</v>
      </c>
      <c r="BG230" t="s">
        <v>3</v>
      </c>
      <c r="BH230">
        <v>3</v>
      </c>
      <c r="BI230">
        <v>2</v>
      </c>
      <c r="BJ230" t="s">
        <v>702</v>
      </c>
      <c r="BM230">
        <v>108001</v>
      </c>
      <c r="BN230">
        <v>0</v>
      </c>
      <c r="BO230" t="s">
        <v>701</v>
      </c>
      <c r="BP230">
        <v>1</v>
      </c>
      <c r="BQ230">
        <v>3</v>
      </c>
      <c r="BR230">
        <v>0</v>
      </c>
      <c r="BS230">
        <v>1</v>
      </c>
      <c r="BT230">
        <v>1</v>
      </c>
      <c r="BU230">
        <v>1</v>
      </c>
      <c r="BV230">
        <v>1</v>
      </c>
      <c r="BW230">
        <v>1</v>
      </c>
      <c r="BX230">
        <v>1</v>
      </c>
      <c r="BY230" t="s">
        <v>3</v>
      </c>
      <c r="BZ230">
        <v>95</v>
      </c>
      <c r="CA230">
        <v>65</v>
      </c>
      <c r="CE230">
        <v>0</v>
      </c>
      <c r="CF230">
        <v>0</v>
      </c>
      <c r="CG230">
        <v>0</v>
      </c>
      <c r="CM230">
        <v>0</v>
      </c>
      <c r="CN230" t="s">
        <v>3</v>
      </c>
      <c r="CO230">
        <v>0</v>
      </c>
      <c r="CP230">
        <f t="shared" si="238"/>
        <v>243.8</v>
      </c>
      <c r="CQ230">
        <f t="shared" si="239"/>
        <v>23.219000000000001</v>
      </c>
      <c r="CR230">
        <f t="shared" si="240"/>
        <v>0</v>
      </c>
      <c r="CS230">
        <f t="shared" si="241"/>
        <v>0</v>
      </c>
      <c r="CT230">
        <f t="shared" si="242"/>
        <v>0</v>
      </c>
      <c r="CU230">
        <f t="shared" si="243"/>
        <v>0</v>
      </c>
      <c r="CV230">
        <f t="shared" si="244"/>
        <v>0</v>
      </c>
      <c r="CW230">
        <f t="shared" si="245"/>
        <v>0</v>
      </c>
      <c r="CX230">
        <f t="shared" si="246"/>
        <v>0</v>
      </c>
      <c r="CY230">
        <f t="shared" si="247"/>
        <v>0</v>
      </c>
      <c r="CZ230">
        <f t="shared" si="248"/>
        <v>0</v>
      </c>
      <c r="DC230" t="s">
        <v>3</v>
      </c>
      <c r="DD230" t="s">
        <v>3</v>
      </c>
      <c r="DE230" t="s">
        <v>3</v>
      </c>
      <c r="DF230" t="s">
        <v>3</v>
      </c>
      <c r="DG230" t="s">
        <v>3</v>
      </c>
      <c r="DH230" t="s">
        <v>3</v>
      </c>
      <c r="DI230" t="s">
        <v>3</v>
      </c>
      <c r="DJ230" t="s">
        <v>3</v>
      </c>
      <c r="DK230" t="s">
        <v>3</v>
      </c>
      <c r="DL230" t="s">
        <v>3</v>
      </c>
      <c r="DM230" t="s">
        <v>3</v>
      </c>
      <c r="DN230">
        <v>0</v>
      </c>
      <c r="DO230">
        <v>0</v>
      </c>
      <c r="DP230">
        <v>1</v>
      </c>
      <c r="DQ230">
        <v>1</v>
      </c>
      <c r="DU230">
        <v>1003</v>
      </c>
      <c r="DV230" t="s">
        <v>379</v>
      </c>
      <c r="DW230" t="s">
        <v>379</v>
      </c>
      <c r="DX230">
        <v>1</v>
      </c>
      <c r="DZ230" t="s">
        <v>3</v>
      </c>
      <c r="EA230" t="s">
        <v>3</v>
      </c>
      <c r="EB230" t="s">
        <v>3</v>
      </c>
      <c r="EC230" t="s">
        <v>3</v>
      </c>
      <c r="EE230">
        <v>64094909</v>
      </c>
      <c r="EF230">
        <v>3</v>
      </c>
      <c r="EG230" t="s">
        <v>22</v>
      </c>
      <c r="EH230">
        <v>0</v>
      </c>
      <c r="EI230" t="s">
        <v>3</v>
      </c>
      <c r="EJ230">
        <v>2</v>
      </c>
      <c r="EK230">
        <v>108001</v>
      </c>
      <c r="EL230" t="s">
        <v>23</v>
      </c>
      <c r="EM230" t="s">
        <v>24</v>
      </c>
      <c r="EO230" t="s">
        <v>3</v>
      </c>
      <c r="EQ230">
        <v>0</v>
      </c>
      <c r="ER230">
        <v>7.49</v>
      </c>
      <c r="ES230">
        <v>7.49</v>
      </c>
      <c r="ET230">
        <v>0</v>
      </c>
      <c r="EU230">
        <v>0</v>
      </c>
      <c r="EV230">
        <v>0</v>
      </c>
      <c r="EW230">
        <v>0</v>
      </c>
      <c r="EX230">
        <v>0</v>
      </c>
      <c r="FQ230">
        <v>0</v>
      </c>
      <c r="FR230">
        <f t="shared" si="249"/>
        <v>0</v>
      </c>
      <c r="FS230">
        <v>0</v>
      </c>
      <c r="FX230">
        <v>95</v>
      </c>
      <c r="FY230">
        <v>65</v>
      </c>
      <c r="GA230" t="s">
        <v>3</v>
      </c>
      <c r="GD230">
        <v>1</v>
      </c>
      <c r="GF230">
        <v>-1153376764</v>
      </c>
      <c r="GG230">
        <v>2</v>
      </c>
      <c r="GH230">
        <v>1</v>
      </c>
      <c r="GI230">
        <v>2</v>
      </c>
      <c r="GJ230">
        <v>0</v>
      </c>
      <c r="GK230">
        <v>0</v>
      </c>
      <c r="GL230">
        <f t="shared" si="250"/>
        <v>0</v>
      </c>
      <c r="GM230">
        <f t="shared" si="251"/>
        <v>243.8</v>
      </c>
      <c r="GN230">
        <f t="shared" si="252"/>
        <v>0</v>
      </c>
      <c r="GO230">
        <f t="shared" si="253"/>
        <v>243.8</v>
      </c>
      <c r="GP230">
        <f t="shared" si="254"/>
        <v>0</v>
      </c>
      <c r="GR230">
        <v>0</v>
      </c>
      <c r="GS230">
        <v>3</v>
      </c>
      <c r="GT230">
        <v>0</v>
      </c>
      <c r="GU230" t="s">
        <v>3</v>
      </c>
      <c r="GV230">
        <f t="shared" si="255"/>
        <v>0</v>
      </c>
      <c r="GW230">
        <v>1</v>
      </c>
      <c r="GX230">
        <f t="shared" si="256"/>
        <v>0</v>
      </c>
      <c r="HA230">
        <v>0</v>
      </c>
      <c r="HB230">
        <v>0</v>
      </c>
      <c r="HC230">
        <f t="shared" si="257"/>
        <v>0</v>
      </c>
      <c r="HE230" t="s">
        <v>3</v>
      </c>
      <c r="HF230" t="s">
        <v>3</v>
      </c>
      <c r="IK230">
        <v>0</v>
      </c>
    </row>
    <row r="231" spans="1:245" x14ac:dyDescent="0.2">
      <c r="A231">
        <v>17</v>
      </c>
      <c r="B231">
        <v>1</v>
      </c>
      <c r="C231">
        <f>ROW(SmtRes!A600)</f>
        <v>600</v>
      </c>
      <c r="D231">
        <f>ROW(EtalonRes!A571)</f>
        <v>571</v>
      </c>
      <c r="E231" t="s">
        <v>715</v>
      </c>
      <c r="F231" t="s">
        <v>716</v>
      </c>
      <c r="G231" t="s">
        <v>717</v>
      </c>
      <c r="H231" t="s">
        <v>18</v>
      </c>
      <c r="I231">
        <f>ROUND(1/100,5)</f>
        <v>0.01</v>
      </c>
      <c r="J231">
        <v>0</v>
      </c>
      <c r="O231">
        <f t="shared" si="223"/>
        <v>163.83000000000001</v>
      </c>
      <c r="P231">
        <f t="shared" si="224"/>
        <v>7.45</v>
      </c>
      <c r="Q231">
        <f t="shared" si="225"/>
        <v>0.64</v>
      </c>
      <c r="R231">
        <f t="shared" si="226"/>
        <v>0.28999999999999998</v>
      </c>
      <c r="S231">
        <f t="shared" si="227"/>
        <v>155.74</v>
      </c>
      <c r="T231">
        <f t="shared" si="228"/>
        <v>0</v>
      </c>
      <c r="U231">
        <f t="shared" si="229"/>
        <v>0.46656000000000009</v>
      </c>
      <c r="V231">
        <f t="shared" si="230"/>
        <v>6.7500000000000004E-4</v>
      </c>
      <c r="W231">
        <f t="shared" si="231"/>
        <v>0</v>
      </c>
      <c r="X231">
        <f t="shared" si="232"/>
        <v>148.22999999999999</v>
      </c>
      <c r="Y231">
        <f t="shared" si="233"/>
        <v>101.42</v>
      </c>
      <c r="AA231">
        <v>68990560</v>
      </c>
      <c r="AB231">
        <f t="shared" si="234"/>
        <v>575.69000000000005</v>
      </c>
      <c r="AC231">
        <f t="shared" si="235"/>
        <v>106.42</v>
      </c>
      <c r="AD231">
        <f>ROUND(((((ET231*1.35))-((EU231*1.35)))+AE231),2)</f>
        <v>6.44</v>
      </c>
      <c r="AE231">
        <f>ROUND(((EU231*1.35)),2)</f>
        <v>0.86</v>
      </c>
      <c r="AF231">
        <f>ROUND(((EV231*1.35)),2)</f>
        <v>462.83</v>
      </c>
      <c r="AG231">
        <f t="shared" si="236"/>
        <v>0</v>
      </c>
      <c r="AH231">
        <f>((EW231*1.35))</f>
        <v>46.656000000000006</v>
      </c>
      <c r="AI231">
        <f>((EX231*1.35))</f>
        <v>6.7500000000000004E-2</v>
      </c>
      <c r="AJ231">
        <f t="shared" si="237"/>
        <v>0</v>
      </c>
      <c r="AK231">
        <v>454.03</v>
      </c>
      <c r="AL231">
        <v>106.42</v>
      </c>
      <c r="AM231">
        <v>4.7699999999999996</v>
      </c>
      <c r="AN231">
        <v>0.64</v>
      </c>
      <c r="AO231">
        <v>342.84</v>
      </c>
      <c r="AP231">
        <v>0</v>
      </c>
      <c r="AQ231">
        <v>34.56</v>
      </c>
      <c r="AR231">
        <v>0.05</v>
      </c>
      <c r="AS231">
        <v>0</v>
      </c>
      <c r="AT231">
        <v>95</v>
      </c>
      <c r="AU231">
        <v>65</v>
      </c>
      <c r="AV231">
        <v>1</v>
      </c>
      <c r="AW231">
        <v>1</v>
      </c>
      <c r="AZ231">
        <v>1</v>
      </c>
      <c r="BA231">
        <v>33.65</v>
      </c>
      <c r="BB231">
        <v>10</v>
      </c>
      <c r="BC231">
        <v>7</v>
      </c>
      <c r="BD231" t="s">
        <v>3</v>
      </c>
      <c r="BE231" t="s">
        <v>3</v>
      </c>
      <c r="BF231" t="s">
        <v>3</v>
      </c>
      <c r="BG231" t="s">
        <v>3</v>
      </c>
      <c r="BH231">
        <v>0</v>
      </c>
      <c r="BI231">
        <v>2</v>
      </c>
      <c r="BJ231" t="s">
        <v>718</v>
      </c>
      <c r="BM231">
        <v>108001</v>
      </c>
      <c r="BN231">
        <v>0</v>
      </c>
      <c r="BO231" t="s">
        <v>716</v>
      </c>
      <c r="BP231">
        <v>1</v>
      </c>
      <c r="BQ231">
        <v>3</v>
      </c>
      <c r="BR231">
        <v>0</v>
      </c>
      <c r="BS231">
        <v>33.65</v>
      </c>
      <c r="BT231">
        <v>1</v>
      </c>
      <c r="BU231">
        <v>1</v>
      </c>
      <c r="BV231">
        <v>1</v>
      </c>
      <c r="BW231">
        <v>1</v>
      </c>
      <c r="BX231">
        <v>1</v>
      </c>
      <c r="BY231" t="s">
        <v>3</v>
      </c>
      <c r="BZ231">
        <v>95</v>
      </c>
      <c r="CA231">
        <v>65</v>
      </c>
      <c r="CE231">
        <v>0</v>
      </c>
      <c r="CF231">
        <v>0</v>
      </c>
      <c r="CG231">
        <v>0</v>
      </c>
      <c r="CM231">
        <v>0</v>
      </c>
      <c r="CN231" t="s">
        <v>1329</v>
      </c>
      <c r="CO231">
        <v>0</v>
      </c>
      <c r="CP231">
        <f t="shared" si="238"/>
        <v>163.83000000000001</v>
      </c>
      <c r="CQ231">
        <f t="shared" si="239"/>
        <v>744.94</v>
      </c>
      <c r="CR231">
        <f t="shared" si="240"/>
        <v>64.400000000000006</v>
      </c>
      <c r="CS231">
        <f t="shared" si="241"/>
        <v>28.939</v>
      </c>
      <c r="CT231">
        <f t="shared" si="242"/>
        <v>15574.229499999999</v>
      </c>
      <c r="CU231">
        <f t="shared" si="243"/>
        <v>0</v>
      </c>
      <c r="CV231">
        <f t="shared" si="244"/>
        <v>46.656000000000006</v>
      </c>
      <c r="CW231">
        <f t="shared" si="245"/>
        <v>6.7500000000000004E-2</v>
      </c>
      <c r="CX231">
        <f t="shared" si="246"/>
        <v>0</v>
      </c>
      <c r="CY231">
        <f t="shared" si="247"/>
        <v>148.2285</v>
      </c>
      <c r="CZ231">
        <f t="shared" si="248"/>
        <v>101.41950000000001</v>
      </c>
      <c r="DC231" t="s">
        <v>3</v>
      </c>
      <c r="DD231" t="s">
        <v>3</v>
      </c>
      <c r="DE231" t="s">
        <v>200</v>
      </c>
      <c r="DF231" t="s">
        <v>200</v>
      </c>
      <c r="DG231" t="s">
        <v>200</v>
      </c>
      <c r="DH231" t="s">
        <v>3</v>
      </c>
      <c r="DI231" t="s">
        <v>200</v>
      </c>
      <c r="DJ231" t="s">
        <v>200</v>
      </c>
      <c r="DK231" t="s">
        <v>3</v>
      </c>
      <c r="DL231" t="s">
        <v>3</v>
      </c>
      <c r="DM231" t="s">
        <v>3</v>
      </c>
      <c r="DN231">
        <v>0</v>
      </c>
      <c r="DO231">
        <v>0</v>
      </c>
      <c r="DP231">
        <v>1</v>
      </c>
      <c r="DQ231">
        <v>1</v>
      </c>
      <c r="DU231">
        <v>1013</v>
      </c>
      <c r="DV231" t="s">
        <v>18</v>
      </c>
      <c r="DW231" t="s">
        <v>18</v>
      </c>
      <c r="DX231">
        <v>1</v>
      </c>
      <c r="DZ231" t="s">
        <v>3</v>
      </c>
      <c r="EA231" t="s">
        <v>3</v>
      </c>
      <c r="EB231" t="s">
        <v>3</v>
      </c>
      <c r="EC231" t="s">
        <v>3</v>
      </c>
      <c r="EE231">
        <v>64094909</v>
      </c>
      <c r="EF231">
        <v>3</v>
      </c>
      <c r="EG231" t="s">
        <v>22</v>
      </c>
      <c r="EH231">
        <v>0</v>
      </c>
      <c r="EI231" t="s">
        <v>3</v>
      </c>
      <c r="EJ231">
        <v>2</v>
      </c>
      <c r="EK231">
        <v>108001</v>
      </c>
      <c r="EL231" t="s">
        <v>23</v>
      </c>
      <c r="EM231" t="s">
        <v>24</v>
      </c>
      <c r="EO231" t="s">
        <v>42</v>
      </c>
      <c r="EQ231">
        <v>0</v>
      </c>
      <c r="ER231">
        <v>454.03</v>
      </c>
      <c r="ES231">
        <v>106.42</v>
      </c>
      <c r="ET231">
        <v>4.7699999999999996</v>
      </c>
      <c r="EU231">
        <v>0.64</v>
      </c>
      <c r="EV231">
        <v>342.84</v>
      </c>
      <c r="EW231">
        <v>34.56</v>
      </c>
      <c r="EX231">
        <v>0.05</v>
      </c>
      <c r="EY231">
        <v>0</v>
      </c>
      <c r="FQ231">
        <v>0</v>
      </c>
      <c r="FR231">
        <f t="shared" si="249"/>
        <v>0</v>
      </c>
      <c r="FS231">
        <v>0</v>
      </c>
      <c r="FX231">
        <v>95</v>
      </c>
      <c r="FY231">
        <v>65</v>
      </c>
      <c r="GA231" t="s">
        <v>3</v>
      </c>
      <c r="GD231">
        <v>1</v>
      </c>
      <c r="GF231">
        <v>-2006044161</v>
      </c>
      <c r="GG231">
        <v>2</v>
      </c>
      <c r="GH231">
        <v>1</v>
      </c>
      <c r="GI231">
        <v>2</v>
      </c>
      <c r="GJ231">
        <v>0</v>
      </c>
      <c r="GK231">
        <v>0</v>
      </c>
      <c r="GL231">
        <f t="shared" si="250"/>
        <v>0</v>
      </c>
      <c r="GM231">
        <f t="shared" si="251"/>
        <v>413.48</v>
      </c>
      <c r="GN231">
        <f t="shared" si="252"/>
        <v>0</v>
      </c>
      <c r="GO231">
        <f t="shared" si="253"/>
        <v>413.48</v>
      </c>
      <c r="GP231">
        <f t="shared" si="254"/>
        <v>0</v>
      </c>
      <c r="GR231">
        <v>0</v>
      </c>
      <c r="GS231">
        <v>3</v>
      </c>
      <c r="GT231">
        <v>0</v>
      </c>
      <c r="GU231" t="s">
        <v>3</v>
      </c>
      <c r="GV231">
        <f t="shared" si="255"/>
        <v>0</v>
      </c>
      <c r="GW231">
        <v>1</v>
      </c>
      <c r="GX231">
        <f t="shared" si="256"/>
        <v>0</v>
      </c>
      <c r="HA231">
        <v>0</v>
      </c>
      <c r="HB231">
        <v>0</v>
      </c>
      <c r="HC231">
        <f t="shared" si="257"/>
        <v>0</v>
      </c>
      <c r="HE231" t="s">
        <v>3</v>
      </c>
      <c r="HF231" t="s">
        <v>3</v>
      </c>
      <c r="IK231">
        <v>0</v>
      </c>
    </row>
    <row r="232" spans="1:245" x14ac:dyDescent="0.2">
      <c r="A232">
        <v>18</v>
      </c>
      <c r="B232">
        <v>1</v>
      </c>
      <c r="C232">
        <v>599</v>
      </c>
      <c r="E232" t="s">
        <v>719</v>
      </c>
      <c r="F232" t="s">
        <v>720</v>
      </c>
      <c r="G232" t="s">
        <v>721</v>
      </c>
      <c r="H232" t="s">
        <v>18</v>
      </c>
      <c r="I232">
        <f>I231*J232</f>
        <v>0.01</v>
      </c>
      <c r="J232">
        <v>1</v>
      </c>
      <c r="O232">
        <f t="shared" si="223"/>
        <v>545.99</v>
      </c>
      <c r="P232">
        <f t="shared" si="224"/>
        <v>545.99</v>
      </c>
      <c r="Q232">
        <f t="shared" si="225"/>
        <v>0</v>
      </c>
      <c r="R232">
        <f t="shared" si="226"/>
        <v>0</v>
      </c>
      <c r="S232">
        <f t="shared" si="227"/>
        <v>0</v>
      </c>
      <c r="T232">
        <f t="shared" si="228"/>
        <v>0</v>
      </c>
      <c r="U232">
        <f t="shared" si="229"/>
        <v>0</v>
      </c>
      <c r="V232">
        <f t="shared" si="230"/>
        <v>0</v>
      </c>
      <c r="W232">
        <f t="shared" si="231"/>
        <v>0</v>
      </c>
      <c r="X232">
        <f t="shared" si="232"/>
        <v>0</v>
      </c>
      <c r="Y232">
        <f t="shared" si="233"/>
        <v>0</v>
      </c>
      <c r="AA232">
        <v>68990560</v>
      </c>
      <c r="AB232">
        <f t="shared" si="234"/>
        <v>3217.41</v>
      </c>
      <c r="AC232">
        <f t="shared" si="235"/>
        <v>3217.41</v>
      </c>
      <c r="AD232">
        <f>ROUND((((ET232)-(EU232))+AE232),2)</f>
        <v>0</v>
      </c>
      <c r="AE232">
        <f>ROUND((EU232),2)</f>
        <v>0</v>
      </c>
      <c r="AF232">
        <f>ROUND((EV232),2)</f>
        <v>0</v>
      </c>
      <c r="AG232">
        <f t="shared" si="236"/>
        <v>0</v>
      </c>
      <c r="AH232">
        <f>(EW232)</f>
        <v>0</v>
      </c>
      <c r="AI232">
        <f>(EX232)</f>
        <v>0</v>
      </c>
      <c r="AJ232">
        <f t="shared" si="237"/>
        <v>0</v>
      </c>
      <c r="AK232">
        <v>3217.41</v>
      </c>
      <c r="AL232">
        <v>3217.41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95</v>
      </c>
      <c r="AU232">
        <v>65</v>
      </c>
      <c r="AV232">
        <v>1</v>
      </c>
      <c r="AW232">
        <v>1</v>
      </c>
      <c r="AZ232">
        <v>1</v>
      </c>
      <c r="BA232">
        <v>1</v>
      </c>
      <c r="BB232">
        <v>1</v>
      </c>
      <c r="BC232">
        <v>16.97</v>
      </c>
      <c r="BD232" t="s">
        <v>3</v>
      </c>
      <c r="BE232" t="s">
        <v>3</v>
      </c>
      <c r="BF232" t="s">
        <v>3</v>
      </c>
      <c r="BG232" t="s">
        <v>3</v>
      </c>
      <c r="BH232">
        <v>3</v>
      </c>
      <c r="BI232">
        <v>2</v>
      </c>
      <c r="BJ232" t="s">
        <v>722</v>
      </c>
      <c r="BM232">
        <v>108001</v>
      </c>
      <c r="BN232">
        <v>0</v>
      </c>
      <c r="BO232" t="s">
        <v>720</v>
      </c>
      <c r="BP232">
        <v>1</v>
      </c>
      <c r="BQ232">
        <v>3</v>
      </c>
      <c r="BR232">
        <v>0</v>
      </c>
      <c r="BS232">
        <v>1</v>
      </c>
      <c r="BT232">
        <v>1</v>
      </c>
      <c r="BU232">
        <v>1</v>
      </c>
      <c r="BV232">
        <v>1</v>
      </c>
      <c r="BW232">
        <v>1</v>
      </c>
      <c r="BX232">
        <v>1</v>
      </c>
      <c r="BY232" t="s">
        <v>3</v>
      </c>
      <c r="BZ232">
        <v>95</v>
      </c>
      <c r="CA232">
        <v>65</v>
      </c>
      <c r="CE232">
        <v>0</v>
      </c>
      <c r="CF232">
        <v>0</v>
      </c>
      <c r="CG232">
        <v>0</v>
      </c>
      <c r="CM232">
        <v>0</v>
      </c>
      <c r="CN232" t="s">
        <v>3</v>
      </c>
      <c r="CO232">
        <v>0</v>
      </c>
      <c r="CP232">
        <f t="shared" si="238"/>
        <v>545.99</v>
      </c>
      <c r="CQ232">
        <f t="shared" si="239"/>
        <v>54599.447699999997</v>
      </c>
      <c r="CR232">
        <f t="shared" si="240"/>
        <v>0</v>
      </c>
      <c r="CS232">
        <f t="shared" si="241"/>
        <v>0</v>
      </c>
      <c r="CT232">
        <f t="shared" si="242"/>
        <v>0</v>
      </c>
      <c r="CU232">
        <f t="shared" si="243"/>
        <v>0</v>
      </c>
      <c r="CV232">
        <f t="shared" si="244"/>
        <v>0</v>
      </c>
      <c r="CW232">
        <f t="shared" si="245"/>
        <v>0</v>
      </c>
      <c r="CX232">
        <f t="shared" si="246"/>
        <v>0</v>
      </c>
      <c r="CY232">
        <f t="shared" si="247"/>
        <v>0</v>
      </c>
      <c r="CZ232">
        <f t="shared" si="248"/>
        <v>0</v>
      </c>
      <c r="DC232" t="s">
        <v>3</v>
      </c>
      <c r="DD232" t="s">
        <v>3</v>
      </c>
      <c r="DE232" t="s">
        <v>3</v>
      </c>
      <c r="DF232" t="s">
        <v>3</v>
      </c>
      <c r="DG232" t="s">
        <v>3</v>
      </c>
      <c r="DH232" t="s">
        <v>3</v>
      </c>
      <c r="DI232" t="s">
        <v>3</v>
      </c>
      <c r="DJ232" t="s">
        <v>3</v>
      </c>
      <c r="DK232" t="s">
        <v>3</v>
      </c>
      <c r="DL232" t="s">
        <v>3</v>
      </c>
      <c r="DM232" t="s">
        <v>3</v>
      </c>
      <c r="DN232">
        <v>0</v>
      </c>
      <c r="DO232">
        <v>0</v>
      </c>
      <c r="DP232">
        <v>1</v>
      </c>
      <c r="DQ232">
        <v>1</v>
      </c>
      <c r="DU232">
        <v>1013</v>
      </c>
      <c r="DV232" t="s">
        <v>18</v>
      </c>
      <c r="DW232" t="s">
        <v>18</v>
      </c>
      <c r="DX232">
        <v>1</v>
      </c>
      <c r="DZ232" t="s">
        <v>3</v>
      </c>
      <c r="EA232" t="s">
        <v>3</v>
      </c>
      <c r="EB232" t="s">
        <v>3</v>
      </c>
      <c r="EC232" t="s">
        <v>3</v>
      </c>
      <c r="EE232">
        <v>64094909</v>
      </c>
      <c r="EF232">
        <v>3</v>
      </c>
      <c r="EG232" t="s">
        <v>22</v>
      </c>
      <c r="EH232">
        <v>0</v>
      </c>
      <c r="EI232" t="s">
        <v>3</v>
      </c>
      <c r="EJ232">
        <v>2</v>
      </c>
      <c r="EK232">
        <v>108001</v>
      </c>
      <c r="EL232" t="s">
        <v>23</v>
      </c>
      <c r="EM232" t="s">
        <v>24</v>
      </c>
      <c r="EO232" t="s">
        <v>3</v>
      </c>
      <c r="EQ232">
        <v>0</v>
      </c>
      <c r="ER232">
        <v>3217.41</v>
      </c>
      <c r="ES232">
        <v>3217.41</v>
      </c>
      <c r="ET232">
        <v>0</v>
      </c>
      <c r="EU232">
        <v>0</v>
      </c>
      <c r="EV232">
        <v>0</v>
      </c>
      <c r="EW232">
        <v>0</v>
      </c>
      <c r="EX232">
        <v>0</v>
      </c>
      <c r="FQ232">
        <v>0</v>
      </c>
      <c r="FR232">
        <f t="shared" si="249"/>
        <v>0</v>
      </c>
      <c r="FS232">
        <v>0</v>
      </c>
      <c r="FX232">
        <v>95</v>
      </c>
      <c r="FY232">
        <v>65</v>
      </c>
      <c r="GA232" t="s">
        <v>3</v>
      </c>
      <c r="GD232">
        <v>1</v>
      </c>
      <c r="GF232">
        <v>423955288</v>
      </c>
      <c r="GG232">
        <v>2</v>
      </c>
      <c r="GH232">
        <v>1</v>
      </c>
      <c r="GI232">
        <v>2</v>
      </c>
      <c r="GJ232">
        <v>0</v>
      </c>
      <c r="GK232">
        <v>0</v>
      </c>
      <c r="GL232">
        <f t="shared" si="250"/>
        <v>0</v>
      </c>
      <c r="GM232">
        <f t="shared" si="251"/>
        <v>545.99</v>
      </c>
      <c r="GN232">
        <f t="shared" si="252"/>
        <v>0</v>
      </c>
      <c r="GO232">
        <f t="shared" si="253"/>
        <v>545.99</v>
      </c>
      <c r="GP232">
        <f t="shared" si="254"/>
        <v>0</v>
      </c>
      <c r="GR232">
        <v>0</v>
      </c>
      <c r="GS232">
        <v>3</v>
      </c>
      <c r="GT232">
        <v>0</v>
      </c>
      <c r="GU232" t="s">
        <v>3</v>
      </c>
      <c r="GV232">
        <f t="shared" si="255"/>
        <v>0</v>
      </c>
      <c r="GW232">
        <v>1</v>
      </c>
      <c r="GX232">
        <f t="shared" si="256"/>
        <v>0</v>
      </c>
      <c r="HA232">
        <v>0</v>
      </c>
      <c r="HB232">
        <v>0</v>
      </c>
      <c r="HC232">
        <f t="shared" si="257"/>
        <v>0</v>
      </c>
      <c r="HE232" t="s">
        <v>3</v>
      </c>
      <c r="HF232" t="s">
        <v>3</v>
      </c>
      <c r="IK232">
        <v>0</v>
      </c>
    </row>
    <row r="233" spans="1:245" x14ac:dyDescent="0.2">
      <c r="A233">
        <v>17</v>
      </c>
      <c r="B233">
        <v>1</v>
      </c>
      <c r="C233">
        <f>ROW(SmtRes!A602)</f>
        <v>602</v>
      </c>
      <c r="D233">
        <f>ROW(EtalonRes!A573)</f>
        <v>573</v>
      </c>
      <c r="E233" t="s">
        <v>723</v>
      </c>
      <c r="F233" t="s">
        <v>600</v>
      </c>
      <c r="G233" t="s">
        <v>601</v>
      </c>
      <c r="H233" t="s">
        <v>18</v>
      </c>
      <c r="I233">
        <f>ROUND(2/100,5)</f>
        <v>0.02</v>
      </c>
      <c r="J233">
        <v>0</v>
      </c>
      <c r="O233">
        <f t="shared" si="223"/>
        <v>711.3</v>
      </c>
      <c r="P233">
        <f t="shared" si="224"/>
        <v>0</v>
      </c>
      <c r="Q233">
        <f t="shared" si="225"/>
        <v>88.7</v>
      </c>
      <c r="R233">
        <f t="shared" si="226"/>
        <v>0</v>
      </c>
      <c r="S233">
        <f t="shared" si="227"/>
        <v>622.6</v>
      </c>
      <c r="T233">
        <f t="shared" si="228"/>
        <v>0</v>
      </c>
      <c r="U233">
        <f t="shared" si="229"/>
        <v>2.0154899999999998</v>
      </c>
      <c r="V233">
        <f t="shared" si="230"/>
        <v>0</v>
      </c>
      <c r="W233">
        <f t="shared" si="231"/>
        <v>0</v>
      </c>
      <c r="X233">
        <f t="shared" si="232"/>
        <v>616.37</v>
      </c>
      <c r="Y233">
        <f t="shared" si="233"/>
        <v>373.56</v>
      </c>
      <c r="AA233">
        <v>68990560</v>
      </c>
      <c r="AB233">
        <f t="shared" si="234"/>
        <v>2520.37</v>
      </c>
      <c r="AC233">
        <f t="shared" si="235"/>
        <v>0</v>
      </c>
      <c r="AD233">
        <f>ROUND(((((ET233*1.15))-((EU233*1.15)))+AE233),2)</f>
        <v>1595.26</v>
      </c>
      <c r="AE233">
        <f>ROUND(((EU233*1.15)),2)</f>
        <v>0</v>
      </c>
      <c r="AF233">
        <f>ROUND(((EV233*1.15)),2)</f>
        <v>925.11</v>
      </c>
      <c r="AG233">
        <f t="shared" si="236"/>
        <v>0</v>
      </c>
      <c r="AH233">
        <f>((EW233*1.15))</f>
        <v>100.77449999999999</v>
      </c>
      <c r="AI233">
        <f>((EX233*1.15))</f>
        <v>0</v>
      </c>
      <c r="AJ233">
        <f t="shared" si="237"/>
        <v>0</v>
      </c>
      <c r="AK233">
        <v>2191.62</v>
      </c>
      <c r="AL233">
        <v>0</v>
      </c>
      <c r="AM233">
        <v>1387.18</v>
      </c>
      <c r="AN233">
        <v>0</v>
      </c>
      <c r="AO233">
        <v>804.44</v>
      </c>
      <c r="AP233">
        <v>0</v>
      </c>
      <c r="AQ233">
        <v>87.63</v>
      </c>
      <c r="AR233">
        <v>0</v>
      </c>
      <c r="AS233">
        <v>0</v>
      </c>
      <c r="AT233">
        <v>99</v>
      </c>
      <c r="AU233">
        <v>60</v>
      </c>
      <c r="AV233">
        <v>1</v>
      </c>
      <c r="AW233">
        <v>1</v>
      </c>
      <c r="AZ233">
        <v>1</v>
      </c>
      <c r="BA233">
        <v>33.65</v>
      </c>
      <c r="BB233">
        <v>2.78</v>
      </c>
      <c r="BC233">
        <v>1</v>
      </c>
      <c r="BD233" t="s">
        <v>3</v>
      </c>
      <c r="BE233" t="s">
        <v>3</v>
      </c>
      <c r="BF233" t="s">
        <v>3</v>
      </c>
      <c r="BG233" t="s">
        <v>3</v>
      </c>
      <c r="BH233">
        <v>0</v>
      </c>
      <c r="BI233">
        <v>1</v>
      </c>
      <c r="BJ233" t="s">
        <v>602</v>
      </c>
      <c r="BM233">
        <v>46001</v>
      </c>
      <c r="BN233">
        <v>0</v>
      </c>
      <c r="BO233" t="s">
        <v>600</v>
      </c>
      <c r="BP233">
        <v>1</v>
      </c>
      <c r="BQ233">
        <v>2</v>
      </c>
      <c r="BR233">
        <v>0</v>
      </c>
      <c r="BS233">
        <v>33.65</v>
      </c>
      <c r="BT233">
        <v>1</v>
      </c>
      <c r="BU233">
        <v>1</v>
      </c>
      <c r="BV233">
        <v>1</v>
      </c>
      <c r="BW233">
        <v>1</v>
      </c>
      <c r="BX233">
        <v>1</v>
      </c>
      <c r="BY233" t="s">
        <v>3</v>
      </c>
      <c r="BZ233">
        <v>110</v>
      </c>
      <c r="CA233">
        <v>70</v>
      </c>
      <c r="CE233">
        <v>0</v>
      </c>
      <c r="CF233">
        <v>0</v>
      </c>
      <c r="CG233">
        <v>0</v>
      </c>
      <c r="CM233">
        <v>0</v>
      </c>
      <c r="CN233" t="s">
        <v>1329</v>
      </c>
      <c r="CO233">
        <v>0</v>
      </c>
      <c r="CP233">
        <f t="shared" si="238"/>
        <v>711.30000000000007</v>
      </c>
      <c r="CQ233">
        <f t="shared" si="239"/>
        <v>0</v>
      </c>
      <c r="CR233">
        <f t="shared" si="240"/>
        <v>4434.8227999999999</v>
      </c>
      <c r="CS233">
        <f t="shared" si="241"/>
        <v>0</v>
      </c>
      <c r="CT233">
        <f t="shared" si="242"/>
        <v>31129.951499999999</v>
      </c>
      <c r="CU233">
        <f t="shared" si="243"/>
        <v>0</v>
      </c>
      <c r="CV233">
        <f t="shared" si="244"/>
        <v>100.77449999999999</v>
      </c>
      <c r="CW233">
        <f t="shared" si="245"/>
        <v>0</v>
      </c>
      <c r="CX233">
        <f t="shared" si="246"/>
        <v>0</v>
      </c>
      <c r="CY233">
        <f t="shared" si="247"/>
        <v>616.37400000000002</v>
      </c>
      <c r="CZ233">
        <f t="shared" si="248"/>
        <v>373.56</v>
      </c>
      <c r="DC233" t="s">
        <v>3</v>
      </c>
      <c r="DD233" t="s">
        <v>3</v>
      </c>
      <c r="DE233" t="s">
        <v>38</v>
      </c>
      <c r="DF233" t="s">
        <v>38</v>
      </c>
      <c r="DG233" t="s">
        <v>38</v>
      </c>
      <c r="DH233" t="s">
        <v>3</v>
      </c>
      <c r="DI233" t="s">
        <v>38</v>
      </c>
      <c r="DJ233" t="s">
        <v>38</v>
      </c>
      <c r="DK233" t="s">
        <v>3</v>
      </c>
      <c r="DL233" t="s">
        <v>3</v>
      </c>
      <c r="DM233" t="s">
        <v>3</v>
      </c>
      <c r="DN233">
        <v>0</v>
      </c>
      <c r="DO233">
        <v>0</v>
      </c>
      <c r="DP233">
        <v>1</v>
      </c>
      <c r="DQ233">
        <v>1</v>
      </c>
      <c r="DU233">
        <v>1013</v>
      </c>
      <c r="DV233" t="s">
        <v>18</v>
      </c>
      <c r="DW233" t="s">
        <v>18</v>
      </c>
      <c r="DX233">
        <v>1</v>
      </c>
      <c r="DZ233" t="s">
        <v>3</v>
      </c>
      <c r="EA233" t="s">
        <v>3</v>
      </c>
      <c r="EB233" t="s">
        <v>3</v>
      </c>
      <c r="EC233" t="s">
        <v>3</v>
      </c>
      <c r="EE233">
        <v>64095094</v>
      </c>
      <c r="EF233">
        <v>2</v>
      </c>
      <c r="EG233" t="s">
        <v>13</v>
      </c>
      <c r="EH233">
        <v>0</v>
      </c>
      <c r="EI233" t="s">
        <v>3</v>
      </c>
      <c r="EJ233">
        <v>1</v>
      </c>
      <c r="EK233">
        <v>46001</v>
      </c>
      <c r="EL233" t="s">
        <v>62</v>
      </c>
      <c r="EM233" t="s">
        <v>63</v>
      </c>
      <c r="EO233" t="s">
        <v>42</v>
      </c>
      <c r="EQ233">
        <v>0</v>
      </c>
      <c r="ER233">
        <v>2191.62</v>
      </c>
      <c r="ES233">
        <v>0</v>
      </c>
      <c r="ET233">
        <v>1387.18</v>
      </c>
      <c r="EU233">
        <v>0</v>
      </c>
      <c r="EV233">
        <v>804.44</v>
      </c>
      <c r="EW233">
        <v>87.63</v>
      </c>
      <c r="EX233">
        <v>0</v>
      </c>
      <c r="EY233">
        <v>0</v>
      </c>
      <c r="FQ233">
        <v>0</v>
      </c>
      <c r="FR233">
        <f t="shared" si="249"/>
        <v>0</v>
      </c>
      <c r="FS233">
        <v>0</v>
      </c>
      <c r="FT233" t="s">
        <v>52</v>
      </c>
      <c r="FU233" t="s">
        <v>53</v>
      </c>
      <c r="FX233">
        <v>99</v>
      </c>
      <c r="FY233">
        <v>59.5</v>
      </c>
      <c r="GA233" t="s">
        <v>3</v>
      </c>
      <c r="GD233">
        <v>1</v>
      </c>
      <c r="GF233">
        <v>-668762085</v>
      </c>
      <c r="GG233">
        <v>2</v>
      </c>
      <c r="GH233">
        <v>1</v>
      </c>
      <c r="GI233">
        <v>2</v>
      </c>
      <c r="GJ233">
        <v>0</v>
      </c>
      <c r="GK233">
        <v>0</v>
      </c>
      <c r="GL233">
        <f t="shared" si="250"/>
        <v>0</v>
      </c>
      <c r="GM233">
        <f t="shared" si="251"/>
        <v>1701.23</v>
      </c>
      <c r="GN233">
        <f t="shared" si="252"/>
        <v>1701.23</v>
      </c>
      <c r="GO233">
        <f t="shared" si="253"/>
        <v>0</v>
      </c>
      <c r="GP233">
        <f t="shared" si="254"/>
        <v>0</v>
      </c>
      <c r="GR233">
        <v>0</v>
      </c>
      <c r="GS233">
        <v>3</v>
      </c>
      <c r="GT233">
        <v>0</v>
      </c>
      <c r="GU233" t="s">
        <v>3</v>
      </c>
      <c r="GV233">
        <f t="shared" si="255"/>
        <v>0</v>
      </c>
      <c r="GW233">
        <v>1</v>
      </c>
      <c r="GX233">
        <f t="shared" si="256"/>
        <v>0</v>
      </c>
      <c r="HA233">
        <v>0</v>
      </c>
      <c r="HB233">
        <v>0</v>
      </c>
      <c r="HC233">
        <f t="shared" si="257"/>
        <v>0</v>
      </c>
      <c r="HE233" t="s">
        <v>3</v>
      </c>
      <c r="HF233" t="s">
        <v>3</v>
      </c>
      <c r="IK233">
        <v>0</v>
      </c>
    </row>
    <row r="235" spans="1:245" x14ac:dyDescent="0.2">
      <c r="A235" s="2">
        <v>51</v>
      </c>
      <c r="B235" s="2">
        <f>B213</f>
        <v>1</v>
      </c>
      <c r="C235" s="2">
        <f>A213</f>
        <v>4</v>
      </c>
      <c r="D235" s="2">
        <f>ROW(A213)</f>
        <v>213</v>
      </c>
      <c r="E235" s="2"/>
      <c r="F235" s="2" t="str">
        <f>IF(F213&lt;&gt;"",F213,"")</f>
        <v>Новый раздел</v>
      </c>
      <c r="G235" s="2" t="str">
        <f>IF(G213&lt;&gt;"",G213,"")</f>
        <v>Видеодомофон</v>
      </c>
      <c r="H235" s="2">
        <v>0</v>
      </c>
      <c r="I235" s="2"/>
      <c r="J235" s="2"/>
      <c r="K235" s="2"/>
      <c r="L235" s="2"/>
      <c r="M235" s="2"/>
      <c r="N235" s="2"/>
      <c r="O235" s="2">
        <f t="shared" ref="O235:T235" si="258">ROUND(AB235,2)</f>
        <v>22731.96</v>
      </c>
      <c r="P235" s="2">
        <f t="shared" si="258"/>
        <v>13853.3</v>
      </c>
      <c r="Q235" s="2">
        <f t="shared" si="258"/>
        <v>117.61</v>
      </c>
      <c r="R235" s="2">
        <f t="shared" si="258"/>
        <v>13.64</v>
      </c>
      <c r="S235" s="2">
        <f t="shared" si="258"/>
        <v>8761.0499999999993</v>
      </c>
      <c r="T235" s="2">
        <f t="shared" si="258"/>
        <v>0</v>
      </c>
      <c r="U235" s="2">
        <f>AH235</f>
        <v>27.945142499999999</v>
      </c>
      <c r="V235" s="2">
        <f>AI235</f>
        <v>3.1927500000000004E-2</v>
      </c>
      <c r="W235" s="2">
        <f>ROUND(AJ235,2)</f>
        <v>0</v>
      </c>
      <c r="X235" s="2">
        <f>ROUND(AK235,2)</f>
        <v>7941.32</v>
      </c>
      <c r="Y235" s="2">
        <f>ROUND(AL235,2)</f>
        <v>5532.59</v>
      </c>
      <c r="Z235" s="2"/>
      <c r="AA235" s="2"/>
      <c r="AB235" s="2">
        <f>ROUND(SUMIF(AA217:AA233,"=68990560",O217:O233),2)</f>
        <v>22731.96</v>
      </c>
      <c r="AC235" s="2">
        <f>ROUND(SUMIF(AA217:AA233,"=68990560",P217:P233),2)</f>
        <v>13853.3</v>
      </c>
      <c r="AD235" s="2">
        <f>ROUND(SUMIF(AA217:AA233,"=68990560",Q217:Q233),2)</f>
        <v>117.61</v>
      </c>
      <c r="AE235" s="2">
        <f>ROUND(SUMIF(AA217:AA233,"=68990560",R217:R233),2)</f>
        <v>13.64</v>
      </c>
      <c r="AF235" s="2">
        <f>ROUND(SUMIF(AA217:AA233,"=68990560",S217:S233),2)</f>
        <v>8761.0499999999993</v>
      </c>
      <c r="AG235" s="2">
        <f>ROUND(SUMIF(AA217:AA233,"=68990560",T217:T233),2)</f>
        <v>0</v>
      </c>
      <c r="AH235" s="2">
        <f>SUMIF(AA217:AA233,"=68990560",U217:U233)</f>
        <v>27.945142499999999</v>
      </c>
      <c r="AI235" s="2">
        <f>SUMIF(AA217:AA233,"=68990560",V217:V233)</f>
        <v>3.1927500000000004E-2</v>
      </c>
      <c r="AJ235" s="2">
        <f>ROUND(SUMIF(AA217:AA233,"=68990560",W217:W233),2)</f>
        <v>0</v>
      </c>
      <c r="AK235" s="2">
        <f>ROUND(SUMIF(AA217:AA233,"=68990560",X217:X233),2)</f>
        <v>7941.32</v>
      </c>
      <c r="AL235" s="2">
        <f>ROUND(SUMIF(AA217:AA233,"=68990560",Y217:Y233),2)</f>
        <v>5532.59</v>
      </c>
      <c r="AM235" s="2"/>
      <c r="AN235" s="2"/>
      <c r="AO235" s="2">
        <f t="shared" ref="AO235:BD235" si="259">ROUND(BX235,2)</f>
        <v>0</v>
      </c>
      <c r="AP235" s="2">
        <f t="shared" si="259"/>
        <v>0</v>
      </c>
      <c r="AQ235" s="2">
        <f t="shared" si="259"/>
        <v>0</v>
      </c>
      <c r="AR235" s="2">
        <f t="shared" si="259"/>
        <v>36205.870000000003</v>
      </c>
      <c r="AS235" s="2">
        <f t="shared" si="259"/>
        <v>1701.23</v>
      </c>
      <c r="AT235" s="2">
        <f t="shared" si="259"/>
        <v>34504.639999999999</v>
      </c>
      <c r="AU235" s="2">
        <f t="shared" si="259"/>
        <v>0</v>
      </c>
      <c r="AV235" s="2">
        <f t="shared" si="259"/>
        <v>13853.3</v>
      </c>
      <c r="AW235" s="2">
        <f t="shared" si="259"/>
        <v>13853.3</v>
      </c>
      <c r="AX235" s="2">
        <f t="shared" si="259"/>
        <v>0</v>
      </c>
      <c r="AY235" s="2">
        <f t="shared" si="259"/>
        <v>13853.3</v>
      </c>
      <c r="AZ235" s="2">
        <f t="shared" si="259"/>
        <v>0</v>
      </c>
      <c r="BA235" s="2">
        <f t="shared" si="259"/>
        <v>0</v>
      </c>
      <c r="BB235" s="2">
        <f t="shared" si="259"/>
        <v>0</v>
      </c>
      <c r="BC235" s="2">
        <f t="shared" si="259"/>
        <v>0</v>
      </c>
      <c r="BD235" s="2">
        <f t="shared" si="259"/>
        <v>0</v>
      </c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>
        <f>ROUND(SUMIF(AA217:AA233,"=68990560",FQ217:FQ233),2)</f>
        <v>0</v>
      </c>
      <c r="BY235" s="2">
        <f>ROUND(SUMIF(AA217:AA233,"=68990560",FR217:FR233),2)</f>
        <v>0</v>
      </c>
      <c r="BZ235" s="2">
        <f>ROUND(SUMIF(AA217:AA233,"=68990560",GL217:GL233),2)</f>
        <v>0</v>
      </c>
      <c r="CA235" s="2">
        <f>ROUND(SUMIF(AA217:AA233,"=68990560",GM217:GM233),2)</f>
        <v>36205.870000000003</v>
      </c>
      <c r="CB235" s="2">
        <f>ROUND(SUMIF(AA217:AA233,"=68990560",GN217:GN233),2)</f>
        <v>1701.23</v>
      </c>
      <c r="CC235" s="2">
        <f>ROUND(SUMIF(AA217:AA233,"=68990560",GO217:GO233),2)</f>
        <v>34504.639999999999</v>
      </c>
      <c r="CD235" s="2">
        <f>ROUND(SUMIF(AA217:AA233,"=68990560",GP217:GP233),2)</f>
        <v>0</v>
      </c>
      <c r="CE235" s="2">
        <f>AC235-BX235</f>
        <v>13853.3</v>
      </c>
      <c r="CF235" s="2">
        <f>AC235-BY235</f>
        <v>13853.3</v>
      </c>
      <c r="CG235" s="2">
        <f>BX235-BZ235</f>
        <v>0</v>
      </c>
      <c r="CH235" s="2">
        <f>AC235-BX235-BY235+BZ235</f>
        <v>13853.3</v>
      </c>
      <c r="CI235" s="2">
        <f>BY235-BZ235</f>
        <v>0</v>
      </c>
      <c r="CJ235" s="2">
        <f>ROUND(SUMIF(AA217:AA233,"=68990560",GX217:GX233),2)</f>
        <v>0</v>
      </c>
      <c r="CK235" s="2">
        <f>ROUND(SUMIF(AA217:AA233,"=68990560",GY217:GY233),2)</f>
        <v>0</v>
      </c>
      <c r="CL235" s="2">
        <f>ROUND(SUMIF(AA217:AA233,"=68990560",GZ217:GZ233),2)</f>
        <v>0</v>
      </c>
      <c r="CM235" s="2">
        <f>ROUND(SUMIF(AA217:AA233,"=68990560",HD217:HD233),2)</f>
        <v>0</v>
      </c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3"/>
      <c r="DH235" s="3"/>
      <c r="DI235" s="3"/>
      <c r="DJ235" s="3"/>
      <c r="DK235" s="3"/>
      <c r="DL235" s="3"/>
      <c r="DM235" s="3"/>
      <c r="DN235" s="3"/>
      <c r="DO235" s="3"/>
      <c r="DP235" s="3"/>
      <c r="DQ235" s="3"/>
      <c r="DR235" s="3"/>
      <c r="DS235" s="3"/>
      <c r="DT235" s="3"/>
      <c r="DU235" s="3"/>
      <c r="DV235" s="3"/>
      <c r="DW235" s="3"/>
      <c r="DX235" s="3"/>
      <c r="DY235" s="3"/>
      <c r="DZ235" s="3"/>
      <c r="EA235" s="3"/>
      <c r="EB235" s="3"/>
      <c r="EC235" s="3"/>
      <c r="ED235" s="3"/>
      <c r="EE235" s="3"/>
      <c r="EF235" s="3"/>
      <c r="EG235" s="3"/>
      <c r="EH235" s="3"/>
      <c r="EI235" s="3"/>
      <c r="EJ235" s="3"/>
      <c r="EK235" s="3"/>
      <c r="EL235" s="3"/>
      <c r="EM235" s="3"/>
      <c r="EN235" s="3"/>
      <c r="EO235" s="3"/>
      <c r="EP235" s="3"/>
      <c r="EQ235" s="3"/>
      <c r="ER235" s="3"/>
      <c r="ES235" s="3"/>
      <c r="ET235" s="3"/>
      <c r="EU235" s="3"/>
      <c r="EV235" s="3"/>
      <c r="EW235" s="3"/>
      <c r="EX235" s="3"/>
      <c r="EY235" s="3"/>
      <c r="EZ235" s="3"/>
      <c r="FA235" s="3"/>
      <c r="FB235" s="3"/>
      <c r="FC235" s="3"/>
      <c r="FD235" s="3"/>
      <c r="FE235" s="3"/>
      <c r="FF235" s="3"/>
      <c r="FG235" s="3"/>
      <c r="FH235" s="3"/>
      <c r="FI235" s="3"/>
      <c r="FJ235" s="3"/>
      <c r="FK235" s="3"/>
      <c r="FL235" s="3"/>
      <c r="FM235" s="3"/>
      <c r="FN235" s="3"/>
      <c r="FO235" s="3"/>
      <c r="FP235" s="3"/>
      <c r="FQ235" s="3"/>
      <c r="FR235" s="3"/>
      <c r="FS235" s="3"/>
      <c r="FT235" s="3"/>
      <c r="FU235" s="3"/>
      <c r="FV235" s="3"/>
      <c r="FW235" s="3"/>
      <c r="FX235" s="3"/>
      <c r="FY235" s="3"/>
      <c r="FZ235" s="3"/>
      <c r="GA235" s="3"/>
      <c r="GB235" s="3"/>
      <c r="GC235" s="3"/>
      <c r="GD235" s="3"/>
      <c r="GE235" s="3"/>
      <c r="GF235" s="3"/>
      <c r="GG235" s="3"/>
      <c r="GH235" s="3"/>
      <c r="GI235" s="3"/>
      <c r="GJ235" s="3"/>
      <c r="GK235" s="3"/>
      <c r="GL235" s="3"/>
      <c r="GM235" s="3"/>
      <c r="GN235" s="3"/>
      <c r="GO235" s="3"/>
      <c r="GP235" s="3"/>
      <c r="GQ235" s="3"/>
      <c r="GR235" s="3"/>
      <c r="GS235" s="3"/>
      <c r="GT235" s="3"/>
      <c r="GU235" s="3"/>
      <c r="GV235" s="3"/>
      <c r="GW235" s="3"/>
      <c r="GX235" s="3">
        <v>0</v>
      </c>
    </row>
    <row r="237" spans="1:245" x14ac:dyDescent="0.2">
      <c r="A237" s="4">
        <v>50</v>
      </c>
      <c r="B237" s="4">
        <v>0</v>
      </c>
      <c r="C237" s="4">
        <v>0</v>
      </c>
      <c r="D237" s="4">
        <v>1</v>
      </c>
      <c r="E237" s="4">
        <v>201</v>
      </c>
      <c r="F237" s="4">
        <f>ROUND(Source!O235,O237)</f>
        <v>22731.96</v>
      </c>
      <c r="G237" s="4" t="s">
        <v>625</v>
      </c>
      <c r="H237" s="4" t="s">
        <v>626</v>
      </c>
      <c r="I237" s="4"/>
      <c r="J237" s="4"/>
      <c r="K237" s="4">
        <v>201</v>
      </c>
      <c r="L237" s="4">
        <v>1</v>
      </c>
      <c r="M237" s="4">
        <v>3</v>
      </c>
      <c r="N237" s="4" t="s">
        <v>3</v>
      </c>
      <c r="O237" s="4">
        <v>2</v>
      </c>
      <c r="P237" s="4"/>
      <c r="Q237" s="4"/>
      <c r="R237" s="4"/>
      <c r="S237" s="4"/>
      <c r="T237" s="4"/>
      <c r="U237" s="4"/>
      <c r="V237" s="4"/>
      <c r="W237" s="4"/>
    </row>
    <row r="238" spans="1:245" x14ac:dyDescent="0.2">
      <c r="A238" s="4">
        <v>50</v>
      </c>
      <c r="B238" s="4">
        <v>0</v>
      </c>
      <c r="C238" s="4">
        <v>0</v>
      </c>
      <c r="D238" s="4">
        <v>1</v>
      </c>
      <c r="E238" s="4">
        <v>202</v>
      </c>
      <c r="F238" s="4">
        <f>ROUND(Source!P235,O238)</f>
        <v>13853.3</v>
      </c>
      <c r="G238" s="4" t="s">
        <v>627</v>
      </c>
      <c r="H238" s="4" t="s">
        <v>628</v>
      </c>
      <c r="I238" s="4"/>
      <c r="J238" s="4"/>
      <c r="K238" s="4">
        <v>202</v>
      </c>
      <c r="L238" s="4">
        <v>2</v>
      </c>
      <c r="M238" s="4">
        <v>3</v>
      </c>
      <c r="N238" s="4" t="s">
        <v>3</v>
      </c>
      <c r="O238" s="4">
        <v>2</v>
      </c>
      <c r="P238" s="4"/>
      <c r="Q238" s="4"/>
      <c r="R238" s="4"/>
      <c r="S238" s="4"/>
      <c r="T238" s="4"/>
      <c r="U238" s="4"/>
      <c r="V238" s="4"/>
      <c r="W238" s="4"/>
    </row>
    <row r="239" spans="1:245" x14ac:dyDescent="0.2">
      <c r="A239" s="4">
        <v>50</v>
      </c>
      <c r="B239" s="4">
        <v>0</v>
      </c>
      <c r="C239" s="4">
        <v>0</v>
      </c>
      <c r="D239" s="4">
        <v>1</v>
      </c>
      <c r="E239" s="4">
        <v>222</v>
      </c>
      <c r="F239" s="4">
        <f>ROUND(Source!AO235,O239)</f>
        <v>0</v>
      </c>
      <c r="G239" s="4" t="s">
        <v>629</v>
      </c>
      <c r="H239" s="4" t="s">
        <v>630</v>
      </c>
      <c r="I239" s="4"/>
      <c r="J239" s="4"/>
      <c r="K239" s="4">
        <v>222</v>
      </c>
      <c r="L239" s="4">
        <v>3</v>
      </c>
      <c r="M239" s="4">
        <v>3</v>
      </c>
      <c r="N239" s="4" t="s">
        <v>3</v>
      </c>
      <c r="O239" s="4">
        <v>2</v>
      </c>
      <c r="P239" s="4"/>
      <c r="Q239" s="4"/>
      <c r="R239" s="4"/>
      <c r="S239" s="4"/>
      <c r="T239" s="4"/>
      <c r="U239" s="4"/>
      <c r="V239" s="4"/>
      <c r="W239" s="4"/>
    </row>
    <row r="240" spans="1:245" x14ac:dyDescent="0.2">
      <c r="A240" s="4">
        <v>50</v>
      </c>
      <c r="B240" s="4">
        <v>0</v>
      </c>
      <c r="C240" s="4">
        <v>0</v>
      </c>
      <c r="D240" s="4">
        <v>1</v>
      </c>
      <c r="E240" s="4">
        <v>225</v>
      </c>
      <c r="F240" s="4">
        <f>ROUND(Source!AV235,O240)</f>
        <v>13853.3</v>
      </c>
      <c r="G240" s="4" t="s">
        <v>631</v>
      </c>
      <c r="H240" s="4" t="s">
        <v>632</v>
      </c>
      <c r="I240" s="4"/>
      <c r="J240" s="4"/>
      <c r="K240" s="4">
        <v>225</v>
      </c>
      <c r="L240" s="4">
        <v>4</v>
      </c>
      <c r="M240" s="4">
        <v>3</v>
      </c>
      <c r="N240" s="4" t="s">
        <v>3</v>
      </c>
      <c r="O240" s="4">
        <v>2</v>
      </c>
      <c r="P240" s="4"/>
      <c r="Q240" s="4"/>
      <c r="R240" s="4"/>
      <c r="S240" s="4"/>
      <c r="T240" s="4"/>
      <c r="U240" s="4"/>
      <c r="V240" s="4"/>
      <c r="W240" s="4"/>
    </row>
    <row r="241" spans="1:23" x14ac:dyDescent="0.2">
      <c r="A241" s="4">
        <v>50</v>
      </c>
      <c r="B241" s="4">
        <v>0</v>
      </c>
      <c r="C241" s="4">
        <v>0</v>
      </c>
      <c r="D241" s="4">
        <v>1</v>
      </c>
      <c r="E241" s="4">
        <v>226</v>
      </c>
      <c r="F241" s="4">
        <f>ROUND(Source!AW235,O241)</f>
        <v>13853.3</v>
      </c>
      <c r="G241" s="4" t="s">
        <v>633</v>
      </c>
      <c r="H241" s="4" t="s">
        <v>634</v>
      </c>
      <c r="I241" s="4"/>
      <c r="J241" s="4"/>
      <c r="K241" s="4">
        <v>226</v>
      </c>
      <c r="L241" s="4">
        <v>5</v>
      </c>
      <c r="M241" s="4">
        <v>3</v>
      </c>
      <c r="N241" s="4" t="s">
        <v>3</v>
      </c>
      <c r="O241" s="4">
        <v>2</v>
      </c>
      <c r="P241" s="4"/>
      <c r="Q241" s="4"/>
      <c r="R241" s="4"/>
      <c r="S241" s="4"/>
      <c r="T241" s="4"/>
      <c r="U241" s="4"/>
      <c r="V241" s="4"/>
      <c r="W241" s="4"/>
    </row>
    <row r="242" spans="1:23" x14ac:dyDescent="0.2">
      <c r="A242" s="4">
        <v>50</v>
      </c>
      <c r="B242" s="4">
        <v>0</v>
      </c>
      <c r="C242" s="4">
        <v>0</v>
      </c>
      <c r="D242" s="4">
        <v>1</v>
      </c>
      <c r="E242" s="4">
        <v>227</v>
      </c>
      <c r="F242" s="4">
        <f>ROUND(Source!AX235,O242)</f>
        <v>0</v>
      </c>
      <c r="G242" s="4" t="s">
        <v>635</v>
      </c>
      <c r="H242" s="4" t="s">
        <v>636</v>
      </c>
      <c r="I242" s="4"/>
      <c r="J242" s="4"/>
      <c r="K242" s="4">
        <v>227</v>
      </c>
      <c r="L242" s="4">
        <v>6</v>
      </c>
      <c r="M242" s="4">
        <v>3</v>
      </c>
      <c r="N242" s="4" t="s">
        <v>3</v>
      </c>
      <c r="O242" s="4">
        <v>2</v>
      </c>
      <c r="P242" s="4"/>
      <c r="Q242" s="4"/>
      <c r="R242" s="4"/>
      <c r="S242" s="4"/>
      <c r="T242" s="4"/>
      <c r="U242" s="4"/>
      <c r="V242" s="4"/>
      <c r="W242" s="4"/>
    </row>
    <row r="243" spans="1:23" x14ac:dyDescent="0.2">
      <c r="A243" s="4">
        <v>50</v>
      </c>
      <c r="B243" s="4">
        <v>0</v>
      </c>
      <c r="C243" s="4">
        <v>0</v>
      </c>
      <c r="D243" s="4">
        <v>1</v>
      </c>
      <c r="E243" s="4">
        <v>228</v>
      </c>
      <c r="F243" s="4">
        <f>ROUND(Source!AY235,O243)</f>
        <v>13853.3</v>
      </c>
      <c r="G243" s="4" t="s">
        <v>637</v>
      </c>
      <c r="H243" s="4" t="s">
        <v>638</v>
      </c>
      <c r="I243" s="4"/>
      <c r="J243" s="4"/>
      <c r="K243" s="4">
        <v>228</v>
      </c>
      <c r="L243" s="4">
        <v>7</v>
      </c>
      <c r="M243" s="4">
        <v>3</v>
      </c>
      <c r="N243" s="4" t="s">
        <v>3</v>
      </c>
      <c r="O243" s="4">
        <v>2</v>
      </c>
      <c r="P243" s="4"/>
      <c r="Q243" s="4"/>
      <c r="R243" s="4"/>
      <c r="S243" s="4"/>
      <c r="T243" s="4"/>
      <c r="U243" s="4"/>
      <c r="V243" s="4"/>
      <c r="W243" s="4"/>
    </row>
    <row r="244" spans="1:23" x14ac:dyDescent="0.2">
      <c r="A244" s="4">
        <v>50</v>
      </c>
      <c r="B244" s="4">
        <v>0</v>
      </c>
      <c r="C244" s="4">
        <v>0</v>
      </c>
      <c r="D244" s="4">
        <v>1</v>
      </c>
      <c r="E244" s="4">
        <v>216</v>
      </c>
      <c r="F244" s="4">
        <f>ROUND(Source!AP235,O244)</f>
        <v>0</v>
      </c>
      <c r="G244" s="4" t="s">
        <v>639</v>
      </c>
      <c r="H244" s="4" t="s">
        <v>640</v>
      </c>
      <c r="I244" s="4"/>
      <c r="J244" s="4"/>
      <c r="K244" s="4">
        <v>216</v>
      </c>
      <c r="L244" s="4">
        <v>8</v>
      </c>
      <c r="M244" s="4">
        <v>3</v>
      </c>
      <c r="N244" s="4" t="s">
        <v>3</v>
      </c>
      <c r="O244" s="4">
        <v>2</v>
      </c>
      <c r="P244" s="4"/>
      <c r="Q244" s="4"/>
      <c r="R244" s="4"/>
      <c r="S244" s="4"/>
      <c r="T244" s="4"/>
      <c r="U244" s="4"/>
      <c r="V244" s="4"/>
      <c r="W244" s="4"/>
    </row>
    <row r="245" spans="1:23" x14ac:dyDescent="0.2">
      <c r="A245" s="4">
        <v>50</v>
      </c>
      <c r="B245" s="4">
        <v>0</v>
      </c>
      <c r="C245" s="4">
        <v>0</v>
      </c>
      <c r="D245" s="4">
        <v>1</v>
      </c>
      <c r="E245" s="4">
        <v>223</v>
      </c>
      <c r="F245" s="4">
        <f>ROUND(Source!AQ235,O245)</f>
        <v>0</v>
      </c>
      <c r="G245" s="4" t="s">
        <v>641</v>
      </c>
      <c r="H245" s="4" t="s">
        <v>642</v>
      </c>
      <c r="I245" s="4"/>
      <c r="J245" s="4"/>
      <c r="K245" s="4">
        <v>223</v>
      </c>
      <c r="L245" s="4">
        <v>9</v>
      </c>
      <c r="M245" s="4">
        <v>3</v>
      </c>
      <c r="N245" s="4" t="s">
        <v>3</v>
      </c>
      <c r="O245" s="4">
        <v>2</v>
      </c>
      <c r="P245" s="4"/>
      <c r="Q245" s="4"/>
      <c r="R245" s="4"/>
      <c r="S245" s="4"/>
      <c r="T245" s="4"/>
      <c r="U245" s="4"/>
      <c r="V245" s="4"/>
      <c r="W245" s="4"/>
    </row>
    <row r="246" spans="1:23" x14ac:dyDescent="0.2">
      <c r="A246" s="4">
        <v>50</v>
      </c>
      <c r="B246" s="4">
        <v>0</v>
      </c>
      <c r="C246" s="4">
        <v>0</v>
      </c>
      <c r="D246" s="4">
        <v>1</v>
      </c>
      <c r="E246" s="4">
        <v>229</v>
      </c>
      <c r="F246" s="4">
        <f>ROUND(Source!AZ235,O246)</f>
        <v>0</v>
      </c>
      <c r="G246" s="4" t="s">
        <v>643</v>
      </c>
      <c r="H246" s="4" t="s">
        <v>644</v>
      </c>
      <c r="I246" s="4"/>
      <c r="J246" s="4"/>
      <c r="K246" s="4">
        <v>229</v>
      </c>
      <c r="L246" s="4">
        <v>10</v>
      </c>
      <c r="M246" s="4">
        <v>3</v>
      </c>
      <c r="N246" s="4" t="s">
        <v>3</v>
      </c>
      <c r="O246" s="4">
        <v>2</v>
      </c>
      <c r="P246" s="4"/>
      <c r="Q246" s="4"/>
      <c r="R246" s="4"/>
      <c r="S246" s="4"/>
      <c r="T246" s="4"/>
      <c r="U246" s="4"/>
      <c r="V246" s="4"/>
      <c r="W246" s="4"/>
    </row>
    <row r="247" spans="1:23" x14ac:dyDescent="0.2">
      <c r="A247" s="4">
        <v>50</v>
      </c>
      <c r="B247" s="4">
        <v>0</v>
      </c>
      <c r="C247" s="4">
        <v>0</v>
      </c>
      <c r="D247" s="4">
        <v>1</v>
      </c>
      <c r="E247" s="4">
        <v>203</v>
      </c>
      <c r="F247" s="4">
        <f>ROUND(Source!Q235,O247)</f>
        <v>117.61</v>
      </c>
      <c r="G247" s="4" t="s">
        <v>645</v>
      </c>
      <c r="H247" s="4" t="s">
        <v>646</v>
      </c>
      <c r="I247" s="4"/>
      <c r="J247" s="4"/>
      <c r="K247" s="4">
        <v>203</v>
      </c>
      <c r="L247" s="4">
        <v>11</v>
      </c>
      <c r="M247" s="4">
        <v>3</v>
      </c>
      <c r="N247" s="4" t="s">
        <v>3</v>
      </c>
      <c r="O247" s="4">
        <v>2</v>
      </c>
      <c r="P247" s="4"/>
      <c r="Q247" s="4"/>
      <c r="R247" s="4"/>
      <c r="S247" s="4"/>
      <c r="T247" s="4"/>
      <c r="U247" s="4"/>
      <c r="V247" s="4"/>
      <c r="W247" s="4"/>
    </row>
    <row r="248" spans="1:23" x14ac:dyDescent="0.2">
      <c r="A248" s="4">
        <v>50</v>
      </c>
      <c r="B248" s="4">
        <v>0</v>
      </c>
      <c r="C248" s="4">
        <v>0</v>
      </c>
      <c r="D248" s="4">
        <v>1</v>
      </c>
      <c r="E248" s="4">
        <v>231</v>
      </c>
      <c r="F248" s="4">
        <f>ROUND(Source!BB235,O248)</f>
        <v>0</v>
      </c>
      <c r="G248" s="4" t="s">
        <v>647</v>
      </c>
      <c r="H248" s="4" t="s">
        <v>648</v>
      </c>
      <c r="I248" s="4"/>
      <c r="J248" s="4"/>
      <c r="K248" s="4">
        <v>231</v>
      </c>
      <c r="L248" s="4">
        <v>12</v>
      </c>
      <c r="M248" s="4">
        <v>3</v>
      </c>
      <c r="N248" s="4" t="s">
        <v>3</v>
      </c>
      <c r="O248" s="4">
        <v>2</v>
      </c>
      <c r="P248" s="4"/>
      <c r="Q248" s="4"/>
      <c r="R248" s="4"/>
      <c r="S248" s="4"/>
      <c r="T248" s="4"/>
      <c r="U248" s="4"/>
      <c r="V248" s="4"/>
      <c r="W248" s="4"/>
    </row>
    <row r="249" spans="1:23" x14ac:dyDescent="0.2">
      <c r="A249" s="4">
        <v>50</v>
      </c>
      <c r="B249" s="4">
        <v>0</v>
      </c>
      <c r="C249" s="4">
        <v>0</v>
      </c>
      <c r="D249" s="4">
        <v>1</v>
      </c>
      <c r="E249" s="4">
        <v>204</v>
      </c>
      <c r="F249" s="4">
        <f>ROUND(Source!R235,O249)</f>
        <v>13.64</v>
      </c>
      <c r="G249" s="4" t="s">
        <v>649</v>
      </c>
      <c r="H249" s="4" t="s">
        <v>650</v>
      </c>
      <c r="I249" s="4"/>
      <c r="J249" s="4"/>
      <c r="K249" s="4">
        <v>204</v>
      </c>
      <c r="L249" s="4">
        <v>13</v>
      </c>
      <c r="M249" s="4">
        <v>3</v>
      </c>
      <c r="N249" s="4" t="s">
        <v>3</v>
      </c>
      <c r="O249" s="4">
        <v>2</v>
      </c>
      <c r="P249" s="4"/>
      <c r="Q249" s="4"/>
      <c r="R249" s="4"/>
      <c r="S249" s="4"/>
      <c r="T249" s="4"/>
      <c r="U249" s="4"/>
      <c r="V249" s="4"/>
      <c r="W249" s="4"/>
    </row>
    <row r="250" spans="1:23" x14ac:dyDescent="0.2">
      <c r="A250" s="4">
        <v>50</v>
      </c>
      <c r="B250" s="4">
        <v>0</v>
      </c>
      <c r="C250" s="4">
        <v>0</v>
      </c>
      <c r="D250" s="4">
        <v>1</v>
      </c>
      <c r="E250" s="4">
        <v>205</v>
      </c>
      <c r="F250" s="4">
        <f>ROUND(Source!S235,O250)</f>
        <v>8761.0499999999993</v>
      </c>
      <c r="G250" s="4" t="s">
        <v>651</v>
      </c>
      <c r="H250" s="4" t="s">
        <v>652</v>
      </c>
      <c r="I250" s="4"/>
      <c r="J250" s="4"/>
      <c r="K250" s="4">
        <v>205</v>
      </c>
      <c r="L250" s="4">
        <v>14</v>
      </c>
      <c r="M250" s="4">
        <v>3</v>
      </c>
      <c r="N250" s="4" t="s">
        <v>3</v>
      </c>
      <c r="O250" s="4">
        <v>2</v>
      </c>
      <c r="P250" s="4"/>
      <c r="Q250" s="4"/>
      <c r="R250" s="4"/>
      <c r="S250" s="4"/>
      <c r="T250" s="4"/>
      <c r="U250" s="4"/>
      <c r="V250" s="4"/>
      <c r="W250" s="4"/>
    </row>
    <row r="251" spans="1:23" x14ac:dyDescent="0.2">
      <c r="A251" s="4">
        <v>50</v>
      </c>
      <c r="B251" s="4">
        <v>0</v>
      </c>
      <c r="C251" s="4">
        <v>0</v>
      </c>
      <c r="D251" s="4">
        <v>1</v>
      </c>
      <c r="E251" s="4">
        <v>232</v>
      </c>
      <c r="F251" s="4">
        <f>ROUND(Source!BC235,O251)</f>
        <v>0</v>
      </c>
      <c r="G251" s="4" t="s">
        <v>653</v>
      </c>
      <c r="H251" s="4" t="s">
        <v>654</v>
      </c>
      <c r="I251" s="4"/>
      <c r="J251" s="4"/>
      <c r="K251" s="4">
        <v>232</v>
      </c>
      <c r="L251" s="4">
        <v>15</v>
      </c>
      <c r="M251" s="4">
        <v>3</v>
      </c>
      <c r="N251" s="4" t="s">
        <v>3</v>
      </c>
      <c r="O251" s="4">
        <v>2</v>
      </c>
      <c r="P251" s="4"/>
      <c r="Q251" s="4"/>
      <c r="R251" s="4"/>
      <c r="S251" s="4"/>
      <c r="T251" s="4"/>
      <c r="U251" s="4"/>
      <c r="V251" s="4"/>
      <c r="W251" s="4"/>
    </row>
    <row r="252" spans="1:23" x14ac:dyDescent="0.2">
      <c r="A252" s="4">
        <v>50</v>
      </c>
      <c r="B252" s="4">
        <v>0</v>
      </c>
      <c r="C252" s="4">
        <v>0</v>
      </c>
      <c r="D252" s="4">
        <v>1</v>
      </c>
      <c r="E252" s="4">
        <v>214</v>
      </c>
      <c r="F252" s="4">
        <f>ROUND(Source!AS235,O252)</f>
        <v>1701.23</v>
      </c>
      <c r="G252" s="4" t="s">
        <v>655</v>
      </c>
      <c r="H252" s="4" t="s">
        <v>656</v>
      </c>
      <c r="I252" s="4"/>
      <c r="J252" s="4"/>
      <c r="K252" s="4">
        <v>214</v>
      </c>
      <c r="L252" s="4">
        <v>16</v>
      </c>
      <c r="M252" s="4">
        <v>3</v>
      </c>
      <c r="N252" s="4" t="s">
        <v>3</v>
      </c>
      <c r="O252" s="4">
        <v>2</v>
      </c>
      <c r="P252" s="4"/>
      <c r="Q252" s="4"/>
      <c r="R252" s="4"/>
      <c r="S252" s="4"/>
      <c r="T252" s="4"/>
      <c r="U252" s="4"/>
      <c r="V252" s="4"/>
      <c r="W252" s="4"/>
    </row>
    <row r="253" spans="1:23" x14ac:dyDescent="0.2">
      <c r="A253" s="4">
        <v>50</v>
      </c>
      <c r="B253" s="4">
        <v>0</v>
      </c>
      <c r="C253" s="4">
        <v>0</v>
      </c>
      <c r="D253" s="4">
        <v>1</v>
      </c>
      <c r="E253" s="4">
        <v>215</v>
      </c>
      <c r="F253" s="4">
        <f>ROUND(Source!AT235,O253)</f>
        <v>34504.639999999999</v>
      </c>
      <c r="G253" s="4" t="s">
        <v>657</v>
      </c>
      <c r="H253" s="4" t="s">
        <v>658</v>
      </c>
      <c r="I253" s="4"/>
      <c r="J253" s="4"/>
      <c r="K253" s="4">
        <v>215</v>
      </c>
      <c r="L253" s="4">
        <v>17</v>
      </c>
      <c r="M253" s="4">
        <v>3</v>
      </c>
      <c r="N253" s="4" t="s">
        <v>3</v>
      </c>
      <c r="O253" s="4">
        <v>2</v>
      </c>
      <c r="P253" s="4"/>
      <c r="Q253" s="4"/>
      <c r="R253" s="4"/>
      <c r="S253" s="4"/>
      <c r="T253" s="4"/>
      <c r="U253" s="4"/>
      <c r="V253" s="4"/>
      <c r="W253" s="4"/>
    </row>
    <row r="254" spans="1:23" x14ac:dyDescent="0.2">
      <c r="A254" s="4">
        <v>50</v>
      </c>
      <c r="B254" s="4">
        <v>0</v>
      </c>
      <c r="C254" s="4">
        <v>0</v>
      </c>
      <c r="D254" s="4">
        <v>1</v>
      </c>
      <c r="E254" s="4">
        <v>217</v>
      </c>
      <c r="F254" s="4">
        <f>ROUND(Source!AU235,O254)</f>
        <v>0</v>
      </c>
      <c r="G254" s="4" t="s">
        <v>659</v>
      </c>
      <c r="H254" s="4" t="s">
        <v>660</v>
      </c>
      <c r="I254" s="4"/>
      <c r="J254" s="4"/>
      <c r="K254" s="4">
        <v>217</v>
      </c>
      <c r="L254" s="4">
        <v>18</v>
      </c>
      <c r="M254" s="4">
        <v>3</v>
      </c>
      <c r="N254" s="4" t="s">
        <v>3</v>
      </c>
      <c r="O254" s="4">
        <v>2</v>
      </c>
      <c r="P254" s="4"/>
      <c r="Q254" s="4"/>
      <c r="R254" s="4"/>
      <c r="S254" s="4"/>
      <c r="T254" s="4"/>
      <c r="U254" s="4"/>
      <c r="V254" s="4"/>
      <c r="W254" s="4"/>
    </row>
    <row r="255" spans="1:23" x14ac:dyDescent="0.2">
      <c r="A255" s="4">
        <v>50</v>
      </c>
      <c r="B255" s="4">
        <v>0</v>
      </c>
      <c r="C255" s="4">
        <v>0</v>
      </c>
      <c r="D255" s="4">
        <v>1</v>
      </c>
      <c r="E255" s="4">
        <v>230</v>
      </c>
      <c r="F255" s="4">
        <f>ROUND(Source!BA235,O255)</f>
        <v>0</v>
      </c>
      <c r="G255" s="4" t="s">
        <v>661</v>
      </c>
      <c r="H255" s="4" t="s">
        <v>662</v>
      </c>
      <c r="I255" s="4"/>
      <c r="J255" s="4"/>
      <c r="K255" s="4">
        <v>230</v>
      </c>
      <c r="L255" s="4">
        <v>19</v>
      </c>
      <c r="M255" s="4">
        <v>3</v>
      </c>
      <c r="N255" s="4" t="s">
        <v>3</v>
      </c>
      <c r="O255" s="4">
        <v>2</v>
      </c>
      <c r="P255" s="4"/>
      <c r="Q255" s="4"/>
      <c r="R255" s="4"/>
      <c r="S255" s="4"/>
      <c r="T255" s="4"/>
      <c r="U255" s="4"/>
      <c r="V255" s="4"/>
      <c r="W255" s="4"/>
    </row>
    <row r="256" spans="1:23" x14ac:dyDescent="0.2">
      <c r="A256" s="4">
        <v>50</v>
      </c>
      <c r="B256" s="4">
        <v>0</v>
      </c>
      <c r="C256" s="4">
        <v>0</v>
      </c>
      <c r="D256" s="4">
        <v>1</v>
      </c>
      <c r="E256" s="4">
        <v>206</v>
      </c>
      <c r="F256" s="4">
        <f>ROUND(Source!T235,O256)</f>
        <v>0</v>
      </c>
      <c r="G256" s="4" t="s">
        <v>663</v>
      </c>
      <c r="H256" s="4" t="s">
        <v>664</v>
      </c>
      <c r="I256" s="4"/>
      <c r="J256" s="4"/>
      <c r="K256" s="4">
        <v>206</v>
      </c>
      <c r="L256" s="4">
        <v>20</v>
      </c>
      <c r="M256" s="4">
        <v>3</v>
      </c>
      <c r="N256" s="4" t="s">
        <v>3</v>
      </c>
      <c r="O256" s="4">
        <v>2</v>
      </c>
      <c r="P256" s="4"/>
      <c r="Q256" s="4"/>
      <c r="R256" s="4"/>
      <c r="S256" s="4"/>
      <c r="T256" s="4"/>
      <c r="U256" s="4"/>
      <c r="V256" s="4"/>
      <c r="W256" s="4"/>
    </row>
    <row r="257" spans="1:245" x14ac:dyDescent="0.2">
      <c r="A257" s="4">
        <v>50</v>
      </c>
      <c r="B257" s="4">
        <v>0</v>
      </c>
      <c r="C257" s="4">
        <v>0</v>
      </c>
      <c r="D257" s="4">
        <v>1</v>
      </c>
      <c r="E257" s="4">
        <v>207</v>
      </c>
      <c r="F257" s="4">
        <f>Source!U235</f>
        <v>27.945142499999999</v>
      </c>
      <c r="G257" s="4" t="s">
        <v>665</v>
      </c>
      <c r="H257" s="4" t="s">
        <v>666</v>
      </c>
      <c r="I257" s="4"/>
      <c r="J257" s="4"/>
      <c r="K257" s="4">
        <v>207</v>
      </c>
      <c r="L257" s="4">
        <v>21</v>
      </c>
      <c r="M257" s="4">
        <v>3</v>
      </c>
      <c r="N257" s="4" t="s">
        <v>3</v>
      </c>
      <c r="O257" s="4">
        <v>-1</v>
      </c>
      <c r="P257" s="4"/>
      <c r="Q257" s="4"/>
      <c r="R257" s="4"/>
      <c r="S257" s="4"/>
      <c r="T257" s="4"/>
      <c r="U257" s="4"/>
      <c r="V257" s="4"/>
      <c r="W257" s="4"/>
    </row>
    <row r="258" spans="1:245" x14ac:dyDescent="0.2">
      <c r="A258" s="4">
        <v>50</v>
      </c>
      <c r="B258" s="4">
        <v>0</v>
      </c>
      <c r="C258" s="4">
        <v>0</v>
      </c>
      <c r="D258" s="4">
        <v>1</v>
      </c>
      <c r="E258" s="4">
        <v>208</v>
      </c>
      <c r="F258" s="4">
        <f>Source!V235</f>
        <v>3.1927500000000004E-2</v>
      </c>
      <c r="G258" s="4" t="s">
        <v>667</v>
      </c>
      <c r="H258" s="4" t="s">
        <v>668</v>
      </c>
      <c r="I258" s="4"/>
      <c r="J258" s="4"/>
      <c r="K258" s="4">
        <v>208</v>
      </c>
      <c r="L258" s="4">
        <v>22</v>
      </c>
      <c r="M258" s="4">
        <v>3</v>
      </c>
      <c r="N258" s="4" t="s">
        <v>3</v>
      </c>
      <c r="O258" s="4">
        <v>-1</v>
      </c>
      <c r="P258" s="4"/>
      <c r="Q258" s="4"/>
      <c r="R258" s="4"/>
      <c r="S258" s="4"/>
      <c r="T258" s="4"/>
      <c r="U258" s="4"/>
      <c r="V258" s="4"/>
      <c r="W258" s="4"/>
    </row>
    <row r="259" spans="1:245" x14ac:dyDescent="0.2">
      <c r="A259" s="4">
        <v>50</v>
      </c>
      <c r="B259" s="4">
        <v>0</v>
      </c>
      <c r="C259" s="4">
        <v>0</v>
      </c>
      <c r="D259" s="4">
        <v>1</v>
      </c>
      <c r="E259" s="4">
        <v>209</v>
      </c>
      <c r="F259" s="4">
        <f>ROUND(Source!W235,O259)</f>
        <v>0</v>
      </c>
      <c r="G259" s="4" t="s">
        <v>669</v>
      </c>
      <c r="H259" s="4" t="s">
        <v>670</v>
      </c>
      <c r="I259" s="4"/>
      <c r="J259" s="4"/>
      <c r="K259" s="4">
        <v>209</v>
      </c>
      <c r="L259" s="4">
        <v>23</v>
      </c>
      <c r="M259" s="4">
        <v>3</v>
      </c>
      <c r="N259" s="4" t="s">
        <v>3</v>
      </c>
      <c r="O259" s="4">
        <v>2</v>
      </c>
      <c r="P259" s="4"/>
      <c r="Q259" s="4"/>
      <c r="R259" s="4"/>
      <c r="S259" s="4"/>
      <c r="T259" s="4"/>
      <c r="U259" s="4"/>
      <c r="V259" s="4"/>
      <c r="W259" s="4"/>
    </row>
    <row r="260" spans="1:245" x14ac:dyDescent="0.2">
      <c r="A260" s="4">
        <v>50</v>
      </c>
      <c r="B260" s="4">
        <v>0</v>
      </c>
      <c r="C260" s="4">
        <v>0</v>
      </c>
      <c r="D260" s="4">
        <v>1</v>
      </c>
      <c r="E260" s="4">
        <v>233</v>
      </c>
      <c r="F260" s="4">
        <f>ROUND(Source!BD235,O260)</f>
        <v>0</v>
      </c>
      <c r="G260" s="4" t="s">
        <v>671</v>
      </c>
      <c r="H260" s="4" t="s">
        <v>672</v>
      </c>
      <c r="I260" s="4"/>
      <c r="J260" s="4"/>
      <c r="K260" s="4">
        <v>233</v>
      </c>
      <c r="L260" s="4">
        <v>24</v>
      </c>
      <c r="M260" s="4">
        <v>3</v>
      </c>
      <c r="N260" s="4" t="s">
        <v>3</v>
      </c>
      <c r="O260" s="4">
        <v>2</v>
      </c>
      <c r="P260" s="4"/>
      <c r="Q260" s="4"/>
      <c r="R260" s="4"/>
      <c r="S260" s="4"/>
      <c r="T260" s="4"/>
      <c r="U260" s="4"/>
      <c r="V260" s="4"/>
      <c r="W260" s="4"/>
    </row>
    <row r="261" spans="1:245" x14ac:dyDescent="0.2">
      <c r="A261" s="4">
        <v>50</v>
      </c>
      <c r="B261" s="4">
        <v>0</v>
      </c>
      <c r="C261" s="4">
        <v>0</v>
      </c>
      <c r="D261" s="4">
        <v>1</v>
      </c>
      <c r="E261" s="4">
        <v>210</v>
      </c>
      <c r="F261" s="4">
        <f>ROUND(Source!X235,O261)</f>
        <v>7941.32</v>
      </c>
      <c r="G261" s="4" t="s">
        <v>673</v>
      </c>
      <c r="H261" s="4" t="s">
        <v>674</v>
      </c>
      <c r="I261" s="4"/>
      <c r="J261" s="4"/>
      <c r="K261" s="4">
        <v>210</v>
      </c>
      <c r="L261" s="4">
        <v>25</v>
      </c>
      <c r="M261" s="4">
        <v>3</v>
      </c>
      <c r="N261" s="4" t="s">
        <v>3</v>
      </c>
      <c r="O261" s="4">
        <v>2</v>
      </c>
      <c r="P261" s="4"/>
      <c r="Q261" s="4"/>
      <c r="R261" s="4"/>
      <c r="S261" s="4"/>
      <c r="T261" s="4"/>
      <c r="U261" s="4"/>
      <c r="V261" s="4"/>
      <c r="W261" s="4"/>
    </row>
    <row r="262" spans="1:245" x14ac:dyDescent="0.2">
      <c r="A262" s="4">
        <v>50</v>
      </c>
      <c r="B262" s="4">
        <v>0</v>
      </c>
      <c r="C262" s="4">
        <v>0</v>
      </c>
      <c r="D262" s="4">
        <v>1</v>
      </c>
      <c r="E262" s="4">
        <v>211</v>
      </c>
      <c r="F262" s="4">
        <f>ROUND(Source!Y235,O262)</f>
        <v>5532.59</v>
      </c>
      <c r="G262" s="4" t="s">
        <v>675</v>
      </c>
      <c r="H262" s="4" t="s">
        <v>676</v>
      </c>
      <c r="I262" s="4"/>
      <c r="J262" s="4"/>
      <c r="K262" s="4">
        <v>211</v>
      </c>
      <c r="L262" s="4">
        <v>26</v>
      </c>
      <c r="M262" s="4">
        <v>3</v>
      </c>
      <c r="N262" s="4" t="s">
        <v>3</v>
      </c>
      <c r="O262" s="4">
        <v>2</v>
      </c>
      <c r="P262" s="4"/>
      <c r="Q262" s="4"/>
      <c r="R262" s="4"/>
      <c r="S262" s="4"/>
      <c r="T262" s="4"/>
      <c r="U262" s="4"/>
      <c r="V262" s="4"/>
      <c r="W262" s="4"/>
    </row>
    <row r="263" spans="1:245" x14ac:dyDescent="0.2">
      <c r="A263" s="4">
        <v>50</v>
      </c>
      <c r="B263" s="4">
        <v>0</v>
      </c>
      <c r="C263" s="4">
        <v>0</v>
      </c>
      <c r="D263" s="4">
        <v>1</v>
      </c>
      <c r="E263" s="4">
        <v>224</v>
      </c>
      <c r="F263" s="4">
        <f>ROUND(Source!AR235,O263)</f>
        <v>36205.870000000003</v>
      </c>
      <c r="G263" s="4" t="s">
        <v>677</v>
      </c>
      <c r="H263" s="4" t="s">
        <v>678</v>
      </c>
      <c r="I263" s="4"/>
      <c r="J263" s="4"/>
      <c r="K263" s="4">
        <v>224</v>
      </c>
      <c r="L263" s="4">
        <v>27</v>
      </c>
      <c r="M263" s="4">
        <v>3</v>
      </c>
      <c r="N263" s="4" t="s">
        <v>3</v>
      </c>
      <c r="O263" s="4">
        <v>2</v>
      </c>
      <c r="P263" s="4"/>
      <c r="Q263" s="4"/>
      <c r="R263" s="4"/>
      <c r="S263" s="4"/>
      <c r="T263" s="4"/>
      <c r="U263" s="4"/>
      <c r="V263" s="4"/>
      <c r="W263" s="4"/>
    </row>
    <row r="265" spans="1:245" x14ac:dyDescent="0.2">
      <c r="A265" s="1">
        <v>4</v>
      </c>
      <c r="B265" s="1">
        <v>1</v>
      </c>
      <c r="C265" s="1"/>
      <c r="D265" s="1">
        <f>ROW(A272)</f>
        <v>272</v>
      </c>
      <c r="E265" s="1"/>
      <c r="F265" s="1" t="s">
        <v>12</v>
      </c>
      <c r="G265" s="1" t="s">
        <v>724</v>
      </c>
      <c r="H265" s="1" t="s">
        <v>3</v>
      </c>
      <c r="I265" s="1">
        <v>0</v>
      </c>
      <c r="J265" s="1"/>
      <c r="K265" s="1">
        <v>0</v>
      </c>
      <c r="L265" s="1"/>
      <c r="M265" s="1" t="s">
        <v>3</v>
      </c>
      <c r="N265" s="1"/>
      <c r="O265" s="1"/>
      <c r="P265" s="1"/>
      <c r="Q265" s="1"/>
      <c r="R265" s="1"/>
      <c r="S265" s="1">
        <v>0</v>
      </c>
      <c r="T265" s="1"/>
      <c r="U265" s="1" t="s">
        <v>3</v>
      </c>
      <c r="V265" s="1">
        <v>0</v>
      </c>
      <c r="W265" s="1"/>
      <c r="X265" s="1"/>
      <c r="Y265" s="1"/>
      <c r="Z265" s="1"/>
      <c r="AA265" s="1"/>
      <c r="AB265" s="1" t="s">
        <v>3</v>
      </c>
      <c r="AC265" s="1" t="s">
        <v>3</v>
      </c>
      <c r="AD265" s="1" t="s">
        <v>3</v>
      </c>
      <c r="AE265" s="1" t="s">
        <v>3</v>
      </c>
      <c r="AF265" s="1" t="s">
        <v>3</v>
      </c>
      <c r="AG265" s="1" t="s">
        <v>3</v>
      </c>
      <c r="AH265" s="1"/>
      <c r="AI265" s="1"/>
      <c r="AJ265" s="1"/>
      <c r="AK265" s="1"/>
      <c r="AL265" s="1"/>
      <c r="AM265" s="1"/>
      <c r="AN265" s="1"/>
      <c r="AO265" s="1"/>
      <c r="AP265" s="1" t="s">
        <v>3</v>
      </c>
      <c r="AQ265" s="1" t="s">
        <v>3</v>
      </c>
      <c r="AR265" s="1" t="s">
        <v>3</v>
      </c>
      <c r="AS265" s="1"/>
      <c r="AT265" s="1"/>
      <c r="AU265" s="1"/>
      <c r="AV265" s="1"/>
      <c r="AW265" s="1"/>
      <c r="AX265" s="1"/>
      <c r="AY265" s="1"/>
      <c r="AZ265" s="1" t="s">
        <v>3</v>
      </c>
      <c r="BA265" s="1"/>
      <c r="BB265" s="1" t="s">
        <v>3</v>
      </c>
      <c r="BC265" s="1" t="s">
        <v>3</v>
      </c>
      <c r="BD265" s="1" t="s">
        <v>3</v>
      </c>
      <c r="BE265" s="1" t="s">
        <v>3</v>
      </c>
      <c r="BF265" s="1" t="s">
        <v>3</v>
      </c>
      <c r="BG265" s="1" t="s">
        <v>3</v>
      </c>
      <c r="BH265" s="1" t="s">
        <v>3</v>
      </c>
      <c r="BI265" s="1" t="s">
        <v>3</v>
      </c>
      <c r="BJ265" s="1" t="s">
        <v>3</v>
      </c>
      <c r="BK265" s="1" t="s">
        <v>3</v>
      </c>
      <c r="BL265" s="1" t="s">
        <v>3</v>
      </c>
      <c r="BM265" s="1" t="s">
        <v>3</v>
      </c>
      <c r="BN265" s="1" t="s">
        <v>3</v>
      </c>
      <c r="BO265" s="1" t="s">
        <v>3</v>
      </c>
      <c r="BP265" s="1" t="s">
        <v>3</v>
      </c>
      <c r="BQ265" s="1"/>
      <c r="BR265" s="1"/>
      <c r="BS265" s="1"/>
      <c r="BT265" s="1"/>
      <c r="BU265" s="1"/>
      <c r="BV265" s="1"/>
      <c r="BW265" s="1"/>
      <c r="BX265" s="1">
        <v>0</v>
      </c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>
        <v>0</v>
      </c>
    </row>
    <row r="267" spans="1:245" x14ac:dyDescent="0.2">
      <c r="A267" s="2">
        <v>52</v>
      </c>
      <c r="B267" s="2">
        <f t="shared" ref="B267:G267" si="260">B272</f>
        <v>1</v>
      </c>
      <c r="C267" s="2">
        <f t="shared" si="260"/>
        <v>4</v>
      </c>
      <c r="D267" s="2">
        <f t="shared" si="260"/>
        <v>265</v>
      </c>
      <c r="E267" s="2">
        <f t="shared" si="260"/>
        <v>0</v>
      </c>
      <c r="F267" s="2" t="str">
        <f t="shared" si="260"/>
        <v>Новый раздел</v>
      </c>
      <c r="G267" s="2" t="str">
        <f t="shared" si="260"/>
        <v>Прочие работы</v>
      </c>
      <c r="H267" s="2"/>
      <c r="I267" s="2"/>
      <c r="J267" s="2"/>
      <c r="K267" s="2"/>
      <c r="L267" s="2"/>
      <c r="M267" s="2"/>
      <c r="N267" s="2"/>
      <c r="O267" s="2">
        <f t="shared" ref="O267:AT267" si="261">O272</f>
        <v>0</v>
      </c>
      <c r="P267" s="2">
        <f t="shared" si="261"/>
        <v>0</v>
      </c>
      <c r="Q267" s="2">
        <f t="shared" si="261"/>
        <v>0</v>
      </c>
      <c r="R267" s="2">
        <f t="shared" si="261"/>
        <v>0</v>
      </c>
      <c r="S267" s="2">
        <f t="shared" si="261"/>
        <v>0</v>
      </c>
      <c r="T267" s="2">
        <f t="shared" si="261"/>
        <v>0</v>
      </c>
      <c r="U267" s="2">
        <f t="shared" si="261"/>
        <v>0</v>
      </c>
      <c r="V267" s="2">
        <f t="shared" si="261"/>
        <v>0</v>
      </c>
      <c r="W267" s="2">
        <f t="shared" si="261"/>
        <v>0</v>
      </c>
      <c r="X267" s="2">
        <f t="shared" si="261"/>
        <v>0</v>
      </c>
      <c r="Y267" s="2">
        <f t="shared" si="261"/>
        <v>0</v>
      </c>
      <c r="Z267" s="2">
        <f t="shared" si="261"/>
        <v>0</v>
      </c>
      <c r="AA267" s="2">
        <f t="shared" si="261"/>
        <v>0</v>
      </c>
      <c r="AB267" s="2">
        <f t="shared" si="261"/>
        <v>0</v>
      </c>
      <c r="AC267" s="2">
        <f t="shared" si="261"/>
        <v>0</v>
      </c>
      <c r="AD267" s="2">
        <f t="shared" si="261"/>
        <v>0</v>
      </c>
      <c r="AE267" s="2">
        <f t="shared" si="261"/>
        <v>0</v>
      </c>
      <c r="AF267" s="2">
        <f t="shared" si="261"/>
        <v>0</v>
      </c>
      <c r="AG267" s="2">
        <f t="shared" si="261"/>
        <v>0</v>
      </c>
      <c r="AH267" s="2">
        <f t="shared" si="261"/>
        <v>0</v>
      </c>
      <c r="AI267" s="2">
        <f t="shared" si="261"/>
        <v>0</v>
      </c>
      <c r="AJ267" s="2">
        <f t="shared" si="261"/>
        <v>0</v>
      </c>
      <c r="AK267" s="2">
        <f t="shared" si="261"/>
        <v>0</v>
      </c>
      <c r="AL267" s="2">
        <f t="shared" si="261"/>
        <v>0</v>
      </c>
      <c r="AM267" s="2">
        <f t="shared" si="261"/>
        <v>0</v>
      </c>
      <c r="AN267" s="2">
        <f t="shared" si="261"/>
        <v>0</v>
      </c>
      <c r="AO267" s="2">
        <f t="shared" si="261"/>
        <v>0</v>
      </c>
      <c r="AP267" s="2">
        <f t="shared" si="261"/>
        <v>0</v>
      </c>
      <c r="AQ267" s="2">
        <f t="shared" si="261"/>
        <v>0</v>
      </c>
      <c r="AR267" s="2">
        <f t="shared" si="261"/>
        <v>2824.87</v>
      </c>
      <c r="AS267" s="2">
        <f t="shared" si="261"/>
        <v>2824.87</v>
      </c>
      <c r="AT267" s="2">
        <f t="shared" si="261"/>
        <v>0</v>
      </c>
      <c r="AU267" s="2">
        <f t="shared" ref="AU267:BZ267" si="262">AU272</f>
        <v>0</v>
      </c>
      <c r="AV267" s="2">
        <f t="shared" si="262"/>
        <v>0</v>
      </c>
      <c r="AW267" s="2">
        <f t="shared" si="262"/>
        <v>0</v>
      </c>
      <c r="AX267" s="2">
        <f t="shared" si="262"/>
        <v>0</v>
      </c>
      <c r="AY267" s="2">
        <f t="shared" si="262"/>
        <v>0</v>
      </c>
      <c r="AZ267" s="2">
        <f t="shared" si="262"/>
        <v>0</v>
      </c>
      <c r="BA267" s="2">
        <f t="shared" si="262"/>
        <v>0</v>
      </c>
      <c r="BB267" s="2">
        <f t="shared" si="262"/>
        <v>0</v>
      </c>
      <c r="BC267" s="2">
        <f t="shared" si="262"/>
        <v>0</v>
      </c>
      <c r="BD267" s="2">
        <f t="shared" si="262"/>
        <v>2824.87</v>
      </c>
      <c r="BE267" s="2">
        <f t="shared" si="262"/>
        <v>0</v>
      </c>
      <c r="BF267" s="2">
        <f t="shared" si="262"/>
        <v>0</v>
      </c>
      <c r="BG267" s="2">
        <f t="shared" si="262"/>
        <v>0</v>
      </c>
      <c r="BH267" s="2">
        <f t="shared" si="262"/>
        <v>0</v>
      </c>
      <c r="BI267" s="2">
        <f t="shared" si="262"/>
        <v>0</v>
      </c>
      <c r="BJ267" s="2">
        <f t="shared" si="262"/>
        <v>0</v>
      </c>
      <c r="BK267" s="2">
        <f t="shared" si="262"/>
        <v>0</v>
      </c>
      <c r="BL267" s="2">
        <f t="shared" si="262"/>
        <v>0</v>
      </c>
      <c r="BM267" s="2">
        <f t="shared" si="262"/>
        <v>0</v>
      </c>
      <c r="BN267" s="2">
        <f t="shared" si="262"/>
        <v>0</v>
      </c>
      <c r="BO267" s="2">
        <f t="shared" si="262"/>
        <v>0</v>
      </c>
      <c r="BP267" s="2">
        <f t="shared" si="262"/>
        <v>0</v>
      </c>
      <c r="BQ267" s="2">
        <f t="shared" si="262"/>
        <v>0</v>
      </c>
      <c r="BR267" s="2">
        <f t="shared" si="262"/>
        <v>0</v>
      </c>
      <c r="BS267" s="2">
        <f t="shared" si="262"/>
        <v>0</v>
      </c>
      <c r="BT267" s="2">
        <f t="shared" si="262"/>
        <v>0</v>
      </c>
      <c r="BU267" s="2">
        <f t="shared" si="262"/>
        <v>0</v>
      </c>
      <c r="BV267" s="2">
        <f t="shared" si="262"/>
        <v>0</v>
      </c>
      <c r="BW267" s="2">
        <f t="shared" si="262"/>
        <v>0</v>
      </c>
      <c r="BX267" s="2">
        <f t="shared" si="262"/>
        <v>0</v>
      </c>
      <c r="BY267" s="2">
        <f t="shared" si="262"/>
        <v>0</v>
      </c>
      <c r="BZ267" s="2">
        <f t="shared" si="262"/>
        <v>0</v>
      </c>
      <c r="CA267" s="2">
        <f t="shared" ref="CA267:DF267" si="263">CA272</f>
        <v>2824.87</v>
      </c>
      <c r="CB267" s="2">
        <f t="shared" si="263"/>
        <v>2824.87</v>
      </c>
      <c r="CC267" s="2">
        <f t="shared" si="263"/>
        <v>0</v>
      </c>
      <c r="CD267" s="2">
        <f t="shared" si="263"/>
        <v>0</v>
      </c>
      <c r="CE267" s="2">
        <f t="shared" si="263"/>
        <v>0</v>
      </c>
      <c r="CF267" s="2">
        <f t="shared" si="263"/>
        <v>0</v>
      </c>
      <c r="CG267" s="2">
        <f t="shared" si="263"/>
        <v>0</v>
      </c>
      <c r="CH267" s="2">
        <f t="shared" si="263"/>
        <v>0</v>
      </c>
      <c r="CI267" s="2">
        <f t="shared" si="263"/>
        <v>0</v>
      </c>
      <c r="CJ267" s="2">
        <f t="shared" si="263"/>
        <v>0</v>
      </c>
      <c r="CK267" s="2">
        <f t="shared" si="263"/>
        <v>0</v>
      </c>
      <c r="CL267" s="2">
        <f t="shared" si="263"/>
        <v>0</v>
      </c>
      <c r="CM267" s="2">
        <f t="shared" si="263"/>
        <v>2824.87</v>
      </c>
      <c r="CN267" s="2">
        <f t="shared" si="263"/>
        <v>0</v>
      </c>
      <c r="CO267" s="2">
        <f t="shared" si="263"/>
        <v>0</v>
      </c>
      <c r="CP267" s="2">
        <f t="shared" si="263"/>
        <v>0</v>
      </c>
      <c r="CQ267" s="2">
        <f t="shared" si="263"/>
        <v>0</v>
      </c>
      <c r="CR267" s="2">
        <f t="shared" si="263"/>
        <v>0</v>
      </c>
      <c r="CS267" s="2">
        <f t="shared" si="263"/>
        <v>0</v>
      </c>
      <c r="CT267" s="2">
        <f t="shared" si="263"/>
        <v>0</v>
      </c>
      <c r="CU267" s="2">
        <f t="shared" si="263"/>
        <v>0</v>
      </c>
      <c r="CV267" s="2">
        <f t="shared" si="263"/>
        <v>0</v>
      </c>
      <c r="CW267" s="2">
        <f t="shared" si="263"/>
        <v>0</v>
      </c>
      <c r="CX267" s="2">
        <f t="shared" si="263"/>
        <v>0</v>
      </c>
      <c r="CY267" s="2">
        <f t="shared" si="263"/>
        <v>0</v>
      </c>
      <c r="CZ267" s="2">
        <f t="shared" si="263"/>
        <v>0</v>
      </c>
      <c r="DA267" s="2">
        <f t="shared" si="263"/>
        <v>0</v>
      </c>
      <c r="DB267" s="2">
        <f t="shared" si="263"/>
        <v>0</v>
      </c>
      <c r="DC267" s="2">
        <f t="shared" si="263"/>
        <v>0</v>
      </c>
      <c r="DD267" s="2">
        <f t="shared" si="263"/>
        <v>0</v>
      </c>
      <c r="DE267" s="2">
        <f t="shared" si="263"/>
        <v>0</v>
      </c>
      <c r="DF267" s="2">
        <f t="shared" si="263"/>
        <v>0</v>
      </c>
      <c r="DG267" s="3">
        <f t="shared" ref="DG267:EL267" si="264">DG272</f>
        <v>0</v>
      </c>
      <c r="DH267" s="3">
        <f t="shared" si="264"/>
        <v>0</v>
      </c>
      <c r="DI267" s="3">
        <f t="shared" si="264"/>
        <v>0</v>
      </c>
      <c r="DJ267" s="3">
        <f t="shared" si="264"/>
        <v>0</v>
      </c>
      <c r="DK267" s="3">
        <f t="shared" si="264"/>
        <v>0</v>
      </c>
      <c r="DL267" s="3">
        <f t="shared" si="264"/>
        <v>0</v>
      </c>
      <c r="DM267" s="3">
        <f t="shared" si="264"/>
        <v>0</v>
      </c>
      <c r="DN267" s="3">
        <f t="shared" si="264"/>
        <v>0</v>
      </c>
      <c r="DO267" s="3">
        <f t="shared" si="264"/>
        <v>0</v>
      </c>
      <c r="DP267" s="3">
        <f t="shared" si="264"/>
        <v>0</v>
      </c>
      <c r="DQ267" s="3">
        <f t="shared" si="264"/>
        <v>0</v>
      </c>
      <c r="DR267" s="3">
        <f t="shared" si="264"/>
        <v>0</v>
      </c>
      <c r="DS267" s="3">
        <f t="shared" si="264"/>
        <v>0</v>
      </c>
      <c r="DT267" s="3">
        <f t="shared" si="264"/>
        <v>0</v>
      </c>
      <c r="DU267" s="3">
        <f t="shared" si="264"/>
        <v>0</v>
      </c>
      <c r="DV267" s="3">
        <f t="shared" si="264"/>
        <v>0</v>
      </c>
      <c r="DW267" s="3">
        <f t="shared" si="264"/>
        <v>0</v>
      </c>
      <c r="DX267" s="3">
        <f t="shared" si="264"/>
        <v>0</v>
      </c>
      <c r="DY267" s="3">
        <f t="shared" si="264"/>
        <v>0</v>
      </c>
      <c r="DZ267" s="3">
        <f t="shared" si="264"/>
        <v>0</v>
      </c>
      <c r="EA267" s="3">
        <f t="shared" si="264"/>
        <v>0</v>
      </c>
      <c r="EB267" s="3">
        <f t="shared" si="264"/>
        <v>0</v>
      </c>
      <c r="EC267" s="3">
        <f t="shared" si="264"/>
        <v>0</v>
      </c>
      <c r="ED267" s="3">
        <f t="shared" si="264"/>
        <v>0</v>
      </c>
      <c r="EE267" s="3">
        <f t="shared" si="264"/>
        <v>0</v>
      </c>
      <c r="EF267" s="3">
        <f t="shared" si="264"/>
        <v>0</v>
      </c>
      <c r="EG267" s="3">
        <f t="shared" si="264"/>
        <v>0</v>
      </c>
      <c r="EH267" s="3">
        <f t="shared" si="264"/>
        <v>0</v>
      </c>
      <c r="EI267" s="3">
        <f t="shared" si="264"/>
        <v>0</v>
      </c>
      <c r="EJ267" s="3">
        <f t="shared" si="264"/>
        <v>0</v>
      </c>
      <c r="EK267" s="3">
        <f t="shared" si="264"/>
        <v>0</v>
      </c>
      <c r="EL267" s="3">
        <f t="shared" si="264"/>
        <v>0</v>
      </c>
      <c r="EM267" s="3">
        <f t="shared" ref="EM267:FR267" si="265">EM272</f>
        <v>0</v>
      </c>
      <c r="EN267" s="3">
        <f t="shared" si="265"/>
        <v>0</v>
      </c>
      <c r="EO267" s="3">
        <f t="shared" si="265"/>
        <v>0</v>
      </c>
      <c r="EP267" s="3">
        <f t="shared" si="265"/>
        <v>0</v>
      </c>
      <c r="EQ267" s="3">
        <f t="shared" si="265"/>
        <v>0</v>
      </c>
      <c r="ER267" s="3">
        <f t="shared" si="265"/>
        <v>0</v>
      </c>
      <c r="ES267" s="3">
        <f t="shared" si="265"/>
        <v>0</v>
      </c>
      <c r="ET267" s="3">
        <f t="shared" si="265"/>
        <v>0</v>
      </c>
      <c r="EU267" s="3">
        <f t="shared" si="265"/>
        <v>0</v>
      </c>
      <c r="EV267" s="3">
        <f t="shared" si="265"/>
        <v>0</v>
      </c>
      <c r="EW267" s="3">
        <f t="shared" si="265"/>
        <v>0</v>
      </c>
      <c r="EX267" s="3">
        <f t="shared" si="265"/>
        <v>0</v>
      </c>
      <c r="EY267" s="3">
        <f t="shared" si="265"/>
        <v>0</v>
      </c>
      <c r="EZ267" s="3">
        <f t="shared" si="265"/>
        <v>0</v>
      </c>
      <c r="FA267" s="3">
        <f t="shared" si="265"/>
        <v>0</v>
      </c>
      <c r="FB267" s="3">
        <f t="shared" si="265"/>
        <v>0</v>
      </c>
      <c r="FC267" s="3">
        <f t="shared" si="265"/>
        <v>0</v>
      </c>
      <c r="FD267" s="3">
        <f t="shared" si="265"/>
        <v>0</v>
      </c>
      <c r="FE267" s="3">
        <f t="shared" si="265"/>
        <v>0</v>
      </c>
      <c r="FF267" s="3">
        <f t="shared" si="265"/>
        <v>0</v>
      </c>
      <c r="FG267" s="3">
        <f t="shared" si="265"/>
        <v>0</v>
      </c>
      <c r="FH267" s="3">
        <f t="shared" si="265"/>
        <v>0</v>
      </c>
      <c r="FI267" s="3">
        <f t="shared" si="265"/>
        <v>0</v>
      </c>
      <c r="FJ267" s="3">
        <f t="shared" si="265"/>
        <v>0</v>
      </c>
      <c r="FK267" s="3">
        <f t="shared" si="265"/>
        <v>0</v>
      </c>
      <c r="FL267" s="3">
        <f t="shared" si="265"/>
        <v>0</v>
      </c>
      <c r="FM267" s="3">
        <f t="shared" si="265"/>
        <v>0</v>
      </c>
      <c r="FN267" s="3">
        <f t="shared" si="265"/>
        <v>0</v>
      </c>
      <c r="FO267" s="3">
        <f t="shared" si="265"/>
        <v>0</v>
      </c>
      <c r="FP267" s="3">
        <f t="shared" si="265"/>
        <v>0</v>
      </c>
      <c r="FQ267" s="3">
        <f t="shared" si="265"/>
        <v>0</v>
      </c>
      <c r="FR267" s="3">
        <f t="shared" si="265"/>
        <v>0</v>
      </c>
      <c r="FS267" s="3">
        <f t="shared" ref="FS267:GX267" si="266">FS272</f>
        <v>0</v>
      </c>
      <c r="FT267" s="3">
        <f t="shared" si="266"/>
        <v>0</v>
      </c>
      <c r="FU267" s="3">
        <f t="shared" si="266"/>
        <v>0</v>
      </c>
      <c r="FV267" s="3">
        <f t="shared" si="266"/>
        <v>0</v>
      </c>
      <c r="FW267" s="3">
        <f t="shared" si="266"/>
        <v>0</v>
      </c>
      <c r="FX267" s="3">
        <f t="shared" si="266"/>
        <v>0</v>
      </c>
      <c r="FY267" s="3">
        <f t="shared" si="266"/>
        <v>0</v>
      </c>
      <c r="FZ267" s="3">
        <f t="shared" si="266"/>
        <v>0</v>
      </c>
      <c r="GA267" s="3">
        <f t="shared" si="266"/>
        <v>0</v>
      </c>
      <c r="GB267" s="3">
        <f t="shared" si="266"/>
        <v>0</v>
      </c>
      <c r="GC267" s="3">
        <f t="shared" si="266"/>
        <v>0</v>
      </c>
      <c r="GD267" s="3">
        <f t="shared" si="266"/>
        <v>0</v>
      </c>
      <c r="GE267" s="3">
        <f t="shared" si="266"/>
        <v>0</v>
      </c>
      <c r="GF267" s="3">
        <f t="shared" si="266"/>
        <v>0</v>
      </c>
      <c r="GG267" s="3">
        <f t="shared" si="266"/>
        <v>0</v>
      </c>
      <c r="GH267" s="3">
        <f t="shared" si="266"/>
        <v>0</v>
      </c>
      <c r="GI267" s="3">
        <f t="shared" si="266"/>
        <v>0</v>
      </c>
      <c r="GJ267" s="3">
        <f t="shared" si="266"/>
        <v>0</v>
      </c>
      <c r="GK267" s="3">
        <f t="shared" si="266"/>
        <v>0</v>
      </c>
      <c r="GL267" s="3">
        <f t="shared" si="266"/>
        <v>0</v>
      </c>
      <c r="GM267" s="3">
        <f t="shared" si="266"/>
        <v>0</v>
      </c>
      <c r="GN267" s="3">
        <f t="shared" si="266"/>
        <v>0</v>
      </c>
      <c r="GO267" s="3">
        <f t="shared" si="266"/>
        <v>0</v>
      </c>
      <c r="GP267" s="3">
        <f t="shared" si="266"/>
        <v>0</v>
      </c>
      <c r="GQ267" s="3">
        <f t="shared" si="266"/>
        <v>0</v>
      </c>
      <c r="GR267" s="3">
        <f t="shared" si="266"/>
        <v>0</v>
      </c>
      <c r="GS267" s="3">
        <f t="shared" si="266"/>
        <v>0</v>
      </c>
      <c r="GT267" s="3">
        <f t="shared" si="266"/>
        <v>0</v>
      </c>
      <c r="GU267" s="3">
        <f t="shared" si="266"/>
        <v>0</v>
      </c>
      <c r="GV267" s="3">
        <f t="shared" si="266"/>
        <v>0</v>
      </c>
      <c r="GW267" s="3">
        <f t="shared" si="266"/>
        <v>0</v>
      </c>
      <c r="GX267" s="3">
        <f t="shared" si="266"/>
        <v>0</v>
      </c>
    </row>
    <row r="269" spans="1:245" x14ac:dyDescent="0.2">
      <c r="A269">
        <v>17</v>
      </c>
      <c r="B269">
        <v>1</v>
      </c>
      <c r="E269" t="s">
        <v>725</v>
      </c>
      <c r="F269" t="s">
        <v>726</v>
      </c>
      <c r="G269" t="s">
        <v>727</v>
      </c>
      <c r="H269" t="s">
        <v>728</v>
      </c>
      <c r="I269">
        <f>ROUND(3,5)</f>
        <v>3</v>
      </c>
      <c r="J269">
        <v>0</v>
      </c>
      <c r="O269">
        <f>0</f>
        <v>0</v>
      </c>
      <c r="P269">
        <f>0</f>
        <v>0</v>
      </c>
      <c r="Q269">
        <f>0</f>
        <v>0</v>
      </c>
      <c r="R269">
        <f>0</f>
        <v>0</v>
      </c>
      <c r="S269">
        <f>0</f>
        <v>0</v>
      </c>
      <c r="T269">
        <f>0</f>
        <v>0</v>
      </c>
      <c r="U269">
        <f>0</f>
        <v>0</v>
      </c>
      <c r="V269">
        <f>0</f>
        <v>0</v>
      </c>
      <c r="W269">
        <f>0</f>
        <v>0</v>
      </c>
      <c r="X269">
        <f>0</f>
        <v>0</v>
      </c>
      <c r="Y269">
        <f>0</f>
        <v>0</v>
      </c>
      <c r="AA269">
        <v>68990560</v>
      </c>
      <c r="AB269">
        <f>ROUND((AK269),2)</f>
        <v>42.98</v>
      </c>
      <c r="AC269">
        <f>0</f>
        <v>0</v>
      </c>
      <c r="AD269">
        <f>0</f>
        <v>0</v>
      </c>
      <c r="AE269">
        <f>0</f>
        <v>0</v>
      </c>
      <c r="AF269">
        <f>0</f>
        <v>0</v>
      </c>
      <c r="AG269">
        <f>0</f>
        <v>0</v>
      </c>
      <c r="AH269">
        <f>0</f>
        <v>0</v>
      </c>
      <c r="AI269">
        <f>0</f>
        <v>0</v>
      </c>
      <c r="AJ269">
        <f>0</f>
        <v>0</v>
      </c>
      <c r="AK269">
        <v>42.98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1</v>
      </c>
      <c r="AW269">
        <v>1</v>
      </c>
      <c r="AZ269">
        <v>14.04</v>
      </c>
      <c r="BA269">
        <v>1</v>
      </c>
      <c r="BB269">
        <v>1</v>
      </c>
      <c r="BC269">
        <v>1</v>
      </c>
      <c r="BD269" t="s">
        <v>3</v>
      </c>
      <c r="BE269" t="s">
        <v>3</v>
      </c>
      <c r="BF269" t="s">
        <v>3</v>
      </c>
      <c r="BG269" t="s">
        <v>3</v>
      </c>
      <c r="BH269">
        <v>0</v>
      </c>
      <c r="BI269">
        <v>1</v>
      </c>
      <c r="BJ269" t="s">
        <v>729</v>
      </c>
      <c r="BM269">
        <v>700004</v>
      </c>
      <c r="BN269">
        <v>0</v>
      </c>
      <c r="BO269" t="s">
        <v>726</v>
      </c>
      <c r="BP269">
        <v>1</v>
      </c>
      <c r="BQ269">
        <v>19</v>
      </c>
      <c r="BR269">
        <v>0</v>
      </c>
      <c r="BS269">
        <v>1</v>
      </c>
      <c r="BT269">
        <v>1</v>
      </c>
      <c r="BU269">
        <v>1</v>
      </c>
      <c r="BV269">
        <v>1</v>
      </c>
      <c r="BW269">
        <v>1</v>
      </c>
      <c r="BX269">
        <v>1</v>
      </c>
      <c r="BY269" t="s">
        <v>3</v>
      </c>
      <c r="BZ269">
        <v>0</v>
      </c>
      <c r="CA269">
        <v>0</v>
      </c>
      <c r="CE269">
        <v>0</v>
      </c>
      <c r="CF269">
        <v>0</v>
      </c>
      <c r="CG269">
        <v>0</v>
      </c>
      <c r="CM269">
        <v>0</v>
      </c>
      <c r="CN269" t="s">
        <v>3</v>
      </c>
      <c r="CO269">
        <v>0</v>
      </c>
      <c r="CP269">
        <f>AB269*AZ269</f>
        <v>603.43919999999991</v>
      </c>
      <c r="CQ269">
        <v>0</v>
      </c>
      <c r="CR269">
        <v>0</v>
      </c>
      <c r="CS269">
        <v>0</v>
      </c>
      <c r="CT269">
        <v>0</v>
      </c>
      <c r="CU269">
        <v>0</v>
      </c>
      <c r="CV269">
        <v>0</v>
      </c>
      <c r="CW269">
        <v>0</v>
      </c>
      <c r="CX269">
        <v>0</v>
      </c>
      <c r="CY269">
        <v>0</v>
      </c>
      <c r="CZ269">
        <v>0</v>
      </c>
      <c r="DC269" t="s">
        <v>3</v>
      </c>
      <c r="DD269" t="s">
        <v>3</v>
      </c>
      <c r="DE269" t="s">
        <v>3</v>
      </c>
      <c r="DF269" t="s">
        <v>3</v>
      </c>
      <c r="DG269" t="s">
        <v>3</v>
      </c>
      <c r="DH269" t="s">
        <v>3</v>
      </c>
      <c r="DI269" t="s">
        <v>3</v>
      </c>
      <c r="DJ269" t="s">
        <v>3</v>
      </c>
      <c r="DK269" t="s">
        <v>3</v>
      </c>
      <c r="DL269" t="s">
        <v>3</v>
      </c>
      <c r="DM269" t="s">
        <v>3</v>
      </c>
      <c r="DN269">
        <v>0</v>
      </c>
      <c r="DO269">
        <v>0</v>
      </c>
      <c r="DP269">
        <v>1</v>
      </c>
      <c r="DQ269">
        <v>1</v>
      </c>
      <c r="DU269">
        <v>1013</v>
      </c>
      <c r="DV269" t="s">
        <v>728</v>
      </c>
      <c r="DW269" t="s">
        <v>728</v>
      </c>
      <c r="DX269">
        <v>1</v>
      </c>
      <c r="DZ269" t="s">
        <v>3</v>
      </c>
      <c r="EA269" t="s">
        <v>3</v>
      </c>
      <c r="EB269" t="s">
        <v>3</v>
      </c>
      <c r="EC269" t="s">
        <v>3</v>
      </c>
      <c r="EE269">
        <v>64095214</v>
      </c>
      <c r="EF269">
        <v>19</v>
      </c>
      <c r="EG269" t="s">
        <v>730</v>
      </c>
      <c r="EH269">
        <v>0</v>
      </c>
      <c r="EI269" t="s">
        <v>3</v>
      </c>
      <c r="EJ269">
        <v>1</v>
      </c>
      <c r="EK269">
        <v>700004</v>
      </c>
      <c r="EL269" t="s">
        <v>731</v>
      </c>
      <c r="EM269" t="s">
        <v>732</v>
      </c>
      <c r="EO269" t="s">
        <v>3</v>
      </c>
      <c r="EQ269">
        <v>0</v>
      </c>
      <c r="ER269">
        <v>0</v>
      </c>
      <c r="ES269">
        <v>0</v>
      </c>
      <c r="ET269">
        <v>0</v>
      </c>
      <c r="EU269">
        <v>0</v>
      </c>
      <c r="EV269">
        <v>0</v>
      </c>
      <c r="EW269">
        <v>0</v>
      </c>
      <c r="EX269">
        <v>0</v>
      </c>
      <c r="EY269">
        <v>0</v>
      </c>
      <c r="FQ269">
        <v>0</v>
      </c>
      <c r="FR269">
        <f>ROUND(IF(AND(BH269=3,BI269=3),P269,0),2)</f>
        <v>0</v>
      </c>
      <c r="FS269">
        <v>0</v>
      </c>
      <c r="FX269">
        <v>0</v>
      </c>
      <c r="FY269">
        <v>0</v>
      </c>
      <c r="GA269" t="s">
        <v>3</v>
      </c>
      <c r="GD269">
        <v>1</v>
      </c>
      <c r="GF269">
        <v>-548075358</v>
      </c>
      <c r="GG269">
        <v>2</v>
      </c>
      <c r="GH269">
        <v>1</v>
      </c>
      <c r="GI269">
        <v>2</v>
      </c>
      <c r="GJ269">
        <v>2</v>
      </c>
      <c r="GK269">
        <v>0</v>
      </c>
      <c r="GL269">
        <f>ROUND(IF(AND(BH269=3,BI269=3,FS269&lt;&gt;0),P269,0),2)</f>
        <v>0</v>
      </c>
      <c r="GM269">
        <f>ROUND(CP269*I269,2)</f>
        <v>1810.32</v>
      </c>
      <c r="GN269">
        <f>IF(OR(BI269=0,BI269=1),ROUND(CP269*I269,2),0)</f>
        <v>1810.32</v>
      </c>
      <c r="GO269">
        <f>IF(BI269=2,ROUND(CP269*I269,2),0)</f>
        <v>0</v>
      </c>
      <c r="GP269">
        <f>IF(BI269=4,ROUND(CP269*I269,2)+GX269,0)</f>
        <v>0</v>
      </c>
      <c r="GR269">
        <v>0</v>
      </c>
      <c r="GS269">
        <v>3</v>
      </c>
      <c r="GT269">
        <v>0</v>
      </c>
      <c r="GU269" t="s">
        <v>3</v>
      </c>
      <c r="GV269">
        <f>0</f>
        <v>0</v>
      </c>
      <c r="GW269">
        <v>1</v>
      </c>
      <c r="GX269">
        <f>0</f>
        <v>0</v>
      </c>
      <c r="HA269">
        <v>0</v>
      </c>
      <c r="HB269">
        <v>0</v>
      </c>
      <c r="HC269">
        <v>0</v>
      </c>
      <c r="HD269">
        <f>GM269</f>
        <v>1810.32</v>
      </c>
      <c r="HE269" t="s">
        <v>3</v>
      </c>
      <c r="HF269" t="s">
        <v>3</v>
      </c>
      <c r="IK269">
        <v>0</v>
      </c>
    </row>
    <row r="270" spans="1:245" x14ac:dyDescent="0.2">
      <c r="A270">
        <v>17</v>
      </c>
      <c r="B270">
        <v>1</v>
      </c>
      <c r="E270" t="s">
        <v>733</v>
      </c>
      <c r="F270" t="s">
        <v>734</v>
      </c>
      <c r="G270" t="s">
        <v>735</v>
      </c>
      <c r="H270" t="s">
        <v>728</v>
      </c>
      <c r="I270">
        <f>ROUND(3,5)</f>
        <v>3</v>
      </c>
      <c r="J270">
        <v>0</v>
      </c>
      <c r="O270">
        <f>0</f>
        <v>0</v>
      </c>
      <c r="P270">
        <f>0</f>
        <v>0</v>
      </c>
      <c r="Q270">
        <f>0</f>
        <v>0</v>
      </c>
      <c r="R270">
        <f>0</f>
        <v>0</v>
      </c>
      <c r="S270">
        <f>0</f>
        <v>0</v>
      </c>
      <c r="T270">
        <f>0</f>
        <v>0</v>
      </c>
      <c r="U270">
        <f>0</f>
        <v>0</v>
      </c>
      <c r="V270">
        <f>0</f>
        <v>0</v>
      </c>
      <c r="W270">
        <f>0</f>
        <v>0</v>
      </c>
      <c r="X270">
        <f>0</f>
        <v>0</v>
      </c>
      <c r="Y270">
        <f>0</f>
        <v>0</v>
      </c>
      <c r="AA270">
        <v>68990560</v>
      </c>
      <c r="AB270">
        <f>ROUND((AK270),2)</f>
        <v>46.84</v>
      </c>
      <c r="AC270">
        <f>0</f>
        <v>0</v>
      </c>
      <c r="AD270">
        <f>0</f>
        <v>0</v>
      </c>
      <c r="AE270">
        <f>0</f>
        <v>0</v>
      </c>
      <c r="AF270">
        <f>0</f>
        <v>0</v>
      </c>
      <c r="AG270">
        <f>0</f>
        <v>0</v>
      </c>
      <c r="AH270">
        <f>0</f>
        <v>0</v>
      </c>
      <c r="AI270">
        <f>0</f>
        <v>0</v>
      </c>
      <c r="AJ270">
        <f>0</f>
        <v>0</v>
      </c>
      <c r="AK270">
        <v>46.84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1</v>
      </c>
      <c r="AW270">
        <v>1</v>
      </c>
      <c r="AZ270">
        <v>7.22</v>
      </c>
      <c r="BA270">
        <v>1</v>
      </c>
      <c r="BB270">
        <v>1</v>
      </c>
      <c r="BC270">
        <v>1</v>
      </c>
      <c r="BD270" t="s">
        <v>3</v>
      </c>
      <c r="BE270" t="s">
        <v>3</v>
      </c>
      <c r="BF270" t="s">
        <v>3</v>
      </c>
      <c r="BG270" t="s">
        <v>3</v>
      </c>
      <c r="BH270">
        <v>0</v>
      </c>
      <c r="BI270">
        <v>1</v>
      </c>
      <c r="BJ270" t="s">
        <v>736</v>
      </c>
      <c r="BM270">
        <v>700005</v>
      </c>
      <c r="BN270">
        <v>0</v>
      </c>
      <c r="BO270" t="s">
        <v>734</v>
      </c>
      <c r="BP270">
        <v>1</v>
      </c>
      <c r="BQ270">
        <v>10</v>
      </c>
      <c r="BR270">
        <v>0</v>
      </c>
      <c r="BS270">
        <v>1</v>
      </c>
      <c r="BT270">
        <v>1</v>
      </c>
      <c r="BU270">
        <v>1</v>
      </c>
      <c r="BV270">
        <v>1</v>
      </c>
      <c r="BW270">
        <v>1</v>
      </c>
      <c r="BX270">
        <v>1</v>
      </c>
      <c r="BY270" t="s">
        <v>3</v>
      </c>
      <c r="BZ270">
        <v>0</v>
      </c>
      <c r="CA270">
        <v>0</v>
      </c>
      <c r="CE270">
        <v>0</v>
      </c>
      <c r="CF270">
        <v>0</v>
      </c>
      <c r="CG270">
        <v>0</v>
      </c>
      <c r="CM270">
        <v>0</v>
      </c>
      <c r="CN270" t="s">
        <v>3</v>
      </c>
      <c r="CO270">
        <v>0</v>
      </c>
      <c r="CP270">
        <f>AB270*AZ270</f>
        <v>338.1848</v>
      </c>
      <c r="CQ270">
        <v>0</v>
      </c>
      <c r="CR270">
        <v>0</v>
      </c>
      <c r="CS270">
        <v>0</v>
      </c>
      <c r="CT270">
        <v>0</v>
      </c>
      <c r="CU270">
        <v>0</v>
      </c>
      <c r="CV270">
        <v>0</v>
      </c>
      <c r="CW270">
        <v>0</v>
      </c>
      <c r="CX270">
        <v>0</v>
      </c>
      <c r="CY270">
        <v>0</v>
      </c>
      <c r="CZ270">
        <v>0</v>
      </c>
      <c r="DC270" t="s">
        <v>3</v>
      </c>
      <c r="DD270" t="s">
        <v>3</v>
      </c>
      <c r="DE270" t="s">
        <v>3</v>
      </c>
      <c r="DF270" t="s">
        <v>3</v>
      </c>
      <c r="DG270" t="s">
        <v>3</v>
      </c>
      <c r="DH270" t="s">
        <v>3</v>
      </c>
      <c r="DI270" t="s">
        <v>3</v>
      </c>
      <c r="DJ270" t="s">
        <v>3</v>
      </c>
      <c r="DK270" t="s">
        <v>3</v>
      </c>
      <c r="DL270" t="s">
        <v>3</v>
      </c>
      <c r="DM270" t="s">
        <v>3</v>
      </c>
      <c r="DN270">
        <v>0</v>
      </c>
      <c r="DO270">
        <v>0</v>
      </c>
      <c r="DP270">
        <v>1</v>
      </c>
      <c r="DQ270">
        <v>1</v>
      </c>
      <c r="DU270">
        <v>1013</v>
      </c>
      <c r="DV270" t="s">
        <v>728</v>
      </c>
      <c r="DW270" t="s">
        <v>728</v>
      </c>
      <c r="DX270">
        <v>1</v>
      </c>
      <c r="DZ270" t="s">
        <v>3</v>
      </c>
      <c r="EA270" t="s">
        <v>3</v>
      </c>
      <c r="EB270" t="s">
        <v>3</v>
      </c>
      <c r="EC270" t="s">
        <v>3</v>
      </c>
      <c r="EE270">
        <v>64095218</v>
      </c>
      <c r="EF270">
        <v>10</v>
      </c>
      <c r="EG270" t="s">
        <v>737</v>
      </c>
      <c r="EH270">
        <v>0</v>
      </c>
      <c r="EI270" t="s">
        <v>3</v>
      </c>
      <c r="EJ270">
        <v>1</v>
      </c>
      <c r="EK270">
        <v>700005</v>
      </c>
      <c r="EL270" t="s">
        <v>738</v>
      </c>
      <c r="EM270" t="s">
        <v>739</v>
      </c>
      <c r="EO270" t="s">
        <v>3</v>
      </c>
      <c r="EQ270">
        <v>0</v>
      </c>
      <c r="ER270">
        <v>0</v>
      </c>
      <c r="ES270">
        <v>0</v>
      </c>
      <c r="ET270">
        <v>0</v>
      </c>
      <c r="EU270">
        <v>0</v>
      </c>
      <c r="EV270">
        <v>0</v>
      </c>
      <c r="EW270">
        <v>0</v>
      </c>
      <c r="EX270">
        <v>0</v>
      </c>
      <c r="EY270">
        <v>0</v>
      </c>
      <c r="FQ270">
        <v>0</v>
      </c>
      <c r="FR270">
        <f>ROUND(IF(AND(BH270=3,BI270=3),P270,0),2)</f>
        <v>0</v>
      </c>
      <c r="FS270">
        <v>0</v>
      </c>
      <c r="FX270">
        <v>0</v>
      </c>
      <c r="FY270">
        <v>0</v>
      </c>
      <c r="GA270" t="s">
        <v>3</v>
      </c>
      <c r="GD270">
        <v>1</v>
      </c>
      <c r="GF270">
        <v>897020931</v>
      </c>
      <c r="GG270">
        <v>2</v>
      </c>
      <c r="GH270">
        <v>1</v>
      </c>
      <c r="GI270">
        <v>2</v>
      </c>
      <c r="GJ270">
        <v>2</v>
      </c>
      <c r="GK270">
        <v>0</v>
      </c>
      <c r="GL270">
        <f>ROUND(IF(AND(BH270=3,BI270=3,FS270&lt;&gt;0),P270,0),2)</f>
        <v>0</v>
      </c>
      <c r="GM270">
        <f>ROUND(CP270*I270,2)</f>
        <v>1014.55</v>
      </c>
      <c r="GN270">
        <f>IF(OR(BI270=0,BI270=1),ROUND(CP270*I270,2),0)</f>
        <v>1014.55</v>
      </c>
      <c r="GO270">
        <f>IF(BI270=2,ROUND(CP270*I270,2),0)</f>
        <v>0</v>
      </c>
      <c r="GP270">
        <f>IF(BI270=4,ROUND(CP270*I270,2)+GX270,0)</f>
        <v>0</v>
      </c>
      <c r="GR270">
        <v>0</v>
      </c>
      <c r="GS270">
        <v>3</v>
      </c>
      <c r="GT270">
        <v>0</v>
      </c>
      <c r="GU270" t="s">
        <v>3</v>
      </c>
      <c r="GV270">
        <f>0</f>
        <v>0</v>
      </c>
      <c r="GW270">
        <v>1</v>
      </c>
      <c r="GX270">
        <f>0</f>
        <v>0</v>
      </c>
      <c r="HA270">
        <v>0</v>
      </c>
      <c r="HB270">
        <v>0</v>
      </c>
      <c r="HC270">
        <v>0</v>
      </c>
      <c r="HD270">
        <f>GM270</f>
        <v>1014.55</v>
      </c>
      <c r="HE270" t="s">
        <v>3</v>
      </c>
      <c r="HF270" t="s">
        <v>3</v>
      </c>
      <c r="IK270">
        <v>0</v>
      </c>
    </row>
    <row r="272" spans="1:245" x14ac:dyDescent="0.2">
      <c r="A272" s="2">
        <v>51</v>
      </c>
      <c r="B272" s="2">
        <f>B265</f>
        <v>1</v>
      </c>
      <c r="C272" s="2">
        <f>A265</f>
        <v>4</v>
      </c>
      <c r="D272" s="2">
        <f>ROW(A265)</f>
        <v>265</v>
      </c>
      <c r="E272" s="2"/>
      <c r="F272" s="2" t="str">
        <f>IF(F265&lt;&gt;"",F265,"")</f>
        <v>Новый раздел</v>
      </c>
      <c r="G272" s="2" t="str">
        <f>IF(G265&lt;&gt;"",G265,"")</f>
        <v>Прочие работы</v>
      </c>
      <c r="H272" s="2">
        <v>0</v>
      </c>
      <c r="I272" s="2"/>
      <c r="J272" s="2"/>
      <c r="K272" s="2"/>
      <c r="L272" s="2"/>
      <c r="M272" s="2"/>
      <c r="N272" s="2"/>
      <c r="O272" s="2">
        <f t="shared" ref="O272:T272" si="267">ROUND(AB272,2)</f>
        <v>0</v>
      </c>
      <c r="P272" s="2">
        <f t="shared" si="267"/>
        <v>0</v>
      </c>
      <c r="Q272" s="2">
        <f t="shared" si="267"/>
        <v>0</v>
      </c>
      <c r="R272" s="2">
        <f t="shared" si="267"/>
        <v>0</v>
      </c>
      <c r="S272" s="2">
        <f t="shared" si="267"/>
        <v>0</v>
      </c>
      <c r="T272" s="2">
        <f t="shared" si="267"/>
        <v>0</v>
      </c>
      <c r="U272" s="2">
        <f>AH272</f>
        <v>0</v>
      </c>
      <c r="V272" s="2">
        <f>AI272</f>
        <v>0</v>
      </c>
      <c r="W272" s="2">
        <f>ROUND(AJ272,2)</f>
        <v>0</v>
      </c>
      <c r="X272" s="2">
        <f>ROUND(AK272,2)</f>
        <v>0</v>
      </c>
      <c r="Y272" s="2">
        <f>ROUND(AL272,2)</f>
        <v>0</v>
      </c>
      <c r="Z272" s="2"/>
      <c r="AA272" s="2"/>
      <c r="AB272" s="2">
        <f>ROUND(SUMIF(AA269:AA270,"=68990560",O269:O270),2)</f>
        <v>0</v>
      </c>
      <c r="AC272" s="2">
        <f>ROUND(SUMIF(AA269:AA270,"=68990560",P269:P270),2)</f>
        <v>0</v>
      </c>
      <c r="AD272" s="2">
        <f>ROUND(SUMIF(AA269:AA270,"=68990560",Q269:Q270),2)</f>
        <v>0</v>
      </c>
      <c r="AE272" s="2">
        <f>ROUND(SUMIF(AA269:AA270,"=68990560",R269:R270),2)</f>
        <v>0</v>
      </c>
      <c r="AF272" s="2">
        <f>ROUND(SUMIF(AA269:AA270,"=68990560",S269:S270),2)</f>
        <v>0</v>
      </c>
      <c r="AG272" s="2">
        <f>ROUND(SUMIF(AA269:AA270,"=68990560",T269:T270),2)</f>
        <v>0</v>
      </c>
      <c r="AH272" s="2">
        <f>SUMIF(AA269:AA270,"=68990560",U269:U270)</f>
        <v>0</v>
      </c>
      <c r="AI272" s="2">
        <f>SUMIF(AA269:AA270,"=68990560",V269:V270)</f>
        <v>0</v>
      </c>
      <c r="AJ272" s="2">
        <f>ROUND(SUMIF(AA269:AA270,"=68990560",W269:W270),2)</f>
        <v>0</v>
      </c>
      <c r="AK272" s="2">
        <f>ROUND(SUMIF(AA269:AA270,"=68990560",X269:X270),2)</f>
        <v>0</v>
      </c>
      <c r="AL272" s="2">
        <f>ROUND(SUMIF(AA269:AA270,"=68990560",Y269:Y270),2)</f>
        <v>0</v>
      </c>
      <c r="AM272" s="2"/>
      <c r="AN272" s="2"/>
      <c r="AO272" s="2">
        <f t="shared" ref="AO272:BD272" si="268">ROUND(BX272,2)</f>
        <v>0</v>
      </c>
      <c r="AP272" s="2">
        <f t="shared" si="268"/>
        <v>0</v>
      </c>
      <c r="AQ272" s="2">
        <f t="shared" si="268"/>
        <v>0</v>
      </c>
      <c r="AR272" s="2">
        <f t="shared" si="268"/>
        <v>2824.87</v>
      </c>
      <c r="AS272" s="2">
        <f t="shared" si="268"/>
        <v>2824.87</v>
      </c>
      <c r="AT272" s="2">
        <f t="shared" si="268"/>
        <v>0</v>
      </c>
      <c r="AU272" s="2">
        <f t="shared" si="268"/>
        <v>0</v>
      </c>
      <c r="AV272" s="2">
        <f t="shared" si="268"/>
        <v>0</v>
      </c>
      <c r="AW272" s="2">
        <f t="shared" si="268"/>
        <v>0</v>
      </c>
      <c r="AX272" s="2">
        <f t="shared" si="268"/>
        <v>0</v>
      </c>
      <c r="AY272" s="2">
        <f t="shared" si="268"/>
        <v>0</v>
      </c>
      <c r="AZ272" s="2">
        <f t="shared" si="268"/>
        <v>0</v>
      </c>
      <c r="BA272" s="2">
        <f t="shared" si="268"/>
        <v>0</v>
      </c>
      <c r="BB272" s="2">
        <f t="shared" si="268"/>
        <v>0</v>
      </c>
      <c r="BC272" s="2">
        <f t="shared" si="268"/>
        <v>0</v>
      </c>
      <c r="BD272" s="2">
        <f t="shared" si="268"/>
        <v>2824.87</v>
      </c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>
        <f>ROUND(SUMIF(AA269:AA270,"=68990560",FQ269:FQ270),2)</f>
        <v>0</v>
      </c>
      <c r="BY272" s="2">
        <f>ROUND(SUMIF(AA269:AA270,"=68990560",FR269:FR270),2)</f>
        <v>0</v>
      </c>
      <c r="BZ272" s="2">
        <f>ROUND(SUMIF(AA269:AA270,"=68990560",GL269:GL270),2)</f>
        <v>0</v>
      </c>
      <c r="CA272" s="2">
        <f>ROUND(SUMIF(AA269:AA270,"=68990560",GM269:GM270),2)</f>
        <v>2824.87</v>
      </c>
      <c r="CB272" s="2">
        <f>ROUND(SUMIF(AA269:AA270,"=68990560",GN269:GN270),2)</f>
        <v>2824.87</v>
      </c>
      <c r="CC272" s="2">
        <f>ROUND(SUMIF(AA269:AA270,"=68990560",GO269:GO270),2)</f>
        <v>0</v>
      </c>
      <c r="CD272" s="2">
        <f>ROUND(SUMIF(AA269:AA270,"=68990560",GP269:GP270),2)</f>
        <v>0</v>
      </c>
      <c r="CE272" s="2">
        <f>AC272-BX272</f>
        <v>0</v>
      </c>
      <c r="CF272" s="2">
        <f>AC272-BY272</f>
        <v>0</v>
      </c>
      <c r="CG272" s="2">
        <f>BX272-BZ272</f>
        <v>0</v>
      </c>
      <c r="CH272" s="2">
        <f>AC272-BX272-BY272+BZ272</f>
        <v>0</v>
      </c>
      <c r="CI272" s="2">
        <f>BY272-BZ272</f>
        <v>0</v>
      </c>
      <c r="CJ272" s="2">
        <f>ROUND(SUMIF(AA269:AA270,"=68990560",GX269:GX270),2)</f>
        <v>0</v>
      </c>
      <c r="CK272" s="2">
        <f>ROUND(SUMIF(AA269:AA270,"=68990560",GY269:GY270),2)</f>
        <v>0</v>
      </c>
      <c r="CL272" s="2">
        <f>ROUND(SUMIF(AA269:AA270,"=68990560",GZ269:GZ270),2)</f>
        <v>0</v>
      </c>
      <c r="CM272" s="2">
        <f>ROUND(SUMIF(AA269:AA270,"=68990560",HD269:HD270),2)</f>
        <v>2824.87</v>
      </c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3"/>
      <c r="DH272" s="3"/>
      <c r="DI272" s="3"/>
      <c r="DJ272" s="3"/>
      <c r="DK272" s="3"/>
      <c r="DL272" s="3"/>
      <c r="DM272" s="3"/>
      <c r="DN272" s="3"/>
      <c r="DO272" s="3"/>
      <c r="DP272" s="3"/>
      <c r="DQ272" s="3"/>
      <c r="DR272" s="3"/>
      <c r="DS272" s="3"/>
      <c r="DT272" s="3"/>
      <c r="DU272" s="3"/>
      <c r="DV272" s="3"/>
      <c r="DW272" s="3"/>
      <c r="DX272" s="3"/>
      <c r="DY272" s="3"/>
      <c r="DZ272" s="3"/>
      <c r="EA272" s="3"/>
      <c r="EB272" s="3"/>
      <c r="EC272" s="3"/>
      <c r="ED272" s="3"/>
      <c r="EE272" s="3"/>
      <c r="EF272" s="3"/>
      <c r="EG272" s="3"/>
      <c r="EH272" s="3"/>
      <c r="EI272" s="3"/>
      <c r="EJ272" s="3"/>
      <c r="EK272" s="3"/>
      <c r="EL272" s="3"/>
      <c r="EM272" s="3"/>
      <c r="EN272" s="3"/>
      <c r="EO272" s="3"/>
      <c r="EP272" s="3"/>
      <c r="EQ272" s="3"/>
      <c r="ER272" s="3"/>
      <c r="ES272" s="3"/>
      <c r="ET272" s="3"/>
      <c r="EU272" s="3"/>
      <c r="EV272" s="3"/>
      <c r="EW272" s="3"/>
      <c r="EX272" s="3"/>
      <c r="EY272" s="3"/>
      <c r="EZ272" s="3"/>
      <c r="FA272" s="3"/>
      <c r="FB272" s="3"/>
      <c r="FC272" s="3"/>
      <c r="FD272" s="3"/>
      <c r="FE272" s="3"/>
      <c r="FF272" s="3"/>
      <c r="FG272" s="3"/>
      <c r="FH272" s="3"/>
      <c r="FI272" s="3"/>
      <c r="FJ272" s="3"/>
      <c r="FK272" s="3"/>
      <c r="FL272" s="3"/>
      <c r="FM272" s="3"/>
      <c r="FN272" s="3"/>
      <c r="FO272" s="3"/>
      <c r="FP272" s="3"/>
      <c r="FQ272" s="3"/>
      <c r="FR272" s="3"/>
      <c r="FS272" s="3"/>
      <c r="FT272" s="3"/>
      <c r="FU272" s="3"/>
      <c r="FV272" s="3"/>
      <c r="FW272" s="3"/>
      <c r="FX272" s="3"/>
      <c r="FY272" s="3"/>
      <c r="FZ272" s="3"/>
      <c r="GA272" s="3"/>
      <c r="GB272" s="3"/>
      <c r="GC272" s="3"/>
      <c r="GD272" s="3"/>
      <c r="GE272" s="3"/>
      <c r="GF272" s="3"/>
      <c r="GG272" s="3"/>
      <c r="GH272" s="3"/>
      <c r="GI272" s="3"/>
      <c r="GJ272" s="3"/>
      <c r="GK272" s="3"/>
      <c r="GL272" s="3"/>
      <c r="GM272" s="3"/>
      <c r="GN272" s="3"/>
      <c r="GO272" s="3"/>
      <c r="GP272" s="3"/>
      <c r="GQ272" s="3"/>
      <c r="GR272" s="3"/>
      <c r="GS272" s="3"/>
      <c r="GT272" s="3"/>
      <c r="GU272" s="3"/>
      <c r="GV272" s="3"/>
      <c r="GW272" s="3"/>
      <c r="GX272" s="3">
        <v>0</v>
      </c>
    </row>
    <row r="274" spans="1:23" x14ac:dyDescent="0.2">
      <c r="A274" s="4">
        <v>50</v>
      </c>
      <c r="B274" s="4">
        <v>0</v>
      </c>
      <c r="C274" s="4">
        <v>0</v>
      </c>
      <c r="D274" s="4">
        <v>1</v>
      </c>
      <c r="E274" s="4">
        <v>201</v>
      </c>
      <c r="F274" s="4">
        <f>ROUND(Source!O272,O274)</f>
        <v>0</v>
      </c>
      <c r="G274" s="4" t="s">
        <v>625</v>
      </c>
      <c r="H274" s="4" t="s">
        <v>626</v>
      </c>
      <c r="I274" s="4"/>
      <c r="J274" s="4"/>
      <c r="K274" s="4">
        <v>201</v>
      </c>
      <c r="L274" s="4">
        <v>1</v>
      </c>
      <c r="M274" s="4">
        <v>3</v>
      </c>
      <c r="N274" s="4" t="s">
        <v>3</v>
      </c>
      <c r="O274" s="4">
        <v>2</v>
      </c>
      <c r="P274" s="4"/>
      <c r="Q274" s="4"/>
      <c r="R274" s="4"/>
      <c r="S274" s="4"/>
      <c r="T274" s="4"/>
      <c r="U274" s="4"/>
      <c r="V274" s="4"/>
      <c r="W274" s="4"/>
    </row>
    <row r="275" spans="1:23" x14ac:dyDescent="0.2">
      <c r="A275" s="4">
        <v>50</v>
      </c>
      <c r="B275" s="4">
        <v>0</v>
      </c>
      <c r="C275" s="4">
        <v>0</v>
      </c>
      <c r="D275" s="4">
        <v>1</v>
      </c>
      <c r="E275" s="4">
        <v>202</v>
      </c>
      <c r="F275" s="4">
        <f>ROUND(Source!P272,O275)</f>
        <v>0</v>
      </c>
      <c r="G275" s="4" t="s">
        <v>627</v>
      </c>
      <c r="H275" s="4" t="s">
        <v>628</v>
      </c>
      <c r="I275" s="4"/>
      <c r="J275" s="4"/>
      <c r="K275" s="4">
        <v>202</v>
      </c>
      <c r="L275" s="4">
        <v>2</v>
      </c>
      <c r="M275" s="4">
        <v>3</v>
      </c>
      <c r="N275" s="4" t="s">
        <v>3</v>
      </c>
      <c r="O275" s="4">
        <v>2</v>
      </c>
      <c r="P275" s="4"/>
      <c r="Q275" s="4"/>
      <c r="R275" s="4"/>
      <c r="S275" s="4"/>
      <c r="T275" s="4"/>
      <c r="U275" s="4"/>
      <c r="V275" s="4"/>
      <c r="W275" s="4"/>
    </row>
    <row r="276" spans="1:23" x14ac:dyDescent="0.2">
      <c r="A276" s="4">
        <v>50</v>
      </c>
      <c r="B276" s="4">
        <v>0</v>
      </c>
      <c r="C276" s="4">
        <v>0</v>
      </c>
      <c r="D276" s="4">
        <v>1</v>
      </c>
      <c r="E276" s="4">
        <v>222</v>
      </c>
      <c r="F276" s="4">
        <f>ROUND(Source!AO272,O276)</f>
        <v>0</v>
      </c>
      <c r="G276" s="4" t="s">
        <v>629</v>
      </c>
      <c r="H276" s="4" t="s">
        <v>630</v>
      </c>
      <c r="I276" s="4"/>
      <c r="J276" s="4"/>
      <c r="K276" s="4">
        <v>222</v>
      </c>
      <c r="L276" s="4">
        <v>3</v>
      </c>
      <c r="M276" s="4">
        <v>3</v>
      </c>
      <c r="N276" s="4" t="s">
        <v>3</v>
      </c>
      <c r="O276" s="4">
        <v>2</v>
      </c>
      <c r="P276" s="4"/>
      <c r="Q276" s="4"/>
      <c r="R276" s="4"/>
      <c r="S276" s="4"/>
      <c r="T276" s="4"/>
      <c r="U276" s="4"/>
      <c r="V276" s="4"/>
      <c r="W276" s="4"/>
    </row>
    <row r="277" spans="1:23" x14ac:dyDescent="0.2">
      <c r="A277" s="4">
        <v>50</v>
      </c>
      <c r="B277" s="4">
        <v>0</v>
      </c>
      <c r="C277" s="4">
        <v>0</v>
      </c>
      <c r="D277" s="4">
        <v>1</v>
      </c>
      <c r="E277" s="4">
        <v>225</v>
      </c>
      <c r="F277" s="4">
        <f>ROUND(Source!AV272,O277)</f>
        <v>0</v>
      </c>
      <c r="G277" s="4" t="s">
        <v>631</v>
      </c>
      <c r="H277" s="4" t="s">
        <v>632</v>
      </c>
      <c r="I277" s="4"/>
      <c r="J277" s="4"/>
      <c r="K277" s="4">
        <v>225</v>
      </c>
      <c r="L277" s="4">
        <v>4</v>
      </c>
      <c r="M277" s="4">
        <v>3</v>
      </c>
      <c r="N277" s="4" t="s">
        <v>3</v>
      </c>
      <c r="O277" s="4">
        <v>2</v>
      </c>
      <c r="P277" s="4"/>
      <c r="Q277" s="4"/>
      <c r="R277" s="4"/>
      <c r="S277" s="4"/>
      <c r="T277" s="4"/>
      <c r="U277" s="4"/>
      <c r="V277" s="4"/>
      <c r="W277" s="4"/>
    </row>
    <row r="278" spans="1:23" x14ac:dyDescent="0.2">
      <c r="A278" s="4">
        <v>50</v>
      </c>
      <c r="B278" s="4">
        <v>0</v>
      </c>
      <c r="C278" s="4">
        <v>0</v>
      </c>
      <c r="D278" s="4">
        <v>1</v>
      </c>
      <c r="E278" s="4">
        <v>226</v>
      </c>
      <c r="F278" s="4">
        <f>ROUND(Source!AW272,O278)</f>
        <v>0</v>
      </c>
      <c r="G278" s="4" t="s">
        <v>633</v>
      </c>
      <c r="H278" s="4" t="s">
        <v>634</v>
      </c>
      <c r="I278" s="4"/>
      <c r="J278" s="4"/>
      <c r="K278" s="4">
        <v>226</v>
      </c>
      <c r="L278" s="4">
        <v>5</v>
      </c>
      <c r="M278" s="4">
        <v>3</v>
      </c>
      <c r="N278" s="4" t="s">
        <v>3</v>
      </c>
      <c r="O278" s="4">
        <v>2</v>
      </c>
      <c r="P278" s="4"/>
      <c r="Q278" s="4"/>
      <c r="R278" s="4"/>
      <c r="S278" s="4"/>
      <c r="T278" s="4"/>
      <c r="U278" s="4"/>
      <c r="V278" s="4"/>
      <c r="W278" s="4"/>
    </row>
    <row r="279" spans="1:23" x14ac:dyDescent="0.2">
      <c r="A279" s="4">
        <v>50</v>
      </c>
      <c r="B279" s="4">
        <v>0</v>
      </c>
      <c r="C279" s="4">
        <v>0</v>
      </c>
      <c r="D279" s="4">
        <v>1</v>
      </c>
      <c r="E279" s="4">
        <v>227</v>
      </c>
      <c r="F279" s="4">
        <f>ROUND(Source!AX272,O279)</f>
        <v>0</v>
      </c>
      <c r="G279" s="4" t="s">
        <v>635</v>
      </c>
      <c r="H279" s="4" t="s">
        <v>636</v>
      </c>
      <c r="I279" s="4"/>
      <c r="J279" s="4"/>
      <c r="K279" s="4">
        <v>227</v>
      </c>
      <c r="L279" s="4">
        <v>6</v>
      </c>
      <c r="M279" s="4">
        <v>3</v>
      </c>
      <c r="N279" s="4" t="s">
        <v>3</v>
      </c>
      <c r="O279" s="4">
        <v>2</v>
      </c>
      <c r="P279" s="4"/>
      <c r="Q279" s="4"/>
      <c r="R279" s="4"/>
      <c r="S279" s="4"/>
      <c r="T279" s="4"/>
      <c r="U279" s="4"/>
      <c r="V279" s="4"/>
      <c r="W279" s="4"/>
    </row>
    <row r="280" spans="1:23" x14ac:dyDescent="0.2">
      <c r="A280" s="4">
        <v>50</v>
      </c>
      <c r="B280" s="4">
        <v>0</v>
      </c>
      <c r="C280" s="4">
        <v>0</v>
      </c>
      <c r="D280" s="4">
        <v>1</v>
      </c>
      <c r="E280" s="4">
        <v>228</v>
      </c>
      <c r="F280" s="4">
        <f>ROUND(Source!AY272,O280)</f>
        <v>0</v>
      </c>
      <c r="G280" s="4" t="s">
        <v>637</v>
      </c>
      <c r="H280" s="4" t="s">
        <v>638</v>
      </c>
      <c r="I280" s="4"/>
      <c r="J280" s="4"/>
      <c r="K280" s="4">
        <v>228</v>
      </c>
      <c r="L280" s="4">
        <v>7</v>
      </c>
      <c r="M280" s="4">
        <v>3</v>
      </c>
      <c r="N280" s="4" t="s">
        <v>3</v>
      </c>
      <c r="O280" s="4">
        <v>2</v>
      </c>
      <c r="P280" s="4"/>
      <c r="Q280" s="4"/>
      <c r="R280" s="4"/>
      <c r="S280" s="4"/>
      <c r="T280" s="4"/>
      <c r="U280" s="4"/>
      <c r="V280" s="4"/>
      <c r="W280" s="4"/>
    </row>
    <row r="281" spans="1:23" x14ac:dyDescent="0.2">
      <c r="A281" s="4">
        <v>50</v>
      </c>
      <c r="B281" s="4">
        <v>0</v>
      </c>
      <c r="C281" s="4">
        <v>0</v>
      </c>
      <c r="D281" s="4">
        <v>1</v>
      </c>
      <c r="E281" s="4">
        <v>216</v>
      </c>
      <c r="F281" s="4">
        <f>ROUND(Source!AP272,O281)</f>
        <v>0</v>
      </c>
      <c r="G281" s="4" t="s">
        <v>639</v>
      </c>
      <c r="H281" s="4" t="s">
        <v>640</v>
      </c>
      <c r="I281" s="4"/>
      <c r="J281" s="4"/>
      <c r="K281" s="4">
        <v>216</v>
      </c>
      <c r="L281" s="4">
        <v>8</v>
      </c>
      <c r="M281" s="4">
        <v>3</v>
      </c>
      <c r="N281" s="4" t="s">
        <v>3</v>
      </c>
      <c r="O281" s="4">
        <v>2</v>
      </c>
      <c r="P281" s="4"/>
      <c r="Q281" s="4"/>
      <c r="R281" s="4"/>
      <c r="S281" s="4"/>
      <c r="T281" s="4"/>
      <c r="U281" s="4"/>
      <c r="V281" s="4"/>
      <c r="W281" s="4"/>
    </row>
    <row r="282" spans="1:23" x14ac:dyDescent="0.2">
      <c r="A282" s="4">
        <v>50</v>
      </c>
      <c r="B282" s="4">
        <v>0</v>
      </c>
      <c r="C282" s="4">
        <v>0</v>
      </c>
      <c r="D282" s="4">
        <v>1</v>
      </c>
      <c r="E282" s="4">
        <v>223</v>
      </c>
      <c r="F282" s="4">
        <f>ROUND(Source!AQ272,O282)</f>
        <v>0</v>
      </c>
      <c r="G282" s="4" t="s">
        <v>641</v>
      </c>
      <c r="H282" s="4" t="s">
        <v>642</v>
      </c>
      <c r="I282" s="4"/>
      <c r="J282" s="4"/>
      <c r="K282" s="4">
        <v>223</v>
      </c>
      <c r="L282" s="4">
        <v>9</v>
      </c>
      <c r="M282" s="4">
        <v>3</v>
      </c>
      <c r="N282" s="4" t="s">
        <v>3</v>
      </c>
      <c r="O282" s="4">
        <v>2</v>
      </c>
      <c r="P282" s="4"/>
      <c r="Q282" s="4"/>
      <c r="R282" s="4"/>
      <c r="S282" s="4"/>
      <c r="T282" s="4"/>
      <c r="U282" s="4"/>
      <c r="V282" s="4"/>
      <c r="W282" s="4"/>
    </row>
    <row r="283" spans="1:23" x14ac:dyDescent="0.2">
      <c r="A283" s="4">
        <v>50</v>
      </c>
      <c r="B283" s="4">
        <v>0</v>
      </c>
      <c r="C283" s="4">
        <v>0</v>
      </c>
      <c r="D283" s="4">
        <v>1</v>
      </c>
      <c r="E283" s="4">
        <v>229</v>
      </c>
      <c r="F283" s="4">
        <f>ROUND(Source!AZ272,O283)</f>
        <v>0</v>
      </c>
      <c r="G283" s="4" t="s">
        <v>643</v>
      </c>
      <c r="H283" s="4" t="s">
        <v>644</v>
      </c>
      <c r="I283" s="4"/>
      <c r="J283" s="4"/>
      <c r="K283" s="4">
        <v>229</v>
      </c>
      <c r="L283" s="4">
        <v>10</v>
      </c>
      <c r="M283" s="4">
        <v>3</v>
      </c>
      <c r="N283" s="4" t="s">
        <v>3</v>
      </c>
      <c r="O283" s="4">
        <v>2</v>
      </c>
      <c r="P283" s="4"/>
      <c r="Q283" s="4"/>
      <c r="R283" s="4"/>
      <c r="S283" s="4"/>
      <c r="T283" s="4"/>
      <c r="U283" s="4"/>
      <c r="V283" s="4"/>
      <c r="W283" s="4"/>
    </row>
    <row r="284" spans="1:23" x14ac:dyDescent="0.2">
      <c r="A284" s="4">
        <v>50</v>
      </c>
      <c r="B284" s="4">
        <v>0</v>
      </c>
      <c r="C284" s="4">
        <v>0</v>
      </c>
      <c r="D284" s="4">
        <v>1</v>
      </c>
      <c r="E284" s="4">
        <v>203</v>
      </c>
      <c r="F284" s="4">
        <f>ROUND(Source!Q272,O284)</f>
        <v>0</v>
      </c>
      <c r="G284" s="4" t="s">
        <v>645</v>
      </c>
      <c r="H284" s="4" t="s">
        <v>646</v>
      </c>
      <c r="I284" s="4"/>
      <c r="J284" s="4"/>
      <c r="K284" s="4">
        <v>203</v>
      </c>
      <c r="L284" s="4">
        <v>11</v>
      </c>
      <c r="M284" s="4">
        <v>3</v>
      </c>
      <c r="N284" s="4" t="s">
        <v>3</v>
      </c>
      <c r="O284" s="4">
        <v>2</v>
      </c>
      <c r="P284" s="4"/>
      <c r="Q284" s="4"/>
      <c r="R284" s="4"/>
      <c r="S284" s="4"/>
      <c r="T284" s="4"/>
      <c r="U284" s="4"/>
      <c r="V284" s="4"/>
      <c r="W284" s="4"/>
    </row>
    <row r="285" spans="1:23" x14ac:dyDescent="0.2">
      <c r="A285" s="4">
        <v>50</v>
      </c>
      <c r="B285" s="4">
        <v>0</v>
      </c>
      <c r="C285" s="4">
        <v>0</v>
      </c>
      <c r="D285" s="4">
        <v>1</v>
      </c>
      <c r="E285" s="4">
        <v>231</v>
      </c>
      <c r="F285" s="4">
        <f>ROUND(Source!BB272,O285)</f>
        <v>0</v>
      </c>
      <c r="G285" s="4" t="s">
        <v>647</v>
      </c>
      <c r="H285" s="4" t="s">
        <v>648</v>
      </c>
      <c r="I285" s="4"/>
      <c r="J285" s="4"/>
      <c r="K285" s="4">
        <v>231</v>
      </c>
      <c r="L285" s="4">
        <v>12</v>
      </c>
      <c r="M285" s="4">
        <v>3</v>
      </c>
      <c r="N285" s="4" t="s">
        <v>3</v>
      </c>
      <c r="O285" s="4">
        <v>2</v>
      </c>
      <c r="P285" s="4"/>
      <c r="Q285" s="4"/>
      <c r="R285" s="4"/>
      <c r="S285" s="4"/>
      <c r="T285" s="4"/>
      <c r="U285" s="4"/>
      <c r="V285" s="4"/>
      <c r="W285" s="4"/>
    </row>
    <row r="286" spans="1:23" x14ac:dyDescent="0.2">
      <c r="A286" s="4">
        <v>50</v>
      </c>
      <c r="B286" s="4">
        <v>0</v>
      </c>
      <c r="C286" s="4">
        <v>0</v>
      </c>
      <c r="D286" s="4">
        <v>1</v>
      </c>
      <c r="E286" s="4">
        <v>204</v>
      </c>
      <c r="F286" s="4">
        <f>ROUND(Source!R272,O286)</f>
        <v>0</v>
      </c>
      <c r="G286" s="4" t="s">
        <v>649</v>
      </c>
      <c r="H286" s="4" t="s">
        <v>650</v>
      </c>
      <c r="I286" s="4"/>
      <c r="J286" s="4"/>
      <c r="K286" s="4">
        <v>204</v>
      </c>
      <c r="L286" s="4">
        <v>13</v>
      </c>
      <c r="M286" s="4">
        <v>3</v>
      </c>
      <c r="N286" s="4" t="s">
        <v>3</v>
      </c>
      <c r="O286" s="4">
        <v>2</v>
      </c>
      <c r="P286" s="4"/>
      <c r="Q286" s="4"/>
      <c r="R286" s="4"/>
      <c r="S286" s="4"/>
      <c r="T286" s="4"/>
      <c r="U286" s="4"/>
      <c r="V286" s="4"/>
      <c r="W286" s="4"/>
    </row>
    <row r="287" spans="1:23" x14ac:dyDescent="0.2">
      <c r="A287" s="4">
        <v>50</v>
      </c>
      <c r="B287" s="4">
        <v>0</v>
      </c>
      <c r="C287" s="4">
        <v>0</v>
      </c>
      <c r="D287" s="4">
        <v>1</v>
      </c>
      <c r="E287" s="4">
        <v>205</v>
      </c>
      <c r="F287" s="4">
        <f>ROUND(Source!S272,O287)</f>
        <v>0</v>
      </c>
      <c r="G287" s="4" t="s">
        <v>651</v>
      </c>
      <c r="H287" s="4" t="s">
        <v>652</v>
      </c>
      <c r="I287" s="4"/>
      <c r="J287" s="4"/>
      <c r="K287" s="4">
        <v>205</v>
      </c>
      <c r="L287" s="4">
        <v>14</v>
      </c>
      <c r="M287" s="4">
        <v>3</v>
      </c>
      <c r="N287" s="4" t="s">
        <v>3</v>
      </c>
      <c r="O287" s="4">
        <v>2</v>
      </c>
      <c r="P287" s="4"/>
      <c r="Q287" s="4"/>
      <c r="R287" s="4"/>
      <c r="S287" s="4"/>
      <c r="T287" s="4"/>
      <c r="U287" s="4"/>
      <c r="V287" s="4"/>
      <c r="W287" s="4"/>
    </row>
    <row r="288" spans="1:23" x14ac:dyDescent="0.2">
      <c r="A288" s="4">
        <v>50</v>
      </c>
      <c r="B288" s="4">
        <v>0</v>
      </c>
      <c r="C288" s="4">
        <v>0</v>
      </c>
      <c r="D288" s="4">
        <v>1</v>
      </c>
      <c r="E288" s="4">
        <v>232</v>
      </c>
      <c r="F288" s="4">
        <f>ROUND(Source!BC272,O288)</f>
        <v>0</v>
      </c>
      <c r="G288" s="4" t="s">
        <v>653</v>
      </c>
      <c r="H288" s="4" t="s">
        <v>654</v>
      </c>
      <c r="I288" s="4"/>
      <c r="J288" s="4"/>
      <c r="K288" s="4">
        <v>232</v>
      </c>
      <c r="L288" s="4">
        <v>15</v>
      </c>
      <c r="M288" s="4">
        <v>3</v>
      </c>
      <c r="N288" s="4" t="s">
        <v>3</v>
      </c>
      <c r="O288" s="4">
        <v>2</v>
      </c>
      <c r="P288" s="4"/>
      <c r="Q288" s="4"/>
      <c r="R288" s="4"/>
      <c r="S288" s="4"/>
      <c r="T288" s="4"/>
      <c r="U288" s="4"/>
      <c r="V288" s="4"/>
      <c r="W288" s="4"/>
    </row>
    <row r="289" spans="1:206" x14ac:dyDescent="0.2">
      <c r="A289" s="4">
        <v>50</v>
      </c>
      <c r="B289" s="4">
        <v>0</v>
      </c>
      <c r="C289" s="4">
        <v>0</v>
      </c>
      <c r="D289" s="4">
        <v>1</v>
      </c>
      <c r="E289" s="4">
        <v>214</v>
      </c>
      <c r="F289" s="4">
        <f>ROUND(Source!AS272,O289)</f>
        <v>2824.87</v>
      </c>
      <c r="G289" s="4" t="s">
        <v>655</v>
      </c>
      <c r="H289" s="4" t="s">
        <v>656</v>
      </c>
      <c r="I289" s="4"/>
      <c r="J289" s="4"/>
      <c r="K289" s="4">
        <v>214</v>
      </c>
      <c r="L289" s="4">
        <v>16</v>
      </c>
      <c r="M289" s="4">
        <v>3</v>
      </c>
      <c r="N289" s="4" t="s">
        <v>3</v>
      </c>
      <c r="O289" s="4">
        <v>2</v>
      </c>
      <c r="P289" s="4"/>
      <c r="Q289" s="4"/>
      <c r="R289" s="4"/>
      <c r="S289" s="4"/>
      <c r="T289" s="4"/>
      <c r="U289" s="4"/>
      <c r="V289" s="4"/>
      <c r="W289" s="4"/>
    </row>
    <row r="290" spans="1:206" x14ac:dyDescent="0.2">
      <c r="A290" s="4">
        <v>50</v>
      </c>
      <c r="B290" s="4">
        <v>0</v>
      </c>
      <c r="C290" s="4">
        <v>0</v>
      </c>
      <c r="D290" s="4">
        <v>1</v>
      </c>
      <c r="E290" s="4">
        <v>215</v>
      </c>
      <c r="F290" s="4">
        <f>ROUND(Source!AT272,O290)</f>
        <v>0</v>
      </c>
      <c r="G290" s="4" t="s">
        <v>657</v>
      </c>
      <c r="H290" s="4" t="s">
        <v>658</v>
      </c>
      <c r="I290" s="4"/>
      <c r="J290" s="4"/>
      <c r="K290" s="4">
        <v>215</v>
      </c>
      <c r="L290" s="4">
        <v>17</v>
      </c>
      <c r="M290" s="4">
        <v>3</v>
      </c>
      <c r="N290" s="4" t="s">
        <v>3</v>
      </c>
      <c r="O290" s="4">
        <v>2</v>
      </c>
      <c r="P290" s="4"/>
      <c r="Q290" s="4"/>
      <c r="R290" s="4"/>
      <c r="S290" s="4"/>
      <c r="T290" s="4"/>
      <c r="U290" s="4"/>
      <c r="V290" s="4"/>
      <c r="W290" s="4"/>
    </row>
    <row r="291" spans="1:206" x14ac:dyDescent="0.2">
      <c r="A291" s="4">
        <v>50</v>
      </c>
      <c r="B291" s="4">
        <v>0</v>
      </c>
      <c r="C291" s="4">
        <v>0</v>
      </c>
      <c r="D291" s="4">
        <v>1</v>
      </c>
      <c r="E291" s="4">
        <v>217</v>
      </c>
      <c r="F291" s="4">
        <f>ROUND(Source!AU272,O291)</f>
        <v>0</v>
      </c>
      <c r="G291" s="4" t="s">
        <v>659</v>
      </c>
      <c r="H291" s="4" t="s">
        <v>660</v>
      </c>
      <c r="I291" s="4"/>
      <c r="J291" s="4"/>
      <c r="K291" s="4">
        <v>217</v>
      </c>
      <c r="L291" s="4">
        <v>18</v>
      </c>
      <c r="M291" s="4">
        <v>3</v>
      </c>
      <c r="N291" s="4" t="s">
        <v>3</v>
      </c>
      <c r="O291" s="4">
        <v>2</v>
      </c>
      <c r="P291" s="4"/>
      <c r="Q291" s="4"/>
      <c r="R291" s="4"/>
      <c r="S291" s="4"/>
      <c r="T291" s="4"/>
      <c r="U291" s="4"/>
      <c r="V291" s="4"/>
      <c r="W291" s="4"/>
    </row>
    <row r="292" spans="1:206" x14ac:dyDescent="0.2">
      <c r="A292" s="4">
        <v>50</v>
      </c>
      <c r="B292" s="4">
        <v>0</v>
      </c>
      <c r="C292" s="4">
        <v>0</v>
      </c>
      <c r="D292" s="4">
        <v>1</v>
      </c>
      <c r="E292" s="4">
        <v>230</v>
      </c>
      <c r="F292" s="4">
        <f>ROUND(Source!BA272,O292)</f>
        <v>0</v>
      </c>
      <c r="G292" s="4" t="s">
        <v>661</v>
      </c>
      <c r="H292" s="4" t="s">
        <v>662</v>
      </c>
      <c r="I292" s="4"/>
      <c r="J292" s="4"/>
      <c r="K292" s="4">
        <v>230</v>
      </c>
      <c r="L292" s="4">
        <v>19</v>
      </c>
      <c r="M292" s="4">
        <v>3</v>
      </c>
      <c r="N292" s="4" t="s">
        <v>3</v>
      </c>
      <c r="O292" s="4">
        <v>2</v>
      </c>
      <c r="P292" s="4"/>
      <c r="Q292" s="4"/>
      <c r="R292" s="4"/>
      <c r="S292" s="4"/>
      <c r="T292" s="4"/>
      <c r="U292" s="4"/>
      <c r="V292" s="4"/>
      <c r="W292" s="4"/>
    </row>
    <row r="293" spans="1:206" x14ac:dyDescent="0.2">
      <c r="A293" s="4">
        <v>50</v>
      </c>
      <c r="B293" s="4">
        <v>0</v>
      </c>
      <c r="C293" s="4">
        <v>0</v>
      </c>
      <c r="D293" s="4">
        <v>1</v>
      </c>
      <c r="E293" s="4">
        <v>206</v>
      </c>
      <c r="F293" s="4">
        <f>ROUND(Source!T272,O293)</f>
        <v>0</v>
      </c>
      <c r="G293" s="4" t="s">
        <v>663</v>
      </c>
      <c r="H293" s="4" t="s">
        <v>664</v>
      </c>
      <c r="I293" s="4"/>
      <c r="J293" s="4"/>
      <c r="K293" s="4">
        <v>206</v>
      </c>
      <c r="L293" s="4">
        <v>20</v>
      </c>
      <c r="M293" s="4">
        <v>3</v>
      </c>
      <c r="N293" s="4" t="s">
        <v>3</v>
      </c>
      <c r="O293" s="4">
        <v>2</v>
      </c>
      <c r="P293" s="4"/>
      <c r="Q293" s="4"/>
      <c r="R293" s="4"/>
      <c r="S293" s="4"/>
      <c r="T293" s="4"/>
      <c r="U293" s="4"/>
      <c r="V293" s="4"/>
      <c r="W293" s="4"/>
    </row>
    <row r="294" spans="1:206" x14ac:dyDescent="0.2">
      <c r="A294" s="4">
        <v>50</v>
      </c>
      <c r="B294" s="4">
        <v>0</v>
      </c>
      <c r="C294" s="4">
        <v>0</v>
      </c>
      <c r="D294" s="4">
        <v>1</v>
      </c>
      <c r="E294" s="4">
        <v>207</v>
      </c>
      <c r="F294" s="4">
        <f>Source!U272</f>
        <v>0</v>
      </c>
      <c r="G294" s="4" t="s">
        <v>665</v>
      </c>
      <c r="H294" s="4" t="s">
        <v>666</v>
      </c>
      <c r="I294" s="4"/>
      <c r="J294" s="4"/>
      <c r="K294" s="4">
        <v>207</v>
      </c>
      <c r="L294" s="4">
        <v>21</v>
      </c>
      <c r="M294" s="4">
        <v>3</v>
      </c>
      <c r="N294" s="4" t="s">
        <v>3</v>
      </c>
      <c r="O294" s="4">
        <v>-1</v>
      </c>
      <c r="P294" s="4"/>
      <c r="Q294" s="4"/>
      <c r="R294" s="4"/>
      <c r="S294" s="4"/>
      <c r="T294" s="4"/>
      <c r="U294" s="4"/>
      <c r="V294" s="4"/>
      <c r="W294" s="4"/>
    </row>
    <row r="295" spans="1:206" x14ac:dyDescent="0.2">
      <c r="A295" s="4">
        <v>50</v>
      </c>
      <c r="B295" s="4">
        <v>0</v>
      </c>
      <c r="C295" s="4">
        <v>0</v>
      </c>
      <c r="D295" s="4">
        <v>1</v>
      </c>
      <c r="E295" s="4">
        <v>208</v>
      </c>
      <c r="F295" s="4">
        <f>Source!V272</f>
        <v>0</v>
      </c>
      <c r="G295" s="4" t="s">
        <v>667</v>
      </c>
      <c r="H295" s="4" t="s">
        <v>668</v>
      </c>
      <c r="I295" s="4"/>
      <c r="J295" s="4"/>
      <c r="K295" s="4">
        <v>208</v>
      </c>
      <c r="L295" s="4">
        <v>22</v>
      </c>
      <c r="M295" s="4">
        <v>3</v>
      </c>
      <c r="N295" s="4" t="s">
        <v>3</v>
      </c>
      <c r="O295" s="4">
        <v>-1</v>
      </c>
      <c r="P295" s="4"/>
      <c r="Q295" s="4"/>
      <c r="R295" s="4"/>
      <c r="S295" s="4"/>
      <c r="T295" s="4"/>
      <c r="U295" s="4"/>
      <c r="V295" s="4"/>
      <c r="W295" s="4"/>
    </row>
    <row r="296" spans="1:206" x14ac:dyDescent="0.2">
      <c r="A296" s="4">
        <v>50</v>
      </c>
      <c r="B296" s="4">
        <v>0</v>
      </c>
      <c r="C296" s="4">
        <v>0</v>
      </c>
      <c r="D296" s="4">
        <v>1</v>
      </c>
      <c r="E296" s="4">
        <v>209</v>
      </c>
      <c r="F296" s="4">
        <f>ROUND(Source!W272,O296)</f>
        <v>0</v>
      </c>
      <c r="G296" s="4" t="s">
        <v>669</v>
      </c>
      <c r="H296" s="4" t="s">
        <v>670</v>
      </c>
      <c r="I296" s="4"/>
      <c r="J296" s="4"/>
      <c r="K296" s="4">
        <v>209</v>
      </c>
      <c r="L296" s="4">
        <v>23</v>
      </c>
      <c r="M296" s="4">
        <v>3</v>
      </c>
      <c r="N296" s="4" t="s">
        <v>3</v>
      </c>
      <c r="O296" s="4">
        <v>2</v>
      </c>
      <c r="P296" s="4"/>
      <c r="Q296" s="4"/>
      <c r="R296" s="4"/>
      <c r="S296" s="4"/>
      <c r="T296" s="4"/>
      <c r="U296" s="4"/>
      <c r="V296" s="4"/>
      <c r="W296" s="4"/>
    </row>
    <row r="297" spans="1:206" x14ac:dyDescent="0.2">
      <c r="A297" s="4">
        <v>50</v>
      </c>
      <c r="B297" s="4">
        <v>0</v>
      </c>
      <c r="C297" s="4">
        <v>0</v>
      </c>
      <c r="D297" s="4">
        <v>1</v>
      </c>
      <c r="E297" s="4">
        <v>233</v>
      </c>
      <c r="F297" s="4">
        <f>ROUND(Source!BD272,O297)</f>
        <v>2824.87</v>
      </c>
      <c r="G297" s="4" t="s">
        <v>671</v>
      </c>
      <c r="H297" s="4" t="s">
        <v>672</v>
      </c>
      <c r="I297" s="4"/>
      <c r="J297" s="4"/>
      <c r="K297" s="4">
        <v>233</v>
      </c>
      <c r="L297" s="4">
        <v>24</v>
      </c>
      <c r="M297" s="4">
        <v>3</v>
      </c>
      <c r="N297" s="4" t="s">
        <v>3</v>
      </c>
      <c r="O297" s="4">
        <v>2</v>
      </c>
      <c r="P297" s="4"/>
      <c r="Q297" s="4"/>
      <c r="R297" s="4"/>
      <c r="S297" s="4"/>
      <c r="T297" s="4"/>
      <c r="U297" s="4"/>
      <c r="V297" s="4"/>
      <c r="W297" s="4"/>
    </row>
    <row r="298" spans="1:206" x14ac:dyDescent="0.2">
      <c r="A298" s="4">
        <v>50</v>
      </c>
      <c r="B298" s="4">
        <v>0</v>
      </c>
      <c r="C298" s="4">
        <v>0</v>
      </c>
      <c r="D298" s="4">
        <v>1</v>
      </c>
      <c r="E298" s="4">
        <v>210</v>
      </c>
      <c r="F298" s="4">
        <f>ROUND(Source!X272,O298)</f>
        <v>0</v>
      </c>
      <c r="G298" s="4" t="s">
        <v>673</v>
      </c>
      <c r="H298" s="4" t="s">
        <v>674</v>
      </c>
      <c r="I298" s="4"/>
      <c r="J298" s="4"/>
      <c r="K298" s="4">
        <v>210</v>
      </c>
      <c r="L298" s="4">
        <v>25</v>
      </c>
      <c r="M298" s="4">
        <v>3</v>
      </c>
      <c r="N298" s="4" t="s">
        <v>3</v>
      </c>
      <c r="O298" s="4">
        <v>2</v>
      </c>
      <c r="P298" s="4"/>
      <c r="Q298" s="4"/>
      <c r="R298" s="4"/>
      <c r="S298" s="4"/>
      <c r="T298" s="4"/>
      <c r="U298" s="4"/>
      <c r="V298" s="4"/>
      <c r="W298" s="4"/>
    </row>
    <row r="299" spans="1:206" x14ac:dyDescent="0.2">
      <c r="A299" s="4">
        <v>50</v>
      </c>
      <c r="B299" s="4">
        <v>0</v>
      </c>
      <c r="C299" s="4">
        <v>0</v>
      </c>
      <c r="D299" s="4">
        <v>1</v>
      </c>
      <c r="E299" s="4">
        <v>211</v>
      </c>
      <c r="F299" s="4">
        <f>ROUND(Source!Y272,O299)</f>
        <v>0</v>
      </c>
      <c r="G299" s="4" t="s">
        <v>675</v>
      </c>
      <c r="H299" s="4" t="s">
        <v>676</v>
      </c>
      <c r="I299" s="4"/>
      <c r="J299" s="4"/>
      <c r="K299" s="4">
        <v>211</v>
      </c>
      <c r="L299" s="4">
        <v>26</v>
      </c>
      <c r="M299" s="4">
        <v>3</v>
      </c>
      <c r="N299" s="4" t="s">
        <v>3</v>
      </c>
      <c r="O299" s="4">
        <v>2</v>
      </c>
      <c r="P299" s="4"/>
      <c r="Q299" s="4"/>
      <c r="R299" s="4"/>
      <c r="S299" s="4"/>
      <c r="T299" s="4"/>
      <c r="U299" s="4"/>
      <c r="V299" s="4"/>
      <c r="W299" s="4"/>
    </row>
    <row r="300" spans="1:206" x14ac:dyDescent="0.2">
      <c r="A300" s="4">
        <v>50</v>
      </c>
      <c r="B300" s="4">
        <v>0</v>
      </c>
      <c r="C300" s="4">
        <v>0</v>
      </c>
      <c r="D300" s="4">
        <v>1</v>
      </c>
      <c r="E300" s="4">
        <v>224</v>
      </c>
      <c r="F300" s="4">
        <f>ROUND(Source!AR272,O300)</f>
        <v>2824.87</v>
      </c>
      <c r="G300" s="4" t="s">
        <v>677</v>
      </c>
      <c r="H300" s="4" t="s">
        <v>678</v>
      </c>
      <c r="I300" s="4"/>
      <c r="J300" s="4"/>
      <c r="K300" s="4">
        <v>224</v>
      </c>
      <c r="L300" s="4">
        <v>27</v>
      </c>
      <c r="M300" s="4">
        <v>3</v>
      </c>
      <c r="N300" s="4" t="s">
        <v>3</v>
      </c>
      <c r="O300" s="4">
        <v>2</v>
      </c>
      <c r="P300" s="4"/>
      <c r="Q300" s="4"/>
      <c r="R300" s="4"/>
      <c r="S300" s="4"/>
      <c r="T300" s="4"/>
      <c r="U300" s="4"/>
      <c r="V300" s="4"/>
      <c r="W300" s="4"/>
    </row>
    <row r="302" spans="1:206" x14ac:dyDescent="0.2">
      <c r="A302" s="2">
        <v>51</v>
      </c>
      <c r="B302" s="2">
        <f>B20</f>
        <v>1</v>
      </c>
      <c r="C302" s="2">
        <f>A20</f>
        <v>3</v>
      </c>
      <c r="D302" s="2">
        <f>ROW(A20)</f>
        <v>20</v>
      </c>
      <c r="E302" s="2"/>
      <c r="F302" s="2" t="str">
        <f>IF(F20&lt;&gt;"",F20,"")</f>
        <v>Новая локальная смета</v>
      </c>
      <c r="G302" s="2" t="str">
        <f>IF(G20&lt;&gt;"",G20,"")</f>
        <v>Новая локальная смета</v>
      </c>
      <c r="H302" s="2">
        <v>0</v>
      </c>
      <c r="I302" s="2"/>
      <c r="J302" s="2"/>
      <c r="K302" s="2"/>
      <c r="L302" s="2"/>
      <c r="M302" s="2"/>
      <c r="N302" s="2"/>
      <c r="O302" s="2">
        <f t="shared" ref="O302:T302" si="269">ROUND(O183+O235+O272+AB302,2)</f>
        <v>600427.43000000005</v>
      </c>
      <c r="P302" s="2">
        <f t="shared" si="269"/>
        <v>401321.06</v>
      </c>
      <c r="Q302" s="2">
        <f t="shared" si="269"/>
        <v>11489.84</v>
      </c>
      <c r="R302" s="2">
        <f t="shared" si="269"/>
        <v>4308.3</v>
      </c>
      <c r="S302" s="2">
        <f t="shared" si="269"/>
        <v>187616.53</v>
      </c>
      <c r="T302" s="2">
        <f t="shared" si="269"/>
        <v>0</v>
      </c>
      <c r="U302" s="2">
        <f>U183+U235+U272+AH302</f>
        <v>609.03861865499994</v>
      </c>
      <c r="V302" s="2">
        <f>V183+V235+V272+AI302</f>
        <v>10.676120767499999</v>
      </c>
      <c r="W302" s="2">
        <f>ROUND(W183+W235+W272+AJ302,2)</f>
        <v>0</v>
      </c>
      <c r="X302" s="2">
        <f>ROUND(X183+X235+X272+AK302,2)</f>
        <v>172849.97</v>
      </c>
      <c r="Y302" s="2">
        <f>ROUND(Y183+Y235+Y272+AL302,2)</f>
        <v>107035.08</v>
      </c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>
        <f t="shared" ref="AO302:BD302" si="270">ROUND(AO183+AO235+AO272+BX302,2)</f>
        <v>0</v>
      </c>
      <c r="AP302" s="2">
        <f t="shared" si="270"/>
        <v>0</v>
      </c>
      <c r="AQ302" s="2">
        <f t="shared" si="270"/>
        <v>0</v>
      </c>
      <c r="AR302" s="2">
        <f t="shared" si="270"/>
        <v>883137.35</v>
      </c>
      <c r="AS302" s="2">
        <f t="shared" si="270"/>
        <v>571502.42000000004</v>
      </c>
      <c r="AT302" s="2">
        <f t="shared" si="270"/>
        <v>311634.93</v>
      </c>
      <c r="AU302" s="2">
        <f t="shared" si="270"/>
        <v>0</v>
      </c>
      <c r="AV302" s="2">
        <f t="shared" si="270"/>
        <v>401321.06</v>
      </c>
      <c r="AW302" s="2">
        <f t="shared" si="270"/>
        <v>401321.06</v>
      </c>
      <c r="AX302" s="2">
        <f t="shared" si="270"/>
        <v>0</v>
      </c>
      <c r="AY302" s="2">
        <f t="shared" si="270"/>
        <v>401321.06</v>
      </c>
      <c r="AZ302" s="2">
        <f t="shared" si="270"/>
        <v>0</v>
      </c>
      <c r="BA302" s="2">
        <f t="shared" si="270"/>
        <v>0</v>
      </c>
      <c r="BB302" s="2">
        <f t="shared" si="270"/>
        <v>0</v>
      </c>
      <c r="BC302" s="2">
        <f t="shared" si="270"/>
        <v>0</v>
      </c>
      <c r="BD302" s="2">
        <f t="shared" si="270"/>
        <v>2824.87</v>
      </c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3"/>
      <c r="DH302" s="3"/>
      <c r="DI302" s="3"/>
      <c r="DJ302" s="3"/>
      <c r="DK302" s="3"/>
      <c r="DL302" s="3"/>
      <c r="DM302" s="3"/>
      <c r="DN302" s="3"/>
      <c r="DO302" s="3"/>
      <c r="DP302" s="3"/>
      <c r="DQ302" s="3"/>
      <c r="DR302" s="3"/>
      <c r="DS302" s="3"/>
      <c r="DT302" s="3"/>
      <c r="DU302" s="3"/>
      <c r="DV302" s="3"/>
      <c r="DW302" s="3"/>
      <c r="DX302" s="3"/>
      <c r="DY302" s="3"/>
      <c r="DZ302" s="3"/>
      <c r="EA302" s="3"/>
      <c r="EB302" s="3"/>
      <c r="EC302" s="3"/>
      <c r="ED302" s="3"/>
      <c r="EE302" s="3"/>
      <c r="EF302" s="3"/>
      <c r="EG302" s="3"/>
      <c r="EH302" s="3"/>
      <c r="EI302" s="3"/>
      <c r="EJ302" s="3"/>
      <c r="EK302" s="3"/>
      <c r="EL302" s="3"/>
      <c r="EM302" s="3"/>
      <c r="EN302" s="3"/>
      <c r="EO302" s="3"/>
      <c r="EP302" s="3"/>
      <c r="EQ302" s="3"/>
      <c r="ER302" s="3"/>
      <c r="ES302" s="3"/>
      <c r="ET302" s="3"/>
      <c r="EU302" s="3"/>
      <c r="EV302" s="3"/>
      <c r="EW302" s="3"/>
      <c r="EX302" s="3"/>
      <c r="EY302" s="3"/>
      <c r="EZ302" s="3"/>
      <c r="FA302" s="3"/>
      <c r="FB302" s="3"/>
      <c r="FC302" s="3"/>
      <c r="FD302" s="3"/>
      <c r="FE302" s="3"/>
      <c r="FF302" s="3"/>
      <c r="FG302" s="3"/>
      <c r="FH302" s="3"/>
      <c r="FI302" s="3"/>
      <c r="FJ302" s="3"/>
      <c r="FK302" s="3"/>
      <c r="FL302" s="3"/>
      <c r="FM302" s="3"/>
      <c r="FN302" s="3"/>
      <c r="FO302" s="3"/>
      <c r="FP302" s="3"/>
      <c r="FQ302" s="3"/>
      <c r="FR302" s="3"/>
      <c r="FS302" s="3"/>
      <c r="FT302" s="3"/>
      <c r="FU302" s="3"/>
      <c r="FV302" s="3"/>
      <c r="FW302" s="3"/>
      <c r="FX302" s="3"/>
      <c r="FY302" s="3"/>
      <c r="FZ302" s="3"/>
      <c r="GA302" s="3"/>
      <c r="GB302" s="3"/>
      <c r="GC302" s="3"/>
      <c r="GD302" s="3"/>
      <c r="GE302" s="3"/>
      <c r="GF302" s="3"/>
      <c r="GG302" s="3"/>
      <c r="GH302" s="3"/>
      <c r="GI302" s="3"/>
      <c r="GJ302" s="3"/>
      <c r="GK302" s="3"/>
      <c r="GL302" s="3"/>
      <c r="GM302" s="3"/>
      <c r="GN302" s="3"/>
      <c r="GO302" s="3"/>
      <c r="GP302" s="3"/>
      <c r="GQ302" s="3"/>
      <c r="GR302" s="3"/>
      <c r="GS302" s="3"/>
      <c r="GT302" s="3"/>
      <c r="GU302" s="3"/>
      <c r="GV302" s="3"/>
      <c r="GW302" s="3"/>
      <c r="GX302" s="3">
        <v>0</v>
      </c>
    </row>
    <row r="304" spans="1:206" x14ac:dyDescent="0.2">
      <c r="A304" s="4">
        <v>50</v>
      </c>
      <c r="B304" s="4">
        <v>0</v>
      </c>
      <c r="C304" s="4">
        <v>0</v>
      </c>
      <c r="D304" s="4">
        <v>1</v>
      </c>
      <c r="E304" s="4">
        <v>201</v>
      </c>
      <c r="F304" s="4">
        <f>ROUND(Source!O302,O304)</f>
        <v>600427.43000000005</v>
      </c>
      <c r="G304" s="4" t="s">
        <v>625</v>
      </c>
      <c r="H304" s="4" t="s">
        <v>626</v>
      </c>
      <c r="I304" s="4"/>
      <c r="J304" s="4"/>
      <c r="K304" s="4">
        <v>201</v>
      </c>
      <c r="L304" s="4">
        <v>1</v>
      </c>
      <c r="M304" s="4">
        <v>3</v>
      </c>
      <c r="N304" s="4" t="s">
        <v>3</v>
      </c>
      <c r="O304" s="4">
        <v>2</v>
      </c>
      <c r="P304" s="4"/>
      <c r="Q304" s="4"/>
      <c r="R304" s="4"/>
      <c r="S304" s="4"/>
      <c r="T304" s="4"/>
      <c r="U304" s="4"/>
      <c r="V304" s="4"/>
      <c r="W304" s="4"/>
    </row>
    <row r="305" spans="1:23" x14ac:dyDescent="0.2">
      <c r="A305" s="4">
        <v>50</v>
      </c>
      <c r="B305" s="4">
        <v>0</v>
      </c>
      <c r="C305" s="4">
        <v>0</v>
      </c>
      <c r="D305" s="4">
        <v>1</v>
      </c>
      <c r="E305" s="4">
        <v>202</v>
      </c>
      <c r="F305" s="4">
        <f>ROUND(Source!P302,O305)</f>
        <v>401321.06</v>
      </c>
      <c r="G305" s="4" t="s">
        <v>627</v>
      </c>
      <c r="H305" s="4" t="s">
        <v>628</v>
      </c>
      <c r="I305" s="4"/>
      <c r="J305" s="4"/>
      <c r="K305" s="4">
        <v>202</v>
      </c>
      <c r="L305" s="4">
        <v>2</v>
      </c>
      <c r="M305" s="4">
        <v>3</v>
      </c>
      <c r="N305" s="4" t="s">
        <v>3</v>
      </c>
      <c r="O305" s="4">
        <v>2</v>
      </c>
      <c r="P305" s="4"/>
      <c r="Q305" s="4"/>
      <c r="R305" s="4"/>
      <c r="S305" s="4"/>
      <c r="T305" s="4"/>
      <c r="U305" s="4"/>
      <c r="V305" s="4"/>
      <c r="W305" s="4"/>
    </row>
    <row r="306" spans="1:23" x14ac:dyDescent="0.2">
      <c r="A306" s="4">
        <v>50</v>
      </c>
      <c r="B306" s="4">
        <v>0</v>
      </c>
      <c r="C306" s="4">
        <v>0</v>
      </c>
      <c r="D306" s="4">
        <v>1</v>
      </c>
      <c r="E306" s="4">
        <v>222</v>
      </c>
      <c r="F306" s="4">
        <f>ROUND(Source!AO302,O306)</f>
        <v>0</v>
      </c>
      <c r="G306" s="4" t="s">
        <v>629</v>
      </c>
      <c r="H306" s="4" t="s">
        <v>630</v>
      </c>
      <c r="I306" s="4"/>
      <c r="J306" s="4"/>
      <c r="K306" s="4">
        <v>222</v>
      </c>
      <c r="L306" s="4">
        <v>3</v>
      </c>
      <c r="M306" s="4">
        <v>3</v>
      </c>
      <c r="N306" s="4" t="s">
        <v>3</v>
      </c>
      <c r="O306" s="4">
        <v>2</v>
      </c>
      <c r="P306" s="4"/>
      <c r="Q306" s="4"/>
      <c r="R306" s="4"/>
      <c r="S306" s="4"/>
      <c r="T306" s="4"/>
      <c r="U306" s="4"/>
      <c r="V306" s="4"/>
      <c r="W306" s="4"/>
    </row>
    <row r="307" spans="1:23" x14ac:dyDescent="0.2">
      <c r="A307" s="4">
        <v>50</v>
      </c>
      <c r="B307" s="4">
        <v>0</v>
      </c>
      <c r="C307" s="4">
        <v>0</v>
      </c>
      <c r="D307" s="4">
        <v>1</v>
      </c>
      <c r="E307" s="4">
        <v>225</v>
      </c>
      <c r="F307" s="4">
        <f>ROUND(Source!AV302,O307)</f>
        <v>401321.06</v>
      </c>
      <c r="G307" s="4" t="s">
        <v>631</v>
      </c>
      <c r="H307" s="4" t="s">
        <v>632</v>
      </c>
      <c r="I307" s="4"/>
      <c r="J307" s="4"/>
      <c r="K307" s="4">
        <v>225</v>
      </c>
      <c r="L307" s="4">
        <v>4</v>
      </c>
      <c r="M307" s="4">
        <v>3</v>
      </c>
      <c r="N307" s="4" t="s">
        <v>3</v>
      </c>
      <c r="O307" s="4">
        <v>2</v>
      </c>
      <c r="P307" s="4"/>
      <c r="Q307" s="4"/>
      <c r="R307" s="4"/>
      <c r="S307" s="4"/>
      <c r="T307" s="4"/>
      <c r="U307" s="4"/>
      <c r="V307" s="4"/>
      <c r="W307" s="4"/>
    </row>
    <row r="308" spans="1:23" x14ac:dyDescent="0.2">
      <c r="A308" s="4">
        <v>50</v>
      </c>
      <c r="B308" s="4">
        <v>0</v>
      </c>
      <c r="C308" s="4">
        <v>0</v>
      </c>
      <c r="D308" s="4">
        <v>1</v>
      </c>
      <c r="E308" s="4">
        <v>226</v>
      </c>
      <c r="F308" s="4">
        <f>ROUND(Source!AW302,O308)</f>
        <v>401321.06</v>
      </c>
      <c r="G308" s="4" t="s">
        <v>633</v>
      </c>
      <c r="H308" s="4" t="s">
        <v>634</v>
      </c>
      <c r="I308" s="4"/>
      <c r="J308" s="4"/>
      <c r="K308" s="4">
        <v>226</v>
      </c>
      <c r="L308" s="4">
        <v>5</v>
      </c>
      <c r="M308" s="4">
        <v>3</v>
      </c>
      <c r="N308" s="4" t="s">
        <v>3</v>
      </c>
      <c r="O308" s="4">
        <v>2</v>
      </c>
      <c r="P308" s="4"/>
      <c r="Q308" s="4"/>
      <c r="R308" s="4"/>
      <c r="S308" s="4"/>
      <c r="T308" s="4"/>
      <c r="U308" s="4"/>
      <c r="V308" s="4"/>
      <c r="W308" s="4"/>
    </row>
    <row r="309" spans="1:23" x14ac:dyDescent="0.2">
      <c r="A309" s="4">
        <v>50</v>
      </c>
      <c r="B309" s="4">
        <v>0</v>
      </c>
      <c r="C309" s="4">
        <v>0</v>
      </c>
      <c r="D309" s="4">
        <v>1</v>
      </c>
      <c r="E309" s="4">
        <v>227</v>
      </c>
      <c r="F309" s="4">
        <f>ROUND(Source!AX302,O309)</f>
        <v>0</v>
      </c>
      <c r="G309" s="4" t="s">
        <v>635</v>
      </c>
      <c r="H309" s="4" t="s">
        <v>636</v>
      </c>
      <c r="I309" s="4"/>
      <c r="J309" s="4"/>
      <c r="K309" s="4">
        <v>227</v>
      </c>
      <c r="L309" s="4">
        <v>6</v>
      </c>
      <c r="M309" s="4">
        <v>3</v>
      </c>
      <c r="N309" s="4" t="s">
        <v>3</v>
      </c>
      <c r="O309" s="4">
        <v>2</v>
      </c>
      <c r="P309" s="4"/>
      <c r="Q309" s="4"/>
      <c r="R309" s="4"/>
      <c r="S309" s="4"/>
      <c r="T309" s="4"/>
      <c r="U309" s="4"/>
      <c r="V309" s="4"/>
      <c r="W309" s="4"/>
    </row>
    <row r="310" spans="1:23" x14ac:dyDescent="0.2">
      <c r="A310" s="4">
        <v>50</v>
      </c>
      <c r="B310" s="4">
        <v>0</v>
      </c>
      <c r="C310" s="4">
        <v>0</v>
      </c>
      <c r="D310" s="4">
        <v>1</v>
      </c>
      <c r="E310" s="4">
        <v>228</v>
      </c>
      <c r="F310" s="4">
        <f>ROUND(Source!AY302,O310)</f>
        <v>401321.06</v>
      </c>
      <c r="G310" s="4" t="s">
        <v>637</v>
      </c>
      <c r="H310" s="4" t="s">
        <v>638</v>
      </c>
      <c r="I310" s="4"/>
      <c r="J310" s="4"/>
      <c r="K310" s="4">
        <v>228</v>
      </c>
      <c r="L310" s="4">
        <v>7</v>
      </c>
      <c r="M310" s="4">
        <v>3</v>
      </c>
      <c r="N310" s="4" t="s">
        <v>3</v>
      </c>
      <c r="O310" s="4">
        <v>2</v>
      </c>
      <c r="P310" s="4"/>
      <c r="Q310" s="4"/>
      <c r="R310" s="4"/>
      <c r="S310" s="4"/>
      <c r="T310" s="4"/>
      <c r="U310" s="4"/>
      <c r="V310" s="4"/>
      <c r="W310" s="4"/>
    </row>
    <row r="311" spans="1:23" x14ac:dyDescent="0.2">
      <c r="A311" s="4">
        <v>50</v>
      </c>
      <c r="B311" s="4">
        <v>0</v>
      </c>
      <c r="C311" s="4">
        <v>0</v>
      </c>
      <c r="D311" s="4">
        <v>1</v>
      </c>
      <c r="E311" s="4">
        <v>216</v>
      </c>
      <c r="F311" s="4">
        <f>ROUND(Source!AP302,O311)</f>
        <v>0</v>
      </c>
      <c r="G311" s="4" t="s">
        <v>639</v>
      </c>
      <c r="H311" s="4" t="s">
        <v>640</v>
      </c>
      <c r="I311" s="4"/>
      <c r="J311" s="4"/>
      <c r="K311" s="4">
        <v>216</v>
      </c>
      <c r="L311" s="4">
        <v>8</v>
      </c>
      <c r="M311" s="4">
        <v>3</v>
      </c>
      <c r="N311" s="4" t="s">
        <v>3</v>
      </c>
      <c r="O311" s="4">
        <v>2</v>
      </c>
      <c r="P311" s="4"/>
      <c r="Q311" s="4"/>
      <c r="R311" s="4"/>
      <c r="S311" s="4"/>
      <c r="T311" s="4"/>
      <c r="U311" s="4"/>
      <c r="V311" s="4"/>
      <c r="W311" s="4"/>
    </row>
    <row r="312" spans="1:23" x14ac:dyDescent="0.2">
      <c r="A312" s="4">
        <v>50</v>
      </c>
      <c r="B312" s="4">
        <v>0</v>
      </c>
      <c r="C312" s="4">
        <v>0</v>
      </c>
      <c r="D312" s="4">
        <v>1</v>
      </c>
      <c r="E312" s="4">
        <v>223</v>
      </c>
      <c r="F312" s="4">
        <f>ROUND(Source!AQ302,O312)</f>
        <v>0</v>
      </c>
      <c r="G312" s="4" t="s">
        <v>641</v>
      </c>
      <c r="H312" s="4" t="s">
        <v>642</v>
      </c>
      <c r="I312" s="4"/>
      <c r="J312" s="4"/>
      <c r="K312" s="4">
        <v>223</v>
      </c>
      <c r="L312" s="4">
        <v>9</v>
      </c>
      <c r="M312" s="4">
        <v>3</v>
      </c>
      <c r="N312" s="4" t="s">
        <v>3</v>
      </c>
      <c r="O312" s="4">
        <v>2</v>
      </c>
      <c r="P312" s="4"/>
      <c r="Q312" s="4"/>
      <c r="R312" s="4"/>
      <c r="S312" s="4"/>
      <c r="T312" s="4"/>
      <c r="U312" s="4"/>
      <c r="V312" s="4"/>
      <c r="W312" s="4"/>
    </row>
    <row r="313" spans="1:23" x14ac:dyDescent="0.2">
      <c r="A313" s="4">
        <v>50</v>
      </c>
      <c r="B313" s="4">
        <v>0</v>
      </c>
      <c r="C313" s="4">
        <v>0</v>
      </c>
      <c r="D313" s="4">
        <v>1</v>
      </c>
      <c r="E313" s="4">
        <v>229</v>
      </c>
      <c r="F313" s="4">
        <f>ROUND(Source!AZ302,O313)</f>
        <v>0</v>
      </c>
      <c r="G313" s="4" t="s">
        <v>643</v>
      </c>
      <c r="H313" s="4" t="s">
        <v>644</v>
      </c>
      <c r="I313" s="4"/>
      <c r="J313" s="4"/>
      <c r="K313" s="4">
        <v>229</v>
      </c>
      <c r="L313" s="4">
        <v>10</v>
      </c>
      <c r="M313" s="4">
        <v>3</v>
      </c>
      <c r="N313" s="4" t="s">
        <v>3</v>
      </c>
      <c r="O313" s="4">
        <v>2</v>
      </c>
      <c r="P313" s="4"/>
      <c r="Q313" s="4"/>
      <c r="R313" s="4"/>
      <c r="S313" s="4"/>
      <c r="T313" s="4"/>
      <c r="U313" s="4"/>
      <c r="V313" s="4"/>
      <c r="W313" s="4"/>
    </row>
    <row r="314" spans="1:23" x14ac:dyDescent="0.2">
      <c r="A314" s="4">
        <v>50</v>
      </c>
      <c r="B314" s="4">
        <v>0</v>
      </c>
      <c r="C314" s="4">
        <v>0</v>
      </c>
      <c r="D314" s="4">
        <v>1</v>
      </c>
      <c r="E314" s="4">
        <v>203</v>
      </c>
      <c r="F314" s="4">
        <f>ROUND(Source!Q302,O314)</f>
        <v>11489.84</v>
      </c>
      <c r="G314" s="4" t="s">
        <v>645</v>
      </c>
      <c r="H314" s="4" t="s">
        <v>646</v>
      </c>
      <c r="I314" s="4"/>
      <c r="J314" s="4"/>
      <c r="K314" s="4">
        <v>203</v>
      </c>
      <c r="L314" s="4">
        <v>11</v>
      </c>
      <c r="M314" s="4">
        <v>3</v>
      </c>
      <c r="N314" s="4" t="s">
        <v>3</v>
      </c>
      <c r="O314" s="4">
        <v>2</v>
      </c>
      <c r="P314" s="4"/>
      <c r="Q314" s="4"/>
      <c r="R314" s="4"/>
      <c r="S314" s="4"/>
      <c r="T314" s="4"/>
      <c r="U314" s="4"/>
      <c r="V314" s="4"/>
      <c r="W314" s="4"/>
    </row>
    <row r="315" spans="1:23" x14ac:dyDescent="0.2">
      <c r="A315" s="4">
        <v>50</v>
      </c>
      <c r="B315" s="4">
        <v>0</v>
      </c>
      <c r="C315" s="4">
        <v>0</v>
      </c>
      <c r="D315" s="4">
        <v>1</v>
      </c>
      <c r="E315" s="4">
        <v>231</v>
      </c>
      <c r="F315" s="4">
        <f>ROUND(Source!BB302,O315)</f>
        <v>0</v>
      </c>
      <c r="G315" s="4" t="s">
        <v>647</v>
      </c>
      <c r="H315" s="4" t="s">
        <v>648</v>
      </c>
      <c r="I315" s="4"/>
      <c r="J315" s="4"/>
      <c r="K315" s="4">
        <v>231</v>
      </c>
      <c r="L315" s="4">
        <v>12</v>
      </c>
      <c r="M315" s="4">
        <v>3</v>
      </c>
      <c r="N315" s="4" t="s">
        <v>3</v>
      </c>
      <c r="O315" s="4">
        <v>2</v>
      </c>
      <c r="P315" s="4"/>
      <c r="Q315" s="4"/>
      <c r="R315" s="4"/>
      <c r="S315" s="4"/>
      <c r="T315" s="4"/>
      <c r="U315" s="4"/>
      <c r="V315" s="4"/>
      <c r="W315" s="4"/>
    </row>
    <row r="316" spans="1:23" x14ac:dyDescent="0.2">
      <c r="A316" s="4">
        <v>50</v>
      </c>
      <c r="B316" s="4">
        <v>0</v>
      </c>
      <c r="C316" s="4">
        <v>0</v>
      </c>
      <c r="D316" s="4">
        <v>1</v>
      </c>
      <c r="E316" s="4">
        <v>204</v>
      </c>
      <c r="F316" s="4">
        <f>ROUND(Source!R302,O316)</f>
        <v>4308.3</v>
      </c>
      <c r="G316" s="4" t="s">
        <v>649</v>
      </c>
      <c r="H316" s="4" t="s">
        <v>650</v>
      </c>
      <c r="I316" s="4"/>
      <c r="J316" s="4"/>
      <c r="K316" s="4">
        <v>204</v>
      </c>
      <c r="L316" s="4">
        <v>13</v>
      </c>
      <c r="M316" s="4">
        <v>3</v>
      </c>
      <c r="N316" s="4" t="s">
        <v>3</v>
      </c>
      <c r="O316" s="4">
        <v>2</v>
      </c>
      <c r="P316" s="4"/>
      <c r="Q316" s="4"/>
      <c r="R316" s="4"/>
      <c r="S316" s="4"/>
      <c r="T316" s="4"/>
      <c r="U316" s="4"/>
      <c r="V316" s="4"/>
      <c r="W316" s="4"/>
    </row>
    <row r="317" spans="1:23" x14ac:dyDescent="0.2">
      <c r="A317" s="4">
        <v>50</v>
      </c>
      <c r="B317" s="4">
        <v>0</v>
      </c>
      <c r="C317" s="4">
        <v>0</v>
      </c>
      <c r="D317" s="4">
        <v>1</v>
      </c>
      <c r="E317" s="4">
        <v>205</v>
      </c>
      <c r="F317" s="4">
        <f>ROUND(Source!S302,O317)</f>
        <v>187616.53</v>
      </c>
      <c r="G317" s="4" t="s">
        <v>651</v>
      </c>
      <c r="H317" s="4" t="s">
        <v>652</v>
      </c>
      <c r="I317" s="4"/>
      <c r="J317" s="4"/>
      <c r="K317" s="4">
        <v>205</v>
      </c>
      <c r="L317" s="4">
        <v>14</v>
      </c>
      <c r="M317" s="4">
        <v>3</v>
      </c>
      <c r="N317" s="4" t="s">
        <v>3</v>
      </c>
      <c r="O317" s="4">
        <v>2</v>
      </c>
      <c r="P317" s="4"/>
      <c r="Q317" s="4"/>
      <c r="R317" s="4"/>
      <c r="S317" s="4"/>
      <c r="T317" s="4"/>
      <c r="U317" s="4"/>
      <c r="V317" s="4"/>
      <c r="W317" s="4"/>
    </row>
    <row r="318" spans="1:23" x14ac:dyDescent="0.2">
      <c r="A318" s="4">
        <v>50</v>
      </c>
      <c r="B318" s="4">
        <v>0</v>
      </c>
      <c r="C318" s="4">
        <v>0</v>
      </c>
      <c r="D318" s="4">
        <v>1</v>
      </c>
      <c r="E318" s="4">
        <v>232</v>
      </c>
      <c r="F318" s="4">
        <f>ROUND(Source!BC302,O318)</f>
        <v>0</v>
      </c>
      <c r="G318" s="4" t="s">
        <v>653</v>
      </c>
      <c r="H318" s="4" t="s">
        <v>654</v>
      </c>
      <c r="I318" s="4"/>
      <c r="J318" s="4"/>
      <c r="K318" s="4">
        <v>232</v>
      </c>
      <c r="L318" s="4">
        <v>15</v>
      </c>
      <c r="M318" s="4">
        <v>3</v>
      </c>
      <c r="N318" s="4" t="s">
        <v>3</v>
      </c>
      <c r="O318" s="4">
        <v>2</v>
      </c>
      <c r="P318" s="4"/>
      <c r="Q318" s="4"/>
      <c r="R318" s="4"/>
      <c r="S318" s="4"/>
      <c r="T318" s="4"/>
      <c r="U318" s="4"/>
      <c r="V318" s="4"/>
      <c r="W318" s="4"/>
    </row>
    <row r="319" spans="1:23" x14ac:dyDescent="0.2">
      <c r="A319" s="4">
        <v>50</v>
      </c>
      <c r="B319" s="4">
        <v>0</v>
      </c>
      <c r="C319" s="4">
        <v>0</v>
      </c>
      <c r="D319" s="4">
        <v>1</v>
      </c>
      <c r="E319" s="4">
        <v>214</v>
      </c>
      <c r="F319" s="4">
        <f>ROUND(Source!AS302,O319)</f>
        <v>571502.42000000004</v>
      </c>
      <c r="G319" s="4" t="s">
        <v>655</v>
      </c>
      <c r="H319" s="4" t="s">
        <v>656</v>
      </c>
      <c r="I319" s="4"/>
      <c r="J319" s="4"/>
      <c r="K319" s="4">
        <v>214</v>
      </c>
      <c r="L319" s="4">
        <v>16</v>
      </c>
      <c r="M319" s="4">
        <v>3</v>
      </c>
      <c r="N319" s="4" t="s">
        <v>3</v>
      </c>
      <c r="O319" s="4">
        <v>2</v>
      </c>
      <c r="P319" s="4"/>
      <c r="Q319" s="4"/>
      <c r="R319" s="4"/>
      <c r="S319" s="4"/>
      <c r="T319" s="4"/>
      <c r="U319" s="4"/>
      <c r="V319" s="4"/>
      <c r="W319" s="4"/>
    </row>
    <row r="320" spans="1:23" x14ac:dyDescent="0.2">
      <c r="A320" s="4">
        <v>50</v>
      </c>
      <c r="B320" s="4">
        <v>0</v>
      </c>
      <c r="C320" s="4">
        <v>0</v>
      </c>
      <c r="D320" s="4">
        <v>1</v>
      </c>
      <c r="E320" s="4">
        <v>215</v>
      </c>
      <c r="F320" s="4">
        <f>ROUND(Source!AT302,O320)</f>
        <v>311634.93</v>
      </c>
      <c r="G320" s="4" t="s">
        <v>657</v>
      </c>
      <c r="H320" s="4" t="s">
        <v>658</v>
      </c>
      <c r="I320" s="4"/>
      <c r="J320" s="4"/>
      <c r="K320" s="4">
        <v>215</v>
      </c>
      <c r="L320" s="4">
        <v>17</v>
      </c>
      <c r="M320" s="4">
        <v>3</v>
      </c>
      <c r="N320" s="4" t="s">
        <v>3</v>
      </c>
      <c r="O320" s="4">
        <v>2</v>
      </c>
      <c r="P320" s="4"/>
      <c r="Q320" s="4"/>
      <c r="R320" s="4"/>
      <c r="S320" s="4"/>
      <c r="T320" s="4"/>
      <c r="U320" s="4"/>
      <c r="V320" s="4"/>
      <c r="W320" s="4"/>
    </row>
    <row r="321" spans="1:206" x14ac:dyDescent="0.2">
      <c r="A321" s="4">
        <v>50</v>
      </c>
      <c r="B321" s="4">
        <v>0</v>
      </c>
      <c r="C321" s="4">
        <v>0</v>
      </c>
      <c r="D321" s="4">
        <v>1</v>
      </c>
      <c r="E321" s="4">
        <v>217</v>
      </c>
      <c r="F321" s="4">
        <f>ROUND(Source!AU302,O321)</f>
        <v>0</v>
      </c>
      <c r="G321" s="4" t="s">
        <v>659</v>
      </c>
      <c r="H321" s="4" t="s">
        <v>660</v>
      </c>
      <c r="I321" s="4"/>
      <c r="J321" s="4"/>
      <c r="K321" s="4">
        <v>217</v>
      </c>
      <c r="L321" s="4">
        <v>18</v>
      </c>
      <c r="M321" s="4">
        <v>3</v>
      </c>
      <c r="N321" s="4" t="s">
        <v>3</v>
      </c>
      <c r="O321" s="4">
        <v>2</v>
      </c>
      <c r="P321" s="4"/>
      <c r="Q321" s="4"/>
      <c r="R321" s="4"/>
      <c r="S321" s="4"/>
      <c r="T321" s="4"/>
      <c r="U321" s="4"/>
      <c r="V321" s="4"/>
      <c r="W321" s="4"/>
    </row>
    <row r="322" spans="1:206" x14ac:dyDescent="0.2">
      <c r="A322" s="4">
        <v>50</v>
      </c>
      <c r="B322" s="4">
        <v>0</v>
      </c>
      <c r="C322" s="4">
        <v>0</v>
      </c>
      <c r="D322" s="4">
        <v>1</v>
      </c>
      <c r="E322" s="4">
        <v>230</v>
      </c>
      <c r="F322" s="4">
        <f>ROUND(Source!BA302,O322)</f>
        <v>0</v>
      </c>
      <c r="G322" s="4" t="s">
        <v>661</v>
      </c>
      <c r="H322" s="4" t="s">
        <v>662</v>
      </c>
      <c r="I322" s="4"/>
      <c r="J322" s="4"/>
      <c r="K322" s="4">
        <v>230</v>
      </c>
      <c r="L322" s="4">
        <v>19</v>
      </c>
      <c r="M322" s="4">
        <v>3</v>
      </c>
      <c r="N322" s="4" t="s">
        <v>3</v>
      </c>
      <c r="O322" s="4">
        <v>2</v>
      </c>
      <c r="P322" s="4"/>
      <c r="Q322" s="4"/>
      <c r="R322" s="4"/>
      <c r="S322" s="4"/>
      <c r="T322" s="4"/>
      <c r="U322" s="4"/>
      <c r="V322" s="4"/>
      <c r="W322" s="4"/>
    </row>
    <row r="323" spans="1:206" x14ac:dyDescent="0.2">
      <c r="A323" s="4">
        <v>50</v>
      </c>
      <c r="B323" s="4">
        <v>0</v>
      </c>
      <c r="C323" s="4">
        <v>0</v>
      </c>
      <c r="D323" s="4">
        <v>1</v>
      </c>
      <c r="E323" s="4">
        <v>206</v>
      </c>
      <c r="F323" s="4">
        <f>ROUND(Source!T302,O323)</f>
        <v>0</v>
      </c>
      <c r="G323" s="4" t="s">
        <v>663</v>
      </c>
      <c r="H323" s="4" t="s">
        <v>664</v>
      </c>
      <c r="I323" s="4"/>
      <c r="J323" s="4"/>
      <c r="K323" s="4">
        <v>206</v>
      </c>
      <c r="L323" s="4">
        <v>20</v>
      </c>
      <c r="M323" s="4">
        <v>3</v>
      </c>
      <c r="N323" s="4" t="s">
        <v>3</v>
      </c>
      <c r="O323" s="4">
        <v>2</v>
      </c>
      <c r="P323" s="4"/>
      <c r="Q323" s="4"/>
      <c r="R323" s="4"/>
      <c r="S323" s="4"/>
      <c r="T323" s="4"/>
      <c r="U323" s="4"/>
      <c r="V323" s="4"/>
      <c r="W323" s="4"/>
    </row>
    <row r="324" spans="1:206" x14ac:dyDescent="0.2">
      <c r="A324" s="4">
        <v>50</v>
      </c>
      <c r="B324" s="4">
        <v>0</v>
      </c>
      <c r="C324" s="4">
        <v>0</v>
      </c>
      <c r="D324" s="4">
        <v>1</v>
      </c>
      <c r="E324" s="4">
        <v>207</v>
      </c>
      <c r="F324" s="4">
        <f>Source!U302</f>
        <v>609.03861865499994</v>
      </c>
      <c r="G324" s="4" t="s">
        <v>665</v>
      </c>
      <c r="H324" s="4" t="s">
        <v>666</v>
      </c>
      <c r="I324" s="4"/>
      <c r="J324" s="4"/>
      <c r="K324" s="4">
        <v>207</v>
      </c>
      <c r="L324" s="4">
        <v>21</v>
      </c>
      <c r="M324" s="4">
        <v>3</v>
      </c>
      <c r="N324" s="4" t="s">
        <v>3</v>
      </c>
      <c r="O324" s="4">
        <v>-1</v>
      </c>
      <c r="P324" s="4"/>
      <c r="Q324" s="4"/>
      <c r="R324" s="4"/>
      <c r="S324" s="4"/>
      <c r="T324" s="4"/>
      <c r="U324" s="4"/>
      <c r="V324" s="4"/>
      <c r="W324" s="4"/>
    </row>
    <row r="325" spans="1:206" x14ac:dyDescent="0.2">
      <c r="A325" s="4">
        <v>50</v>
      </c>
      <c r="B325" s="4">
        <v>0</v>
      </c>
      <c r="C325" s="4">
        <v>0</v>
      </c>
      <c r="D325" s="4">
        <v>1</v>
      </c>
      <c r="E325" s="4">
        <v>208</v>
      </c>
      <c r="F325" s="4">
        <f>Source!V302</f>
        <v>10.676120767499999</v>
      </c>
      <c r="G325" s="4" t="s">
        <v>667</v>
      </c>
      <c r="H325" s="4" t="s">
        <v>668</v>
      </c>
      <c r="I325" s="4"/>
      <c r="J325" s="4"/>
      <c r="K325" s="4">
        <v>208</v>
      </c>
      <c r="L325" s="4">
        <v>22</v>
      </c>
      <c r="M325" s="4">
        <v>3</v>
      </c>
      <c r="N325" s="4" t="s">
        <v>3</v>
      </c>
      <c r="O325" s="4">
        <v>-1</v>
      </c>
      <c r="P325" s="4"/>
      <c r="Q325" s="4"/>
      <c r="R325" s="4"/>
      <c r="S325" s="4"/>
      <c r="T325" s="4"/>
      <c r="U325" s="4"/>
      <c r="V325" s="4"/>
      <c r="W325" s="4"/>
    </row>
    <row r="326" spans="1:206" x14ac:dyDescent="0.2">
      <c r="A326" s="4">
        <v>50</v>
      </c>
      <c r="B326" s="4">
        <v>0</v>
      </c>
      <c r="C326" s="4">
        <v>0</v>
      </c>
      <c r="D326" s="4">
        <v>1</v>
      </c>
      <c r="E326" s="4">
        <v>209</v>
      </c>
      <c r="F326" s="4">
        <f>ROUND(Source!W302,O326)</f>
        <v>0</v>
      </c>
      <c r="G326" s="4" t="s">
        <v>669</v>
      </c>
      <c r="H326" s="4" t="s">
        <v>670</v>
      </c>
      <c r="I326" s="4"/>
      <c r="J326" s="4"/>
      <c r="K326" s="4">
        <v>209</v>
      </c>
      <c r="L326" s="4">
        <v>23</v>
      </c>
      <c r="M326" s="4">
        <v>3</v>
      </c>
      <c r="N326" s="4" t="s">
        <v>3</v>
      </c>
      <c r="O326" s="4">
        <v>2</v>
      </c>
      <c r="P326" s="4"/>
      <c r="Q326" s="4"/>
      <c r="R326" s="4"/>
      <c r="S326" s="4"/>
      <c r="T326" s="4"/>
      <c r="U326" s="4"/>
      <c r="V326" s="4"/>
      <c r="W326" s="4"/>
    </row>
    <row r="327" spans="1:206" x14ac:dyDescent="0.2">
      <c r="A327" s="4">
        <v>50</v>
      </c>
      <c r="B327" s="4">
        <v>0</v>
      </c>
      <c r="C327" s="4">
        <v>0</v>
      </c>
      <c r="D327" s="4">
        <v>1</v>
      </c>
      <c r="E327" s="4">
        <v>233</v>
      </c>
      <c r="F327" s="4">
        <f>ROUND(Source!BD302,O327)</f>
        <v>2824.87</v>
      </c>
      <c r="G327" s="4" t="s">
        <v>671</v>
      </c>
      <c r="H327" s="4" t="s">
        <v>672</v>
      </c>
      <c r="I327" s="4"/>
      <c r="J327" s="4"/>
      <c r="K327" s="4">
        <v>233</v>
      </c>
      <c r="L327" s="4">
        <v>24</v>
      </c>
      <c r="M327" s="4">
        <v>3</v>
      </c>
      <c r="N327" s="4" t="s">
        <v>3</v>
      </c>
      <c r="O327" s="4">
        <v>2</v>
      </c>
      <c r="P327" s="4"/>
      <c r="Q327" s="4"/>
      <c r="R327" s="4"/>
      <c r="S327" s="4"/>
      <c r="T327" s="4"/>
      <c r="U327" s="4"/>
      <c r="V327" s="4"/>
      <c r="W327" s="4"/>
    </row>
    <row r="328" spans="1:206" x14ac:dyDescent="0.2">
      <c r="A328" s="4">
        <v>50</v>
      </c>
      <c r="B328" s="4">
        <v>0</v>
      </c>
      <c r="C328" s="4">
        <v>0</v>
      </c>
      <c r="D328" s="4">
        <v>1</v>
      </c>
      <c r="E328" s="4">
        <v>210</v>
      </c>
      <c r="F328" s="4">
        <f>ROUND(Source!X302,O328)</f>
        <v>172849.97</v>
      </c>
      <c r="G328" s="4" t="s">
        <v>673</v>
      </c>
      <c r="H328" s="4" t="s">
        <v>674</v>
      </c>
      <c r="I328" s="4"/>
      <c r="J328" s="4"/>
      <c r="K328" s="4">
        <v>210</v>
      </c>
      <c r="L328" s="4">
        <v>25</v>
      </c>
      <c r="M328" s="4">
        <v>3</v>
      </c>
      <c r="N328" s="4" t="s">
        <v>3</v>
      </c>
      <c r="O328" s="4">
        <v>2</v>
      </c>
      <c r="P328" s="4"/>
      <c r="Q328" s="4"/>
      <c r="R328" s="4"/>
      <c r="S328" s="4"/>
      <c r="T328" s="4"/>
      <c r="U328" s="4"/>
      <c r="V328" s="4"/>
      <c r="W328" s="4"/>
    </row>
    <row r="329" spans="1:206" x14ac:dyDescent="0.2">
      <c r="A329" s="4">
        <v>50</v>
      </c>
      <c r="B329" s="4">
        <v>0</v>
      </c>
      <c r="C329" s="4">
        <v>0</v>
      </c>
      <c r="D329" s="4">
        <v>1</v>
      </c>
      <c r="E329" s="4">
        <v>211</v>
      </c>
      <c r="F329" s="4">
        <f>ROUND(Source!Y302,O329)</f>
        <v>107035.08</v>
      </c>
      <c r="G329" s="4" t="s">
        <v>675</v>
      </c>
      <c r="H329" s="4" t="s">
        <v>676</v>
      </c>
      <c r="I329" s="4"/>
      <c r="J329" s="4"/>
      <c r="K329" s="4">
        <v>211</v>
      </c>
      <c r="L329" s="4">
        <v>26</v>
      </c>
      <c r="M329" s="4">
        <v>3</v>
      </c>
      <c r="N329" s="4" t="s">
        <v>3</v>
      </c>
      <c r="O329" s="4">
        <v>2</v>
      </c>
      <c r="P329" s="4"/>
      <c r="Q329" s="4"/>
      <c r="R329" s="4"/>
      <c r="S329" s="4"/>
      <c r="T329" s="4"/>
      <c r="U329" s="4"/>
      <c r="V329" s="4"/>
      <c r="W329" s="4"/>
    </row>
    <row r="330" spans="1:206" x14ac:dyDescent="0.2">
      <c r="A330" s="4">
        <v>50</v>
      </c>
      <c r="B330" s="4">
        <v>0</v>
      </c>
      <c r="C330" s="4">
        <v>0</v>
      </c>
      <c r="D330" s="4">
        <v>1</v>
      </c>
      <c r="E330" s="4">
        <v>224</v>
      </c>
      <c r="F330" s="4">
        <f>ROUND(Source!AR302,O330)</f>
        <v>883137.35</v>
      </c>
      <c r="G330" s="4" t="s">
        <v>677</v>
      </c>
      <c r="H330" s="4" t="s">
        <v>678</v>
      </c>
      <c r="I330" s="4"/>
      <c r="J330" s="4"/>
      <c r="K330" s="4">
        <v>224</v>
      </c>
      <c r="L330" s="4">
        <v>27</v>
      </c>
      <c r="M330" s="4">
        <v>3</v>
      </c>
      <c r="N330" s="4" t="s">
        <v>3</v>
      </c>
      <c r="O330" s="4">
        <v>2</v>
      </c>
      <c r="P330" s="4"/>
      <c r="Q330" s="4"/>
      <c r="R330" s="4"/>
      <c r="S330" s="4"/>
      <c r="T330" s="4"/>
      <c r="U330" s="4"/>
      <c r="V330" s="4"/>
      <c r="W330" s="4"/>
    </row>
    <row r="332" spans="1:206" x14ac:dyDescent="0.2">
      <c r="A332" s="2">
        <v>51</v>
      </c>
      <c r="B332" s="2">
        <f>B12</f>
        <v>396</v>
      </c>
      <c r="C332" s="2">
        <f>A12</f>
        <v>1</v>
      </c>
      <c r="D332" s="2">
        <f>ROW(A12)</f>
        <v>12</v>
      </c>
      <c r="E332" s="2"/>
      <c r="F332" s="2" t="str">
        <f>IF(F12&lt;&gt;"",F12,"")</f>
        <v/>
      </c>
      <c r="G332" s="2" t="str">
        <f>IF(G12&lt;&gt;"",G12,"")</f>
        <v>ДС, 115582, г. Москва, Шипиловский проезд, дом 59, к.2, стр.2</v>
      </c>
      <c r="H332" s="2">
        <v>0</v>
      </c>
      <c r="I332" s="2"/>
      <c r="J332" s="2"/>
      <c r="K332" s="2"/>
      <c r="L332" s="2"/>
      <c r="M332" s="2"/>
      <c r="N332" s="2"/>
      <c r="O332" s="2">
        <f t="shared" ref="O332:T332" si="271">ROUND(O302,2)</f>
        <v>600427.43000000005</v>
      </c>
      <c r="P332" s="2">
        <f t="shared" si="271"/>
        <v>401321.06</v>
      </c>
      <c r="Q332" s="2">
        <f t="shared" si="271"/>
        <v>11489.84</v>
      </c>
      <c r="R332" s="2">
        <f t="shared" si="271"/>
        <v>4308.3</v>
      </c>
      <c r="S332" s="2">
        <f t="shared" si="271"/>
        <v>187616.53</v>
      </c>
      <c r="T332" s="2">
        <f t="shared" si="271"/>
        <v>0</v>
      </c>
      <c r="U332" s="2">
        <f>U302</f>
        <v>609.03861865499994</v>
      </c>
      <c r="V332" s="2">
        <f>V302</f>
        <v>10.676120767499999</v>
      </c>
      <c r="W332" s="2">
        <f>ROUND(W302,2)</f>
        <v>0</v>
      </c>
      <c r="X332" s="2">
        <f>ROUND(X302,2)</f>
        <v>172849.97</v>
      </c>
      <c r="Y332" s="2">
        <f>ROUND(Y302,2)</f>
        <v>107035.08</v>
      </c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>
        <f t="shared" ref="AO332:BD332" si="272">ROUND(AO302,2)</f>
        <v>0</v>
      </c>
      <c r="AP332" s="2">
        <f t="shared" si="272"/>
        <v>0</v>
      </c>
      <c r="AQ332" s="2">
        <f t="shared" si="272"/>
        <v>0</v>
      </c>
      <c r="AR332" s="2">
        <f t="shared" si="272"/>
        <v>883137.35</v>
      </c>
      <c r="AS332" s="2">
        <f t="shared" si="272"/>
        <v>571502.42000000004</v>
      </c>
      <c r="AT332" s="2">
        <f t="shared" si="272"/>
        <v>311634.93</v>
      </c>
      <c r="AU332" s="2">
        <f t="shared" si="272"/>
        <v>0</v>
      </c>
      <c r="AV332" s="2">
        <f t="shared" si="272"/>
        <v>401321.06</v>
      </c>
      <c r="AW332" s="2">
        <f t="shared" si="272"/>
        <v>401321.06</v>
      </c>
      <c r="AX332" s="2">
        <f t="shared" si="272"/>
        <v>0</v>
      </c>
      <c r="AY332" s="2">
        <f t="shared" si="272"/>
        <v>401321.06</v>
      </c>
      <c r="AZ332" s="2">
        <f t="shared" si="272"/>
        <v>0</v>
      </c>
      <c r="BA332" s="2">
        <f t="shared" si="272"/>
        <v>0</v>
      </c>
      <c r="BB332" s="2">
        <f t="shared" si="272"/>
        <v>0</v>
      </c>
      <c r="BC332" s="2">
        <f t="shared" si="272"/>
        <v>0</v>
      </c>
      <c r="BD332" s="2">
        <f t="shared" si="272"/>
        <v>2824.87</v>
      </c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3"/>
      <c r="DH332" s="3"/>
      <c r="DI332" s="3"/>
      <c r="DJ332" s="3"/>
      <c r="DK332" s="3"/>
      <c r="DL332" s="3"/>
      <c r="DM332" s="3"/>
      <c r="DN332" s="3"/>
      <c r="DO332" s="3"/>
      <c r="DP332" s="3"/>
      <c r="DQ332" s="3"/>
      <c r="DR332" s="3"/>
      <c r="DS332" s="3"/>
      <c r="DT332" s="3"/>
      <c r="DU332" s="3"/>
      <c r="DV332" s="3"/>
      <c r="DW332" s="3"/>
      <c r="DX332" s="3"/>
      <c r="DY332" s="3"/>
      <c r="DZ332" s="3"/>
      <c r="EA332" s="3"/>
      <c r="EB332" s="3"/>
      <c r="EC332" s="3"/>
      <c r="ED332" s="3"/>
      <c r="EE332" s="3"/>
      <c r="EF332" s="3"/>
      <c r="EG332" s="3"/>
      <c r="EH332" s="3"/>
      <c r="EI332" s="3"/>
      <c r="EJ332" s="3"/>
      <c r="EK332" s="3"/>
      <c r="EL332" s="3"/>
      <c r="EM332" s="3"/>
      <c r="EN332" s="3"/>
      <c r="EO332" s="3"/>
      <c r="EP332" s="3"/>
      <c r="EQ332" s="3"/>
      <c r="ER332" s="3"/>
      <c r="ES332" s="3"/>
      <c r="ET332" s="3"/>
      <c r="EU332" s="3"/>
      <c r="EV332" s="3"/>
      <c r="EW332" s="3"/>
      <c r="EX332" s="3"/>
      <c r="EY332" s="3"/>
      <c r="EZ332" s="3"/>
      <c r="FA332" s="3"/>
      <c r="FB332" s="3"/>
      <c r="FC332" s="3"/>
      <c r="FD332" s="3"/>
      <c r="FE332" s="3"/>
      <c r="FF332" s="3"/>
      <c r="FG332" s="3"/>
      <c r="FH332" s="3"/>
      <c r="FI332" s="3"/>
      <c r="FJ332" s="3"/>
      <c r="FK332" s="3"/>
      <c r="FL332" s="3"/>
      <c r="FM332" s="3"/>
      <c r="FN332" s="3"/>
      <c r="FO332" s="3"/>
      <c r="FP332" s="3"/>
      <c r="FQ332" s="3"/>
      <c r="FR332" s="3"/>
      <c r="FS332" s="3"/>
      <c r="FT332" s="3"/>
      <c r="FU332" s="3"/>
      <c r="FV332" s="3"/>
      <c r="FW332" s="3"/>
      <c r="FX332" s="3"/>
      <c r="FY332" s="3"/>
      <c r="FZ332" s="3"/>
      <c r="GA332" s="3"/>
      <c r="GB332" s="3"/>
      <c r="GC332" s="3"/>
      <c r="GD332" s="3"/>
      <c r="GE332" s="3"/>
      <c r="GF332" s="3"/>
      <c r="GG332" s="3"/>
      <c r="GH332" s="3"/>
      <c r="GI332" s="3"/>
      <c r="GJ332" s="3"/>
      <c r="GK332" s="3"/>
      <c r="GL332" s="3"/>
      <c r="GM332" s="3"/>
      <c r="GN332" s="3"/>
      <c r="GO332" s="3"/>
      <c r="GP332" s="3"/>
      <c r="GQ332" s="3"/>
      <c r="GR332" s="3"/>
      <c r="GS332" s="3"/>
      <c r="GT332" s="3"/>
      <c r="GU332" s="3"/>
      <c r="GV332" s="3"/>
      <c r="GW332" s="3"/>
      <c r="GX332" s="3">
        <v>0</v>
      </c>
    </row>
    <row r="334" spans="1:206" x14ac:dyDescent="0.2">
      <c r="A334" s="4">
        <v>50</v>
      </c>
      <c r="B334" s="4">
        <v>0</v>
      </c>
      <c r="C334" s="4">
        <v>0</v>
      </c>
      <c r="D334" s="4">
        <v>1</v>
      </c>
      <c r="E334" s="4">
        <v>201</v>
      </c>
      <c r="F334" s="4">
        <f>ROUND(Source!O332,O334)</f>
        <v>600427.43000000005</v>
      </c>
      <c r="G334" s="4" t="s">
        <v>625</v>
      </c>
      <c r="H334" s="4" t="s">
        <v>626</v>
      </c>
      <c r="I334" s="4"/>
      <c r="J334" s="4"/>
      <c r="K334" s="4">
        <v>201</v>
      </c>
      <c r="L334" s="4">
        <v>1</v>
      </c>
      <c r="M334" s="4">
        <v>3</v>
      </c>
      <c r="N334" s="4" t="s">
        <v>3</v>
      </c>
      <c r="O334" s="4">
        <v>2</v>
      </c>
      <c r="P334" s="4"/>
      <c r="Q334" s="4"/>
      <c r="R334" s="4"/>
      <c r="S334" s="4"/>
      <c r="T334" s="4"/>
      <c r="U334" s="4"/>
      <c r="V334" s="4"/>
      <c r="W334" s="4"/>
    </row>
    <row r="335" spans="1:206" x14ac:dyDescent="0.2">
      <c r="A335" s="4">
        <v>50</v>
      </c>
      <c r="B335" s="4">
        <v>0</v>
      </c>
      <c r="C335" s="4">
        <v>0</v>
      </c>
      <c r="D335" s="4">
        <v>1</v>
      </c>
      <c r="E335" s="4">
        <v>202</v>
      </c>
      <c r="F335" s="4">
        <f>ROUND(Source!P332,O335)</f>
        <v>401321.06</v>
      </c>
      <c r="G335" s="4" t="s">
        <v>627</v>
      </c>
      <c r="H335" s="4" t="s">
        <v>628</v>
      </c>
      <c r="I335" s="4"/>
      <c r="J335" s="4"/>
      <c r="K335" s="4">
        <v>202</v>
      </c>
      <c r="L335" s="4">
        <v>2</v>
      </c>
      <c r="M335" s="4">
        <v>3</v>
      </c>
      <c r="N335" s="4" t="s">
        <v>3</v>
      </c>
      <c r="O335" s="4">
        <v>2</v>
      </c>
      <c r="P335" s="4"/>
      <c r="Q335" s="4"/>
      <c r="R335" s="4"/>
      <c r="S335" s="4"/>
      <c r="T335" s="4"/>
      <c r="U335" s="4"/>
      <c r="V335" s="4"/>
      <c r="W335" s="4"/>
    </row>
    <row r="336" spans="1:206" x14ac:dyDescent="0.2">
      <c r="A336" s="4">
        <v>50</v>
      </c>
      <c r="B336" s="4">
        <v>0</v>
      </c>
      <c r="C336" s="4">
        <v>0</v>
      </c>
      <c r="D336" s="4">
        <v>1</v>
      </c>
      <c r="E336" s="4">
        <v>222</v>
      </c>
      <c r="F336" s="4">
        <f>ROUND(Source!AO332,O336)</f>
        <v>0</v>
      </c>
      <c r="G336" s="4" t="s">
        <v>629</v>
      </c>
      <c r="H336" s="4" t="s">
        <v>630</v>
      </c>
      <c r="I336" s="4"/>
      <c r="J336" s="4"/>
      <c r="K336" s="4">
        <v>222</v>
      </c>
      <c r="L336" s="4">
        <v>3</v>
      </c>
      <c r="M336" s="4">
        <v>3</v>
      </c>
      <c r="N336" s="4" t="s">
        <v>3</v>
      </c>
      <c r="O336" s="4">
        <v>2</v>
      </c>
      <c r="P336" s="4"/>
      <c r="Q336" s="4"/>
      <c r="R336" s="4"/>
      <c r="S336" s="4"/>
      <c r="T336" s="4"/>
      <c r="U336" s="4"/>
      <c r="V336" s="4"/>
      <c r="W336" s="4"/>
    </row>
    <row r="337" spans="1:23" x14ac:dyDescent="0.2">
      <c r="A337" s="4">
        <v>50</v>
      </c>
      <c r="B337" s="4">
        <v>0</v>
      </c>
      <c r="C337" s="4">
        <v>0</v>
      </c>
      <c r="D337" s="4">
        <v>1</v>
      </c>
      <c r="E337" s="4">
        <v>225</v>
      </c>
      <c r="F337" s="4">
        <f>ROUND(Source!AV332,O337)</f>
        <v>401321.06</v>
      </c>
      <c r="G337" s="4" t="s">
        <v>631</v>
      </c>
      <c r="H337" s="4" t="s">
        <v>632</v>
      </c>
      <c r="I337" s="4"/>
      <c r="J337" s="4"/>
      <c r="K337" s="4">
        <v>225</v>
      </c>
      <c r="L337" s="4">
        <v>4</v>
      </c>
      <c r="M337" s="4">
        <v>3</v>
      </c>
      <c r="N337" s="4" t="s">
        <v>3</v>
      </c>
      <c r="O337" s="4">
        <v>2</v>
      </c>
      <c r="P337" s="4"/>
      <c r="Q337" s="4"/>
      <c r="R337" s="4"/>
      <c r="S337" s="4"/>
      <c r="T337" s="4"/>
      <c r="U337" s="4"/>
      <c r="V337" s="4"/>
      <c r="W337" s="4"/>
    </row>
    <row r="338" spans="1:23" x14ac:dyDescent="0.2">
      <c r="A338" s="4">
        <v>50</v>
      </c>
      <c r="B338" s="4">
        <v>0</v>
      </c>
      <c r="C338" s="4">
        <v>0</v>
      </c>
      <c r="D338" s="4">
        <v>1</v>
      </c>
      <c r="E338" s="4">
        <v>226</v>
      </c>
      <c r="F338" s="4">
        <f>ROUND(Source!AW332,O338)</f>
        <v>401321.06</v>
      </c>
      <c r="G338" s="4" t="s">
        <v>633</v>
      </c>
      <c r="H338" s="4" t="s">
        <v>634</v>
      </c>
      <c r="I338" s="4"/>
      <c r="J338" s="4"/>
      <c r="K338" s="4">
        <v>226</v>
      </c>
      <c r="L338" s="4">
        <v>5</v>
      </c>
      <c r="M338" s="4">
        <v>3</v>
      </c>
      <c r="N338" s="4" t="s">
        <v>3</v>
      </c>
      <c r="O338" s="4">
        <v>2</v>
      </c>
      <c r="P338" s="4"/>
      <c r="Q338" s="4"/>
      <c r="R338" s="4"/>
      <c r="S338" s="4"/>
      <c r="T338" s="4"/>
      <c r="U338" s="4"/>
      <c r="V338" s="4"/>
      <c r="W338" s="4"/>
    </row>
    <row r="339" spans="1:23" x14ac:dyDescent="0.2">
      <c r="A339" s="4">
        <v>50</v>
      </c>
      <c r="B339" s="4">
        <v>0</v>
      </c>
      <c r="C339" s="4">
        <v>0</v>
      </c>
      <c r="D339" s="4">
        <v>1</v>
      </c>
      <c r="E339" s="4">
        <v>227</v>
      </c>
      <c r="F339" s="4">
        <f>ROUND(Source!AX332,O339)</f>
        <v>0</v>
      </c>
      <c r="G339" s="4" t="s">
        <v>635</v>
      </c>
      <c r="H339" s="4" t="s">
        <v>636</v>
      </c>
      <c r="I339" s="4"/>
      <c r="J339" s="4"/>
      <c r="K339" s="4">
        <v>227</v>
      </c>
      <c r="L339" s="4">
        <v>6</v>
      </c>
      <c r="M339" s="4">
        <v>3</v>
      </c>
      <c r="N339" s="4" t="s">
        <v>3</v>
      </c>
      <c r="O339" s="4">
        <v>2</v>
      </c>
      <c r="P339" s="4"/>
      <c r="Q339" s="4"/>
      <c r="R339" s="4"/>
      <c r="S339" s="4"/>
      <c r="T339" s="4"/>
      <c r="U339" s="4"/>
      <c r="V339" s="4"/>
      <c r="W339" s="4"/>
    </row>
    <row r="340" spans="1:23" x14ac:dyDescent="0.2">
      <c r="A340" s="4">
        <v>50</v>
      </c>
      <c r="B340" s="4">
        <v>0</v>
      </c>
      <c r="C340" s="4">
        <v>0</v>
      </c>
      <c r="D340" s="4">
        <v>1</v>
      </c>
      <c r="E340" s="4">
        <v>228</v>
      </c>
      <c r="F340" s="4">
        <f>ROUND(Source!AY332,O340)</f>
        <v>401321.06</v>
      </c>
      <c r="G340" s="4" t="s">
        <v>637</v>
      </c>
      <c r="H340" s="4" t="s">
        <v>638</v>
      </c>
      <c r="I340" s="4"/>
      <c r="J340" s="4"/>
      <c r="K340" s="4">
        <v>228</v>
      </c>
      <c r="L340" s="4">
        <v>7</v>
      </c>
      <c r="M340" s="4">
        <v>3</v>
      </c>
      <c r="N340" s="4" t="s">
        <v>3</v>
      </c>
      <c r="O340" s="4">
        <v>2</v>
      </c>
      <c r="P340" s="4"/>
      <c r="Q340" s="4"/>
      <c r="R340" s="4"/>
      <c r="S340" s="4"/>
      <c r="T340" s="4"/>
      <c r="U340" s="4"/>
      <c r="V340" s="4"/>
      <c r="W340" s="4"/>
    </row>
    <row r="341" spans="1:23" x14ac:dyDescent="0.2">
      <c r="A341" s="4">
        <v>50</v>
      </c>
      <c r="B341" s="4">
        <v>0</v>
      </c>
      <c r="C341" s="4">
        <v>0</v>
      </c>
      <c r="D341" s="4">
        <v>1</v>
      </c>
      <c r="E341" s="4">
        <v>216</v>
      </c>
      <c r="F341" s="4">
        <f>ROUND(Source!AP332,O341)</f>
        <v>0</v>
      </c>
      <c r="G341" s="4" t="s">
        <v>639</v>
      </c>
      <c r="H341" s="4" t="s">
        <v>640</v>
      </c>
      <c r="I341" s="4"/>
      <c r="J341" s="4"/>
      <c r="K341" s="4">
        <v>216</v>
      </c>
      <c r="L341" s="4">
        <v>8</v>
      </c>
      <c r="M341" s="4">
        <v>3</v>
      </c>
      <c r="N341" s="4" t="s">
        <v>3</v>
      </c>
      <c r="O341" s="4">
        <v>2</v>
      </c>
      <c r="P341" s="4"/>
      <c r="Q341" s="4"/>
      <c r="R341" s="4"/>
      <c r="S341" s="4"/>
      <c r="T341" s="4"/>
      <c r="U341" s="4"/>
      <c r="V341" s="4"/>
      <c r="W341" s="4"/>
    </row>
    <row r="342" spans="1:23" x14ac:dyDescent="0.2">
      <c r="A342" s="4">
        <v>50</v>
      </c>
      <c r="B342" s="4">
        <v>0</v>
      </c>
      <c r="C342" s="4">
        <v>0</v>
      </c>
      <c r="D342" s="4">
        <v>1</v>
      </c>
      <c r="E342" s="4">
        <v>223</v>
      </c>
      <c r="F342" s="4">
        <f>ROUND(Source!AQ332,O342)</f>
        <v>0</v>
      </c>
      <c r="G342" s="4" t="s">
        <v>641</v>
      </c>
      <c r="H342" s="4" t="s">
        <v>642</v>
      </c>
      <c r="I342" s="4"/>
      <c r="J342" s="4"/>
      <c r="K342" s="4">
        <v>223</v>
      </c>
      <c r="L342" s="4">
        <v>9</v>
      </c>
      <c r="M342" s="4">
        <v>3</v>
      </c>
      <c r="N342" s="4" t="s">
        <v>3</v>
      </c>
      <c r="O342" s="4">
        <v>2</v>
      </c>
      <c r="P342" s="4"/>
      <c r="Q342" s="4"/>
      <c r="R342" s="4"/>
      <c r="S342" s="4"/>
      <c r="T342" s="4"/>
      <c r="U342" s="4"/>
      <c r="V342" s="4"/>
      <c r="W342" s="4"/>
    </row>
    <row r="343" spans="1:23" x14ac:dyDescent="0.2">
      <c r="A343" s="4">
        <v>50</v>
      </c>
      <c r="B343" s="4">
        <v>0</v>
      </c>
      <c r="C343" s="4">
        <v>0</v>
      </c>
      <c r="D343" s="4">
        <v>1</v>
      </c>
      <c r="E343" s="4">
        <v>229</v>
      </c>
      <c r="F343" s="4">
        <f>ROUND(Source!AZ332,O343)</f>
        <v>0</v>
      </c>
      <c r="G343" s="4" t="s">
        <v>643</v>
      </c>
      <c r="H343" s="4" t="s">
        <v>644</v>
      </c>
      <c r="I343" s="4"/>
      <c r="J343" s="4"/>
      <c r="K343" s="4">
        <v>229</v>
      </c>
      <c r="L343" s="4">
        <v>10</v>
      </c>
      <c r="M343" s="4">
        <v>3</v>
      </c>
      <c r="N343" s="4" t="s">
        <v>3</v>
      </c>
      <c r="O343" s="4">
        <v>2</v>
      </c>
      <c r="P343" s="4"/>
      <c r="Q343" s="4"/>
      <c r="R343" s="4"/>
      <c r="S343" s="4"/>
      <c r="T343" s="4"/>
      <c r="U343" s="4"/>
      <c r="V343" s="4"/>
      <c r="W343" s="4"/>
    </row>
    <row r="344" spans="1:23" x14ac:dyDescent="0.2">
      <c r="A344" s="4">
        <v>50</v>
      </c>
      <c r="B344" s="4">
        <v>0</v>
      </c>
      <c r="C344" s="4">
        <v>0</v>
      </c>
      <c r="D344" s="4">
        <v>1</v>
      </c>
      <c r="E344" s="4">
        <v>203</v>
      </c>
      <c r="F344" s="4">
        <f>ROUND(Source!Q332,O344)</f>
        <v>11489.84</v>
      </c>
      <c r="G344" s="4" t="s">
        <v>645</v>
      </c>
      <c r="H344" s="4" t="s">
        <v>646</v>
      </c>
      <c r="I344" s="4"/>
      <c r="J344" s="4"/>
      <c r="K344" s="4">
        <v>203</v>
      </c>
      <c r="L344" s="4">
        <v>11</v>
      </c>
      <c r="M344" s="4">
        <v>3</v>
      </c>
      <c r="N344" s="4" t="s">
        <v>3</v>
      </c>
      <c r="O344" s="4">
        <v>2</v>
      </c>
      <c r="P344" s="4"/>
      <c r="Q344" s="4"/>
      <c r="R344" s="4"/>
      <c r="S344" s="4"/>
      <c r="T344" s="4"/>
      <c r="U344" s="4"/>
      <c r="V344" s="4"/>
      <c r="W344" s="4"/>
    </row>
    <row r="345" spans="1:23" x14ac:dyDescent="0.2">
      <c r="A345" s="4">
        <v>50</v>
      </c>
      <c r="B345" s="4">
        <v>0</v>
      </c>
      <c r="C345" s="4">
        <v>0</v>
      </c>
      <c r="D345" s="4">
        <v>1</v>
      </c>
      <c r="E345" s="4">
        <v>231</v>
      </c>
      <c r="F345" s="4">
        <f>ROUND(Source!BB332,O345)</f>
        <v>0</v>
      </c>
      <c r="G345" s="4" t="s">
        <v>647</v>
      </c>
      <c r="H345" s="4" t="s">
        <v>648</v>
      </c>
      <c r="I345" s="4"/>
      <c r="J345" s="4"/>
      <c r="K345" s="4">
        <v>231</v>
      </c>
      <c r="L345" s="4">
        <v>12</v>
      </c>
      <c r="M345" s="4">
        <v>3</v>
      </c>
      <c r="N345" s="4" t="s">
        <v>3</v>
      </c>
      <c r="O345" s="4">
        <v>2</v>
      </c>
      <c r="P345" s="4"/>
      <c r="Q345" s="4"/>
      <c r="R345" s="4"/>
      <c r="S345" s="4"/>
      <c r="T345" s="4"/>
      <c r="U345" s="4"/>
      <c r="V345" s="4"/>
      <c r="W345" s="4"/>
    </row>
    <row r="346" spans="1:23" x14ac:dyDescent="0.2">
      <c r="A346" s="4">
        <v>50</v>
      </c>
      <c r="B346" s="4">
        <v>0</v>
      </c>
      <c r="C346" s="4">
        <v>0</v>
      </c>
      <c r="D346" s="4">
        <v>1</v>
      </c>
      <c r="E346" s="4">
        <v>204</v>
      </c>
      <c r="F346" s="4">
        <f>ROUND(Source!R332,O346)</f>
        <v>4308.3</v>
      </c>
      <c r="G346" s="4" t="s">
        <v>649</v>
      </c>
      <c r="H346" s="4" t="s">
        <v>650</v>
      </c>
      <c r="I346" s="4"/>
      <c r="J346" s="4"/>
      <c r="K346" s="4">
        <v>204</v>
      </c>
      <c r="L346" s="4">
        <v>13</v>
      </c>
      <c r="M346" s="4">
        <v>3</v>
      </c>
      <c r="N346" s="4" t="s">
        <v>3</v>
      </c>
      <c r="O346" s="4">
        <v>2</v>
      </c>
      <c r="P346" s="4"/>
      <c r="Q346" s="4"/>
      <c r="R346" s="4"/>
      <c r="S346" s="4"/>
      <c r="T346" s="4"/>
      <c r="U346" s="4"/>
      <c r="V346" s="4"/>
      <c r="W346" s="4"/>
    </row>
    <row r="347" spans="1:23" x14ac:dyDescent="0.2">
      <c r="A347" s="4">
        <v>50</v>
      </c>
      <c r="B347" s="4">
        <v>0</v>
      </c>
      <c r="C347" s="4">
        <v>0</v>
      </c>
      <c r="D347" s="4">
        <v>1</v>
      </c>
      <c r="E347" s="4">
        <v>205</v>
      </c>
      <c r="F347" s="4">
        <f>ROUND(Source!S332,O347)</f>
        <v>187616.53</v>
      </c>
      <c r="G347" s="4" t="s">
        <v>651</v>
      </c>
      <c r="H347" s="4" t="s">
        <v>652</v>
      </c>
      <c r="I347" s="4"/>
      <c r="J347" s="4"/>
      <c r="K347" s="4">
        <v>205</v>
      </c>
      <c r="L347" s="4">
        <v>14</v>
      </c>
      <c r="M347" s="4">
        <v>3</v>
      </c>
      <c r="N347" s="4" t="s">
        <v>3</v>
      </c>
      <c r="O347" s="4">
        <v>2</v>
      </c>
      <c r="P347" s="4"/>
      <c r="Q347" s="4"/>
      <c r="R347" s="4"/>
      <c r="S347" s="4"/>
      <c r="T347" s="4"/>
      <c r="U347" s="4"/>
      <c r="V347" s="4"/>
      <c r="W347" s="4"/>
    </row>
    <row r="348" spans="1:23" x14ac:dyDescent="0.2">
      <c r="A348" s="4">
        <v>50</v>
      </c>
      <c r="B348" s="4">
        <v>0</v>
      </c>
      <c r="C348" s="4">
        <v>0</v>
      </c>
      <c r="D348" s="4">
        <v>1</v>
      </c>
      <c r="E348" s="4">
        <v>232</v>
      </c>
      <c r="F348" s="4">
        <f>ROUND(Source!BC332,O348)</f>
        <v>0</v>
      </c>
      <c r="G348" s="4" t="s">
        <v>653</v>
      </c>
      <c r="H348" s="4" t="s">
        <v>654</v>
      </c>
      <c r="I348" s="4"/>
      <c r="J348" s="4"/>
      <c r="K348" s="4">
        <v>232</v>
      </c>
      <c r="L348" s="4">
        <v>15</v>
      </c>
      <c r="M348" s="4">
        <v>3</v>
      </c>
      <c r="N348" s="4" t="s">
        <v>3</v>
      </c>
      <c r="O348" s="4">
        <v>2</v>
      </c>
      <c r="P348" s="4"/>
      <c r="Q348" s="4"/>
      <c r="R348" s="4"/>
      <c r="S348" s="4"/>
      <c r="T348" s="4"/>
      <c r="U348" s="4"/>
      <c r="V348" s="4"/>
      <c r="W348" s="4"/>
    </row>
    <row r="349" spans="1:23" x14ac:dyDescent="0.2">
      <c r="A349" s="4">
        <v>50</v>
      </c>
      <c r="B349" s="4">
        <v>0</v>
      </c>
      <c r="C349" s="4">
        <v>0</v>
      </c>
      <c r="D349" s="4">
        <v>1</v>
      </c>
      <c r="E349" s="4">
        <v>214</v>
      </c>
      <c r="F349" s="4">
        <f>ROUND(Source!AS332,O349)</f>
        <v>571502.42000000004</v>
      </c>
      <c r="G349" s="4" t="s">
        <v>655</v>
      </c>
      <c r="H349" s="4" t="s">
        <v>656</v>
      </c>
      <c r="I349" s="4"/>
      <c r="J349" s="4"/>
      <c r="K349" s="4">
        <v>214</v>
      </c>
      <c r="L349" s="4">
        <v>16</v>
      </c>
      <c r="M349" s="4">
        <v>3</v>
      </c>
      <c r="N349" s="4" t="s">
        <v>3</v>
      </c>
      <c r="O349" s="4">
        <v>2</v>
      </c>
      <c r="P349" s="4"/>
      <c r="Q349" s="4"/>
      <c r="R349" s="4"/>
      <c r="S349" s="4"/>
      <c r="T349" s="4"/>
      <c r="U349" s="4"/>
      <c r="V349" s="4"/>
      <c r="W349" s="4"/>
    </row>
    <row r="350" spans="1:23" x14ac:dyDescent="0.2">
      <c r="A350" s="4">
        <v>50</v>
      </c>
      <c r="B350" s="4">
        <v>0</v>
      </c>
      <c r="C350" s="4">
        <v>0</v>
      </c>
      <c r="D350" s="4">
        <v>1</v>
      </c>
      <c r="E350" s="4">
        <v>215</v>
      </c>
      <c r="F350" s="4">
        <f>ROUND(Source!AT332,O350)</f>
        <v>311634.93</v>
      </c>
      <c r="G350" s="4" t="s">
        <v>657</v>
      </c>
      <c r="H350" s="4" t="s">
        <v>658</v>
      </c>
      <c r="I350" s="4"/>
      <c r="J350" s="4"/>
      <c r="K350" s="4">
        <v>215</v>
      </c>
      <c r="L350" s="4">
        <v>17</v>
      </c>
      <c r="M350" s="4">
        <v>3</v>
      </c>
      <c r="N350" s="4" t="s">
        <v>3</v>
      </c>
      <c r="O350" s="4">
        <v>2</v>
      </c>
      <c r="P350" s="4"/>
      <c r="Q350" s="4"/>
      <c r="R350" s="4"/>
      <c r="S350" s="4"/>
      <c r="T350" s="4"/>
      <c r="U350" s="4"/>
      <c r="V350" s="4"/>
      <c r="W350" s="4"/>
    </row>
    <row r="351" spans="1:23" x14ac:dyDescent="0.2">
      <c r="A351" s="4">
        <v>50</v>
      </c>
      <c r="B351" s="4">
        <v>0</v>
      </c>
      <c r="C351" s="4">
        <v>0</v>
      </c>
      <c r="D351" s="4">
        <v>1</v>
      </c>
      <c r="E351" s="4">
        <v>217</v>
      </c>
      <c r="F351" s="4">
        <f>ROUND(Source!AU332,O351)</f>
        <v>0</v>
      </c>
      <c r="G351" s="4" t="s">
        <v>659</v>
      </c>
      <c r="H351" s="4" t="s">
        <v>660</v>
      </c>
      <c r="I351" s="4"/>
      <c r="J351" s="4"/>
      <c r="K351" s="4">
        <v>217</v>
      </c>
      <c r="L351" s="4">
        <v>18</v>
      </c>
      <c r="M351" s="4">
        <v>3</v>
      </c>
      <c r="N351" s="4" t="s">
        <v>3</v>
      </c>
      <c r="O351" s="4">
        <v>2</v>
      </c>
      <c r="P351" s="4"/>
      <c r="Q351" s="4"/>
      <c r="R351" s="4"/>
      <c r="S351" s="4"/>
      <c r="T351" s="4"/>
      <c r="U351" s="4"/>
      <c r="V351" s="4"/>
      <c r="W351" s="4"/>
    </row>
    <row r="352" spans="1:23" x14ac:dyDescent="0.2">
      <c r="A352" s="4">
        <v>50</v>
      </c>
      <c r="B352" s="4">
        <v>0</v>
      </c>
      <c r="C352" s="4">
        <v>0</v>
      </c>
      <c r="D352" s="4">
        <v>1</v>
      </c>
      <c r="E352" s="4">
        <v>230</v>
      </c>
      <c r="F352" s="4">
        <f>ROUND(Source!BA332,O352)</f>
        <v>0</v>
      </c>
      <c r="G352" s="4" t="s">
        <v>661</v>
      </c>
      <c r="H352" s="4" t="s">
        <v>662</v>
      </c>
      <c r="I352" s="4"/>
      <c r="J352" s="4"/>
      <c r="K352" s="4">
        <v>230</v>
      </c>
      <c r="L352" s="4">
        <v>19</v>
      </c>
      <c r="M352" s="4">
        <v>3</v>
      </c>
      <c r="N352" s="4" t="s">
        <v>3</v>
      </c>
      <c r="O352" s="4">
        <v>2</v>
      </c>
      <c r="P352" s="4"/>
      <c r="Q352" s="4"/>
      <c r="R352" s="4"/>
      <c r="S352" s="4"/>
      <c r="T352" s="4"/>
      <c r="U352" s="4"/>
      <c r="V352" s="4"/>
      <c r="W352" s="4"/>
    </row>
    <row r="353" spans="1:23" x14ac:dyDescent="0.2">
      <c r="A353" s="4">
        <v>50</v>
      </c>
      <c r="B353" s="4">
        <v>0</v>
      </c>
      <c r="C353" s="4">
        <v>0</v>
      </c>
      <c r="D353" s="4">
        <v>1</v>
      </c>
      <c r="E353" s="4">
        <v>206</v>
      </c>
      <c r="F353" s="4">
        <f>ROUND(Source!T332,O353)</f>
        <v>0</v>
      </c>
      <c r="G353" s="4" t="s">
        <v>663</v>
      </c>
      <c r="H353" s="4" t="s">
        <v>664</v>
      </c>
      <c r="I353" s="4"/>
      <c r="J353" s="4"/>
      <c r="K353" s="4">
        <v>206</v>
      </c>
      <c r="L353" s="4">
        <v>20</v>
      </c>
      <c r="M353" s="4">
        <v>3</v>
      </c>
      <c r="N353" s="4" t="s">
        <v>3</v>
      </c>
      <c r="O353" s="4">
        <v>2</v>
      </c>
      <c r="P353" s="4"/>
      <c r="Q353" s="4"/>
      <c r="R353" s="4"/>
      <c r="S353" s="4"/>
      <c r="T353" s="4"/>
      <c r="U353" s="4"/>
      <c r="V353" s="4"/>
      <c r="W353" s="4"/>
    </row>
    <row r="354" spans="1:23" x14ac:dyDescent="0.2">
      <c r="A354" s="4">
        <v>50</v>
      </c>
      <c r="B354" s="4">
        <v>0</v>
      </c>
      <c r="C354" s="4">
        <v>0</v>
      </c>
      <c r="D354" s="4">
        <v>1</v>
      </c>
      <c r="E354" s="4">
        <v>207</v>
      </c>
      <c r="F354" s="4">
        <f>Source!U332</f>
        <v>609.03861865499994</v>
      </c>
      <c r="G354" s="4" t="s">
        <v>665</v>
      </c>
      <c r="H354" s="4" t="s">
        <v>666</v>
      </c>
      <c r="I354" s="4"/>
      <c r="J354" s="4"/>
      <c r="K354" s="4">
        <v>207</v>
      </c>
      <c r="L354" s="4">
        <v>21</v>
      </c>
      <c r="M354" s="4">
        <v>3</v>
      </c>
      <c r="N354" s="4" t="s">
        <v>3</v>
      </c>
      <c r="O354" s="4">
        <v>-1</v>
      </c>
      <c r="P354" s="4"/>
      <c r="Q354" s="4"/>
      <c r="R354" s="4"/>
      <c r="S354" s="4"/>
      <c r="T354" s="4"/>
      <c r="U354" s="4"/>
      <c r="V354" s="4"/>
      <c r="W354" s="4"/>
    </row>
    <row r="355" spans="1:23" x14ac:dyDescent="0.2">
      <c r="A355" s="4">
        <v>50</v>
      </c>
      <c r="B355" s="4">
        <v>0</v>
      </c>
      <c r="C355" s="4">
        <v>0</v>
      </c>
      <c r="D355" s="4">
        <v>1</v>
      </c>
      <c r="E355" s="4">
        <v>208</v>
      </c>
      <c r="F355" s="4">
        <f>Source!V332</f>
        <v>10.676120767499999</v>
      </c>
      <c r="G355" s="4" t="s">
        <v>667</v>
      </c>
      <c r="H355" s="4" t="s">
        <v>668</v>
      </c>
      <c r="I355" s="4"/>
      <c r="J355" s="4"/>
      <c r="K355" s="4">
        <v>208</v>
      </c>
      <c r="L355" s="4">
        <v>22</v>
      </c>
      <c r="M355" s="4">
        <v>3</v>
      </c>
      <c r="N355" s="4" t="s">
        <v>3</v>
      </c>
      <c r="O355" s="4">
        <v>-1</v>
      </c>
      <c r="P355" s="4"/>
      <c r="Q355" s="4"/>
      <c r="R355" s="4"/>
      <c r="S355" s="4"/>
      <c r="T355" s="4"/>
      <c r="U355" s="4"/>
      <c r="V355" s="4"/>
      <c r="W355" s="4"/>
    </row>
    <row r="356" spans="1:23" x14ac:dyDescent="0.2">
      <c r="A356" s="4">
        <v>50</v>
      </c>
      <c r="B356" s="4">
        <v>0</v>
      </c>
      <c r="C356" s="4">
        <v>0</v>
      </c>
      <c r="D356" s="4">
        <v>1</v>
      </c>
      <c r="E356" s="4">
        <v>209</v>
      </c>
      <c r="F356" s="4">
        <f>ROUND(Source!W332,O356)</f>
        <v>0</v>
      </c>
      <c r="G356" s="4" t="s">
        <v>669</v>
      </c>
      <c r="H356" s="4" t="s">
        <v>670</v>
      </c>
      <c r="I356" s="4"/>
      <c r="J356" s="4"/>
      <c r="K356" s="4">
        <v>209</v>
      </c>
      <c r="L356" s="4">
        <v>23</v>
      </c>
      <c r="M356" s="4">
        <v>3</v>
      </c>
      <c r="N356" s="4" t="s">
        <v>3</v>
      </c>
      <c r="O356" s="4">
        <v>2</v>
      </c>
      <c r="P356" s="4"/>
      <c r="Q356" s="4"/>
      <c r="R356" s="4"/>
      <c r="S356" s="4"/>
      <c r="T356" s="4"/>
      <c r="U356" s="4"/>
      <c r="V356" s="4"/>
      <c r="W356" s="4"/>
    </row>
    <row r="357" spans="1:23" x14ac:dyDescent="0.2">
      <c r="A357" s="4">
        <v>50</v>
      </c>
      <c r="B357" s="4">
        <v>0</v>
      </c>
      <c r="C357" s="4">
        <v>0</v>
      </c>
      <c r="D357" s="4">
        <v>1</v>
      </c>
      <c r="E357" s="4">
        <v>233</v>
      </c>
      <c r="F357" s="4">
        <f>ROUND(Source!BD332,O357)</f>
        <v>2824.87</v>
      </c>
      <c r="G357" s="4" t="s">
        <v>671</v>
      </c>
      <c r="H357" s="4" t="s">
        <v>672</v>
      </c>
      <c r="I357" s="4"/>
      <c r="J357" s="4"/>
      <c r="K357" s="4">
        <v>233</v>
      </c>
      <c r="L357" s="4">
        <v>24</v>
      </c>
      <c r="M357" s="4">
        <v>3</v>
      </c>
      <c r="N357" s="4" t="s">
        <v>3</v>
      </c>
      <c r="O357" s="4">
        <v>2</v>
      </c>
      <c r="P357" s="4"/>
      <c r="Q357" s="4"/>
      <c r="R357" s="4"/>
      <c r="S357" s="4"/>
      <c r="T357" s="4"/>
      <c r="U357" s="4"/>
      <c r="V357" s="4"/>
      <c r="W357" s="4"/>
    </row>
    <row r="358" spans="1:23" x14ac:dyDescent="0.2">
      <c r="A358" s="4">
        <v>50</v>
      </c>
      <c r="B358" s="4">
        <v>0</v>
      </c>
      <c r="C358" s="4">
        <v>0</v>
      </c>
      <c r="D358" s="4">
        <v>1</v>
      </c>
      <c r="E358" s="4">
        <v>210</v>
      </c>
      <c r="F358" s="4">
        <f>ROUND(Source!X332,O358)</f>
        <v>172849.97</v>
      </c>
      <c r="G358" s="4" t="s">
        <v>673</v>
      </c>
      <c r="H358" s="4" t="s">
        <v>674</v>
      </c>
      <c r="I358" s="4"/>
      <c r="J358" s="4"/>
      <c r="K358" s="4">
        <v>210</v>
      </c>
      <c r="L358" s="4">
        <v>25</v>
      </c>
      <c r="M358" s="4">
        <v>3</v>
      </c>
      <c r="N358" s="4" t="s">
        <v>3</v>
      </c>
      <c r="O358" s="4">
        <v>2</v>
      </c>
      <c r="P358" s="4"/>
      <c r="Q358" s="4"/>
      <c r="R358" s="4"/>
      <c r="S358" s="4"/>
      <c r="T358" s="4"/>
      <c r="U358" s="4"/>
      <c r="V358" s="4"/>
      <c r="W358" s="4"/>
    </row>
    <row r="359" spans="1:23" x14ac:dyDescent="0.2">
      <c r="A359" s="4">
        <v>50</v>
      </c>
      <c r="B359" s="4">
        <v>0</v>
      </c>
      <c r="C359" s="4">
        <v>0</v>
      </c>
      <c r="D359" s="4">
        <v>1</v>
      </c>
      <c r="E359" s="4">
        <v>211</v>
      </c>
      <c r="F359" s="4">
        <f>ROUND(Source!Y332,O359)</f>
        <v>107035.08</v>
      </c>
      <c r="G359" s="4" t="s">
        <v>675</v>
      </c>
      <c r="H359" s="4" t="s">
        <v>676</v>
      </c>
      <c r="I359" s="4"/>
      <c r="J359" s="4"/>
      <c r="K359" s="4">
        <v>211</v>
      </c>
      <c r="L359" s="4">
        <v>26</v>
      </c>
      <c r="M359" s="4">
        <v>3</v>
      </c>
      <c r="N359" s="4" t="s">
        <v>3</v>
      </c>
      <c r="O359" s="4">
        <v>2</v>
      </c>
      <c r="P359" s="4"/>
      <c r="Q359" s="4"/>
      <c r="R359" s="4"/>
      <c r="S359" s="4"/>
      <c r="T359" s="4"/>
      <c r="U359" s="4"/>
      <c r="V359" s="4"/>
      <c r="W359" s="4"/>
    </row>
    <row r="360" spans="1:23" x14ac:dyDescent="0.2">
      <c r="A360" s="4">
        <v>50</v>
      </c>
      <c r="B360" s="4">
        <v>0</v>
      </c>
      <c r="C360" s="4">
        <v>0</v>
      </c>
      <c r="D360" s="4">
        <v>1</v>
      </c>
      <c r="E360" s="4">
        <v>224</v>
      </c>
      <c r="F360" s="4">
        <f>ROUND(Source!AR332,O360)</f>
        <v>883137.35</v>
      </c>
      <c r="G360" s="4" t="s">
        <v>677</v>
      </c>
      <c r="H360" s="4" t="s">
        <v>678</v>
      </c>
      <c r="I360" s="4"/>
      <c r="J360" s="4"/>
      <c r="K360" s="4">
        <v>224</v>
      </c>
      <c r="L360" s="4">
        <v>27</v>
      </c>
      <c r="M360" s="4">
        <v>3</v>
      </c>
      <c r="N360" s="4" t="s">
        <v>3</v>
      </c>
      <c r="O360" s="4">
        <v>2</v>
      </c>
      <c r="P360" s="4"/>
      <c r="Q360" s="4"/>
      <c r="R360" s="4"/>
      <c r="S360" s="4"/>
      <c r="T360" s="4"/>
      <c r="U360" s="4"/>
      <c r="V360" s="4"/>
      <c r="W360" s="4"/>
    </row>
    <row r="361" spans="1:23" x14ac:dyDescent="0.2">
      <c r="A361" s="4">
        <v>50</v>
      </c>
      <c r="B361" s="4">
        <v>1</v>
      </c>
      <c r="C361" s="4">
        <v>0</v>
      </c>
      <c r="D361" s="4">
        <v>2</v>
      </c>
      <c r="E361" s="4">
        <v>0</v>
      </c>
      <c r="F361" s="4">
        <f>ROUND(F360,O361)</f>
        <v>883137.35</v>
      </c>
      <c r="G361" s="4" t="s">
        <v>740</v>
      </c>
      <c r="H361" s="4" t="s">
        <v>741</v>
      </c>
      <c r="I361" s="4"/>
      <c r="J361" s="4"/>
      <c r="K361" s="4">
        <v>212</v>
      </c>
      <c r="L361" s="4">
        <v>28</v>
      </c>
      <c r="M361" s="4">
        <v>0</v>
      </c>
      <c r="N361" s="4" t="s">
        <v>3</v>
      </c>
      <c r="O361" s="4">
        <v>2</v>
      </c>
      <c r="P361" s="4"/>
      <c r="Q361" s="4"/>
      <c r="R361" s="4"/>
      <c r="S361" s="4"/>
      <c r="T361" s="4"/>
      <c r="U361" s="4"/>
      <c r="V361" s="4"/>
      <c r="W361" s="4"/>
    </row>
    <row r="362" spans="1:23" x14ac:dyDescent="0.2">
      <c r="A362" s="4">
        <v>50</v>
      </c>
      <c r="B362" s="4">
        <v>1</v>
      </c>
      <c r="C362" s="4">
        <v>0</v>
      </c>
      <c r="D362" s="4">
        <v>2</v>
      </c>
      <c r="E362" s="4">
        <v>0</v>
      </c>
      <c r="F362" s="4">
        <f>ROUND(F361*0.02,O362)</f>
        <v>17662.75</v>
      </c>
      <c r="G362" s="4" t="s">
        <v>742</v>
      </c>
      <c r="H362" s="4" t="s">
        <v>743</v>
      </c>
      <c r="I362" s="4"/>
      <c r="J362" s="4"/>
      <c r="K362" s="4">
        <v>212</v>
      </c>
      <c r="L362" s="4">
        <v>29</v>
      </c>
      <c r="M362" s="4">
        <v>0</v>
      </c>
      <c r="N362" s="4" t="s">
        <v>3</v>
      </c>
      <c r="O362" s="4">
        <v>2</v>
      </c>
      <c r="P362" s="4"/>
      <c r="Q362" s="4"/>
      <c r="R362" s="4"/>
      <c r="S362" s="4"/>
      <c r="T362" s="4"/>
      <c r="U362" s="4"/>
      <c r="V362" s="4"/>
      <c r="W362" s="4"/>
    </row>
    <row r="363" spans="1:23" x14ac:dyDescent="0.2">
      <c r="A363" s="4">
        <v>50</v>
      </c>
      <c r="B363" s="4">
        <v>1</v>
      </c>
      <c r="C363" s="4">
        <v>0</v>
      </c>
      <c r="D363" s="4">
        <v>2</v>
      </c>
      <c r="E363" s="4">
        <v>0</v>
      </c>
      <c r="F363" s="4">
        <f>ROUND(F361+F362,O363)</f>
        <v>900800.1</v>
      </c>
      <c r="G363" s="4" t="s">
        <v>744</v>
      </c>
      <c r="H363" s="4" t="s">
        <v>745</v>
      </c>
      <c r="I363" s="4"/>
      <c r="J363" s="4"/>
      <c r="K363" s="4">
        <v>212</v>
      </c>
      <c r="L363" s="4">
        <v>30</v>
      </c>
      <c r="M363" s="4">
        <v>0</v>
      </c>
      <c r="N363" s="4" t="s">
        <v>3</v>
      </c>
      <c r="O363" s="4">
        <v>2</v>
      </c>
      <c r="P363" s="4"/>
      <c r="Q363" s="4"/>
      <c r="R363" s="4"/>
      <c r="S363" s="4"/>
      <c r="T363" s="4"/>
      <c r="U363" s="4"/>
      <c r="V363" s="4"/>
      <c r="W363" s="4"/>
    </row>
    <row r="364" spans="1:23" x14ac:dyDescent="0.2">
      <c r="A364" s="4">
        <v>50</v>
      </c>
      <c r="B364" s="4">
        <v>1</v>
      </c>
      <c r="C364" s="4">
        <v>0</v>
      </c>
      <c r="D364" s="4">
        <v>2</v>
      </c>
      <c r="E364" s="4">
        <v>0</v>
      </c>
      <c r="F364" s="4">
        <f>ROUND(F363*0.2,O364)</f>
        <v>180160.02</v>
      </c>
      <c r="G364" s="4" t="s">
        <v>746</v>
      </c>
      <c r="H364" s="4" t="s">
        <v>747</v>
      </c>
      <c r="I364" s="4"/>
      <c r="J364" s="4"/>
      <c r="K364" s="4">
        <v>212</v>
      </c>
      <c r="L364" s="4">
        <v>31</v>
      </c>
      <c r="M364" s="4">
        <v>0</v>
      </c>
      <c r="N364" s="4" t="s">
        <v>3</v>
      </c>
      <c r="O364" s="4">
        <v>2</v>
      </c>
      <c r="P364" s="4"/>
      <c r="Q364" s="4"/>
      <c r="R364" s="4"/>
      <c r="S364" s="4"/>
      <c r="T364" s="4"/>
      <c r="U364" s="4"/>
      <c r="V364" s="4"/>
      <c r="W364" s="4"/>
    </row>
    <row r="365" spans="1:23" x14ac:dyDescent="0.2">
      <c r="A365" s="4">
        <v>50</v>
      </c>
      <c r="B365" s="4">
        <v>1</v>
      </c>
      <c r="C365" s="4">
        <v>0</v>
      </c>
      <c r="D365" s="4">
        <v>2</v>
      </c>
      <c r="E365" s="4">
        <v>0</v>
      </c>
      <c r="F365" s="4">
        <f>ROUND(F363+F364,O365)</f>
        <v>1080960.1200000001</v>
      </c>
      <c r="G365" s="4" t="s">
        <v>748</v>
      </c>
      <c r="H365" s="4" t="s">
        <v>749</v>
      </c>
      <c r="I365" s="4"/>
      <c r="J365" s="4"/>
      <c r="K365" s="4">
        <v>212</v>
      </c>
      <c r="L365" s="4">
        <v>32</v>
      </c>
      <c r="M365" s="4">
        <v>0</v>
      </c>
      <c r="N365" s="4" t="s">
        <v>3</v>
      </c>
      <c r="O365" s="4">
        <v>2</v>
      </c>
      <c r="P365" s="4"/>
      <c r="Q365" s="4"/>
      <c r="R365" s="4"/>
      <c r="S365" s="4"/>
      <c r="T365" s="4"/>
      <c r="U365" s="4"/>
      <c r="V365" s="4"/>
      <c r="W365" s="4"/>
    </row>
    <row r="368" spans="1:23" x14ac:dyDescent="0.2">
      <c r="A368">
        <v>70</v>
      </c>
      <c r="B368">
        <v>1</v>
      </c>
      <c r="D368">
        <v>1</v>
      </c>
      <c r="E368" t="s">
        <v>750</v>
      </c>
      <c r="F368" t="s">
        <v>751</v>
      </c>
      <c r="G368">
        <v>0</v>
      </c>
      <c r="H368">
        <v>0</v>
      </c>
      <c r="I368" t="s">
        <v>3</v>
      </c>
      <c r="J368">
        <v>1</v>
      </c>
      <c r="K368">
        <v>0</v>
      </c>
      <c r="L368" t="s">
        <v>3</v>
      </c>
      <c r="M368" t="s">
        <v>3</v>
      </c>
      <c r="N368">
        <v>0</v>
      </c>
    </row>
    <row r="369" spans="1:14" x14ac:dyDescent="0.2">
      <c r="A369">
        <v>70</v>
      </c>
      <c r="B369">
        <v>1</v>
      </c>
      <c r="D369">
        <v>2</v>
      </c>
      <c r="E369" t="s">
        <v>752</v>
      </c>
      <c r="F369" t="s">
        <v>753</v>
      </c>
      <c r="G369">
        <v>1</v>
      </c>
      <c r="H369">
        <v>0</v>
      </c>
      <c r="I369" t="s">
        <v>3</v>
      </c>
      <c r="J369">
        <v>1</v>
      </c>
      <c r="K369">
        <v>0</v>
      </c>
      <c r="L369" t="s">
        <v>3</v>
      </c>
      <c r="M369" t="s">
        <v>3</v>
      </c>
      <c r="N369">
        <v>0</v>
      </c>
    </row>
    <row r="370" spans="1:14" x14ac:dyDescent="0.2">
      <c r="A370">
        <v>70</v>
      </c>
      <c r="B370">
        <v>1</v>
      </c>
      <c r="D370">
        <v>3</v>
      </c>
      <c r="E370" t="s">
        <v>754</v>
      </c>
      <c r="F370" t="s">
        <v>755</v>
      </c>
      <c r="G370">
        <v>0</v>
      </c>
      <c r="H370">
        <v>0</v>
      </c>
      <c r="I370" t="s">
        <v>3</v>
      </c>
      <c r="J370">
        <v>1</v>
      </c>
      <c r="K370">
        <v>0</v>
      </c>
      <c r="L370" t="s">
        <v>3</v>
      </c>
      <c r="M370" t="s">
        <v>3</v>
      </c>
      <c r="N370">
        <v>0</v>
      </c>
    </row>
    <row r="371" spans="1:14" x14ac:dyDescent="0.2">
      <c r="A371">
        <v>70</v>
      </c>
      <c r="B371">
        <v>1</v>
      </c>
      <c r="D371">
        <v>4</v>
      </c>
      <c r="E371" t="s">
        <v>756</v>
      </c>
      <c r="F371" t="s">
        <v>757</v>
      </c>
      <c r="G371">
        <v>0</v>
      </c>
      <c r="H371">
        <v>0</v>
      </c>
      <c r="I371" t="s">
        <v>758</v>
      </c>
      <c r="J371">
        <v>0</v>
      </c>
      <c r="K371">
        <v>0</v>
      </c>
      <c r="L371" t="s">
        <v>3</v>
      </c>
      <c r="M371" t="s">
        <v>3</v>
      </c>
      <c r="N371">
        <v>0</v>
      </c>
    </row>
    <row r="372" spans="1:14" x14ac:dyDescent="0.2">
      <c r="A372">
        <v>70</v>
      </c>
      <c r="B372">
        <v>1</v>
      </c>
      <c r="D372">
        <v>5</v>
      </c>
      <c r="E372" t="s">
        <v>759</v>
      </c>
      <c r="F372" t="s">
        <v>760</v>
      </c>
      <c r="G372">
        <v>0</v>
      </c>
      <c r="H372">
        <v>0</v>
      </c>
      <c r="I372" t="s">
        <v>761</v>
      </c>
      <c r="J372">
        <v>0</v>
      </c>
      <c r="K372">
        <v>0</v>
      </c>
      <c r="L372" t="s">
        <v>3</v>
      </c>
      <c r="M372" t="s">
        <v>3</v>
      </c>
      <c r="N372">
        <v>0</v>
      </c>
    </row>
    <row r="373" spans="1:14" x14ac:dyDescent="0.2">
      <c r="A373">
        <v>70</v>
      </c>
      <c r="B373">
        <v>1</v>
      </c>
      <c r="D373">
        <v>6</v>
      </c>
      <c r="E373" t="s">
        <v>762</v>
      </c>
      <c r="F373" t="s">
        <v>763</v>
      </c>
      <c r="G373">
        <v>0</v>
      </c>
      <c r="H373">
        <v>0</v>
      </c>
      <c r="I373" t="s">
        <v>764</v>
      </c>
      <c r="J373">
        <v>0</v>
      </c>
      <c r="K373">
        <v>0</v>
      </c>
      <c r="L373" t="s">
        <v>3</v>
      </c>
      <c r="M373" t="s">
        <v>3</v>
      </c>
      <c r="N373">
        <v>0</v>
      </c>
    </row>
    <row r="374" spans="1:14" x14ac:dyDescent="0.2">
      <c r="A374">
        <v>70</v>
      </c>
      <c r="B374">
        <v>1</v>
      </c>
      <c r="D374">
        <v>7</v>
      </c>
      <c r="E374" t="s">
        <v>765</v>
      </c>
      <c r="F374" t="s">
        <v>766</v>
      </c>
      <c r="G374">
        <v>1</v>
      </c>
      <c r="H374">
        <v>0</v>
      </c>
      <c r="I374" t="s">
        <v>3</v>
      </c>
      <c r="J374">
        <v>0</v>
      </c>
      <c r="K374">
        <v>0</v>
      </c>
      <c r="L374" t="s">
        <v>3</v>
      </c>
      <c r="M374" t="s">
        <v>3</v>
      </c>
      <c r="N374">
        <v>0</v>
      </c>
    </row>
    <row r="375" spans="1:14" x14ac:dyDescent="0.2">
      <c r="A375">
        <v>70</v>
      </c>
      <c r="B375">
        <v>1</v>
      </c>
      <c r="D375">
        <v>8</v>
      </c>
      <c r="E375" t="s">
        <v>767</v>
      </c>
      <c r="F375" t="s">
        <v>768</v>
      </c>
      <c r="G375">
        <v>0</v>
      </c>
      <c r="H375">
        <v>0</v>
      </c>
      <c r="I375" t="s">
        <v>769</v>
      </c>
      <c r="J375">
        <v>0</v>
      </c>
      <c r="K375">
        <v>0</v>
      </c>
      <c r="L375" t="s">
        <v>3</v>
      </c>
      <c r="M375" t="s">
        <v>3</v>
      </c>
      <c r="N375">
        <v>0</v>
      </c>
    </row>
    <row r="376" spans="1:14" x14ac:dyDescent="0.2">
      <c r="A376">
        <v>70</v>
      </c>
      <c r="B376">
        <v>1</v>
      </c>
      <c r="D376">
        <v>9</v>
      </c>
      <c r="E376" t="s">
        <v>770</v>
      </c>
      <c r="F376" t="s">
        <v>771</v>
      </c>
      <c r="G376">
        <v>0</v>
      </c>
      <c r="H376">
        <v>0</v>
      </c>
      <c r="I376" t="s">
        <v>772</v>
      </c>
      <c r="J376">
        <v>0</v>
      </c>
      <c r="K376">
        <v>0</v>
      </c>
      <c r="L376" t="s">
        <v>3</v>
      </c>
      <c r="M376" t="s">
        <v>3</v>
      </c>
      <c r="N376">
        <v>0</v>
      </c>
    </row>
    <row r="377" spans="1:14" x14ac:dyDescent="0.2">
      <c r="A377">
        <v>70</v>
      </c>
      <c r="B377">
        <v>1</v>
      </c>
      <c r="D377">
        <v>10</v>
      </c>
      <c r="E377" t="s">
        <v>773</v>
      </c>
      <c r="F377" t="s">
        <v>774</v>
      </c>
      <c r="G377">
        <v>0</v>
      </c>
      <c r="H377">
        <v>0</v>
      </c>
      <c r="I377" t="s">
        <v>775</v>
      </c>
      <c r="J377">
        <v>0</v>
      </c>
      <c r="K377">
        <v>0</v>
      </c>
      <c r="L377" t="s">
        <v>3</v>
      </c>
      <c r="M377" t="s">
        <v>3</v>
      </c>
      <c r="N377">
        <v>0</v>
      </c>
    </row>
    <row r="378" spans="1:14" x14ac:dyDescent="0.2">
      <c r="A378">
        <v>70</v>
      </c>
      <c r="B378">
        <v>1</v>
      </c>
      <c r="D378">
        <v>11</v>
      </c>
      <c r="E378" t="s">
        <v>776</v>
      </c>
      <c r="F378" t="s">
        <v>777</v>
      </c>
      <c r="G378">
        <v>0</v>
      </c>
      <c r="H378">
        <v>0</v>
      </c>
      <c r="I378" t="s">
        <v>778</v>
      </c>
      <c r="J378">
        <v>0</v>
      </c>
      <c r="K378">
        <v>0</v>
      </c>
      <c r="L378" t="s">
        <v>3</v>
      </c>
      <c r="M378" t="s">
        <v>3</v>
      </c>
      <c r="N378">
        <v>0</v>
      </c>
    </row>
    <row r="379" spans="1:14" x14ac:dyDescent="0.2">
      <c r="A379">
        <v>70</v>
      </c>
      <c r="B379">
        <v>1</v>
      </c>
      <c r="D379">
        <v>12</v>
      </c>
      <c r="E379" t="s">
        <v>779</v>
      </c>
      <c r="F379" t="s">
        <v>780</v>
      </c>
      <c r="G379">
        <v>0</v>
      </c>
      <c r="H379">
        <v>0</v>
      </c>
      <c r="I379" t="s">
        <v>3</v>
      </c>
      <c r="J379">
        <v>0</v>
      </c>
      <c r="K379">
        <v>0</v>
      </c>
      <c r="L379" t="s">
        <v>3</v>
      </c>
      <c r="M379" t="s">
        <v>3</v>
      </c>
      <c r="N379">
        <v>0</v>
      </c>
    </row>
    <row r="380" spans="1:14" x14ac:dyDescent="0.2">
      <c r="A380">
        <v>70</v>
      </c>
      <c r="B380">
        <v>1</v>
      </c>
      <c r="D380">
        <v>1</v>
      </c>
      <c r="E380" t="s">
        <v>781</v>
      </c>
      <c r="F380" t="s">
        <v>782</v>
      </c>
      <c r="G380">
        <v>0.9</v>
      </c>
      <c r="H380">
        <v>1</v>
      </c>
      <c r="I380" t="s">
        <v>783</v>
      </c>
      <c r="J380">
        <v>0</v>
      </c>
      <c r="K380">
        <v>0</v>
      </c>
      <c r="L380" t="s">
        <v>3</v>
      </c>
      <c r="M380" t="s">
        <v>3</v>
      </c>
      <c r="N380">
        <v>0</v>
      </c>
    </row>
    <row r="381" spans="1:14" x14ac:dyDescent="0.2">
      <c r="A381">
        <v>70</v>
      </c>
      <c r="B381">
        <v>1</v>
      </c>
      <c r="D381">
        <v>2</v>
      </c>
      <c r="E381" t="s">
        <v>784</v>
      </c>
      <c r="F381" t="s">
        <v>785</v>
      </c>
      <c r="G381">
        <v>0.85</v>
      </c>
      <c r="H381">
        <v>1</v>
      </c>
      <c r="I381" t="s">
        <v>786</v>
      </c>
      <c r="J381">
        <v>0</v>
      </c>
      <c r="K381">
        <v>0</v>
      </c>
      <c r="L381" t="s">
        <v>3</v>
      </c>
      <c r="M381" t="s">
        <v>3</v>
      </c>
      <c r="N381">
        <v>0</v>
      </c>
    </row>
    <row r="382" spans="1:14" x14ac:dyDescent="0.2">
      <c r="A382">
        <v>70</v>
      </c>
      <c r="B382">
        <v>1</v>
      </c>
      <c r="D382">
        <v>3</v>
      </c>
      <c r="E382" t="s">
        <v>787</v>
      </c>
      <c r="F382" t="s">
        <v>788</v>
      </c>
      <c r="G382">
        <v>1</v>
      </c>
      <c r="H382">
        <v>0.85</v>
      </c>
      <c r="I382" t="s">
        <v>789</v>
      </c>
      <c r="J382">
        <v>0</v>
      </c>
      <c r="K382">
        <v>0</v>
      </c>
      <c r="L382" t="s">
        <v>3</v>
      </c>
      <c r="M382" t="s">
        <v>3</v>
      </c>
      <c r="N382">
        <v>0</v>
      </c>
    </row>
    <row r="383" spans="1:14" x14ac:dyDescent="0.2">
      <c r="A383">
        <v>70</v>
      </c>
      <c r="B383">
        <v>1</v>
      </c>
      <c r="D383">
        <v>4</v>
      </c>
      <c r="E383" t="s">
        <v>790</v>
      </c>
      <c r="F383" t="s">
        <v>791</v>
      </c>
      <c r="G383">
        <v>1</v>
      </c>
      <c r="H383">
        <v>0</v>
      </c>
      <c r="I383" t="s">
        <v>3</v>
      </c>
      <c r="J383">
        <v>0</v>
      </c>
      <c r="K383">
        <v>0</v>
      </c>
      <c r="L383" t="s">
        <v>3</v>
      </c>
      <c r="M383" t="s">
        <v>3</v>
      </c>
      <c r="N383">
        <v>0</v>
      </c>
    </row>
    <row r="384" spans="1:14" x14ac:dyDescent="0.2">
      <c r="A384">
        <v>70</v>
      </c>
      <c r="B384">
        <v>1</v>
      </c>
      <c r="D384">
        <v>5</v>
      </c>
      <c r="E384" t="s">
        <v>792</v>
      </c>
      <c r="F384" t="s">
        <v>793</v>
      </c>
      <c r="G384">
        <v>1</v>
      </c>
      <c r="H384">
        <v>0.8</v>
      </c>
      <c r="I384" t="s">
        <v>794</v>
      </c>
      <c r="J384">
        <v>0</v>
      </c>
      <c r="K384">
        <v>0</v>
      </c>
      <c r="L384" t="s">
        <v>3</v>
      </c>
      <c r="M384" t="s">
        <v>3</v>
      </c>
      <c r="N384">
        <v>0</v>
      </c>
    </row>
    <row r="385" spans="1:40" x14ac:dyDescent="0.2">
      <c r="A385">
        <v>70</v>
      </c>
      <c r="B385">
        <v>1</v>
      </c>
      <c r="D385">
        <v>6</v>
      </c>
      <c r="E385" t="s">
        <v>795</v>
      </c>
      <c r="F385" t="s">
        <v>796</v>
      </c>
      <c r="G385">
        <v>0.85</v>
      </c>
      <c r="H385">
        <v>0</v>
      </c>
      <c r="I385" t="s">
        <v>3</v>
      </c>
      <c r="J385">
        <v>0</v>
      </c>
      <c r="K385">
        <v>0</v>
      </c>
      <c r="L385" t="s">
        <v>3</v>
      </c>
      <c r="M385" t="s">
        <v>3</v>
      </c>
      <c r="N385">
        <v>0</v>
      </c>
    </row>
    <row r="386" spans="1:40" x14ac:dyDescent="0.2">
      <c r="A386">
        <v>70</v>
      </c>
      <c r="B386">
        <v>1</v>
      </c>
      <c r="D386">
        <v>7</v>
      </c>
      <c r="E386" t="s">
        <v>797</v>
      </c>
      <c r="F386" t="s">
        <v>798</v>
      </c>
      <c r="G386">
        <v>0.8</v>
      </c>
      <c r="H386">
        <v>0</v>
      </c>
      <c r="I386" t="s">
        <v>3</v>
      </c>
      <c r="J386">
        <v>0</v>
      </c>
      <c r="K386">
        <v>0</v>
      </c>
      <c r="L386" t="s">
        <v>3</v>
      </c>
      <c r="M386" t="s">
        <v>3</v>
      </c>
      <c r="N386">
        <v>0</v>
      </c>
    </row>
    <row r="387" spans="1:40" x14ac:dyDescent="0.2">
      <c r="A387">
        <v>70</v>
      </c>
      <c r="B387">
        <v>1</v>
      </c>
      <c r="D387">
        <v>8</v>
      </c>
      <c r="E387" t="s">
        <v>799</v>
      </c>
      <c r="F387" t="s">
        <v>800</v>
      </c>
      <c r="G387">
        <v>0.7</v>
      </c>
      <c r="H387">
        <v>0</v>
      </c>
      <c r="I387" t="s">
        <v>3</v>
      </c>
      <c r="J387">
        <v>0</v>
      </c>
      <c r="K387">
        <v>0</v>
      </c>
      <c r="L387" t="s">
        <v>3</v>
      </c>
      <c r="M387" t="s">
        <v>3</v>
      </c>
      <c r="N387">
        <v>0</v>
      </c>
    </row>
    <row r="388" spans="1:40" x14ac:dyDescent="0.2">
      <c r="A388">
        <v>70</v>
      </c>
      <c r="B388">
        <v>1</v>
      </c>
      <c r="D388">
        <v>9</v>
      </c>
      <c r="E388" t="s">
        <v>801</v>
      </c>
      <c r="F388" t="s">
        <v>802</v>
      </c>
      <c r="G388">
        <v>0.9</v>
      </c>
      <c r="H388">
        <v>0</v>
      </c>
      <c r="I388" t="s">
        <v>3</v>
      </c>
      <c r="J388">
        <v>0</v>
      </c>
      <c r="K388">
        <v>0</v>
      </c>
      <c r="L388" t="s">
        <v>3</v>
      </c>
      <c r="M388" t="s">
        <v>3</v>
      </c>
      <c r="N388">
        <v>0</v>
      </c>
    </row>
    <row r="389" spans="1:40" x14ac:dyDescent="0.2">
      <c r="A389">
        <v>70</v>
      </c>
      <c r="B389">
        <v>1</v>
      </c>
      <c r="D389">
        <v>10</v>
      </c>
      <c r="E389" t="s">
        <v>803</v>
      </c>
      <c r="F389" t="s">
        <v>804</v>
      </c>
      <c r="G389">
        <v>0.6</v>
      </c>
      <c r="H389">
        <v>0</v>
      </c>
      <c r="I389" t="s">
        <v>3</v>
      </c>
      <c r="J389">
        <v>0</v>
      </c>
      <c r="K389">
        <v>0</v>
      </c>
      <c r="L389" t="s">
        <v>3</v>
      </c>
      <c r="M389" t="s">
        <v>3</v>
      </c>
      <c r="N389">
        <v>0</v>
      </c>
    </row>
    <row r="390" spans="1:40" x14ac:dyDescent="0.2">
      <c r="A390">
        <v>70</v>
      </c>
      <c r="B390">
        <v>1</v>
      </c>
      <c r="D390">
        <v>11</v>
      </c>
      <c r="E390" t="s">
        <v>805</v>
      </c>
      <c r="F390" t="s">
        <v>806</v>
      </c>
      <c r="G390">
        <v>1.2</v>
      </c>
      <c r="H390">
        <v>0</v>
      </c>
      <c r="I390" t="s">
        <v>3</v>
      </c>
      <c r="J390">
        <v>0</v>
      </c>
      <c r="K390">
        <v>0</v>
      </c>
      <c r="L390" t="s">
        <v>3</v>
      </c>
      <c r="M390" t="s">
        <v>3</v>
      </c>
      <c r="N390">
        <v>0</v>
      </c>
    </row>
    <row r="391" spans="1:40" x14ac:dyDescent="0.2">
      <c r="A391">
        <v>70</v>
      </c>
      <c r="B391">
        <v>1</v>
      </c>
      <c r="D391">
        <v>12</v>
      </c>
      <c r="E391" t="s">
        <v>807</v>
      </c>
      <c r="F391" t="s">
        <v>808</v>
      </c>
      <c r="G391">
        <v>0</v>
      </c>
      <c r="H391">
        <v>0</v>
      </c>
      <c r="I391" t="s">
        <v>3</v>
      </c>
      <c r="J391">
        <v>0</v>
      </c>
      <c r="K391">
        <v>0</v>
      </c>
      <c r="L391" t="s">
        <v>3</v>
      </c>
      <c r="M391" t="s">
        <v>3</v>
      </c>
      <c r="N391">
        <v>0</v>
      </c>
    </row>
    <row r="392" spans="1:40" x14ac:dyDescent="0.2">
      <c r="A392">
        <v>70</v>
      </c>
      <c r="B392">
        <v>1</v>
      </c>
      <c r="D392">
        <v>13</v>
      </c>
      <c r="E392" t="s">
        <v>809</v>
      </c>
      <c r="F392" t="s">
        <v>810</v>
      </c>
      <c r="G392">
        <v>1</v>
      </c>
      <c r="H392">
        <v>0</v>
      </c>
      <c r="I392" t="s">
        <v>3</v>
      </c>
      <c r="J392">
        <v>0</v>
      </c>
      <c r="K392">
        <v>0</v>
      </c>
      <c r="L392" t="s">
        <v>3</v>
      </c>
      <c r="M392" t="s">
        <v>3</v>
      </c>
      <c r="N392">
        <v>0</v>
      </c>
    </row>
    <row r="394" spans="1:40" x14ac:dyDescent="0.2">
      <c r="A394">
        <v>-1</v>
      </c>
    </row>
    <row r="396" spans="1:40" x14ac:dyDescent="0.2">
      <c r="A396" s="3">
        <v>75</v>
      </c>
      <c r="B396" s="3" t="s">
        <v>811</v>
      </c>
      <c r="C396" s="3">
        <v>2021</v>
      </c>
      <c r="D396" s="3">
        <v>0</v>
      </c>
      <c r="E396" s="3">
        <v>1</v>
      </c>
      <c r="F396" s="3">
        <v>0</v>
      </c>
      <c r="G396" s="3">
        <v>0</v>
      </c>
      <c r="H396" s="3">
        <v>1</v>
      </c>
      <c r="I396" s="3">
        <v>0</v>
      </c>
      <c r="J396" s="3">
        <v>3</v>
      </c>
      <c r="K396" s="3">
        <v>0</v>
      </c>
      <c r="L396" s="3">
        <v>0</v>
      </c>
      <c r="M396" s="3">
        <v>0</v>
      </c>
      <c r="N396" s="3">
        <v>68990560</v>
      </c>
      <c r="O396" s="3">
        <v>1</v>
      </c>
    </row>
    <row r="397" spans="1:40" x14ac:dyDescent="0.2">
      <c r="A397" s="5">
        <v>1</v>
      </c>
      <c r="B397" s="5" t="s">
        <v>812</v>
      </c>
      <c r="C397" s="5" t="s">
        <v>813</v>
      </c>
      <c r="D397" s="5">
        <v>2021</v>
      </c>
      <c r="E397" s="5">
        <v>1</v>
      </c>
      <c r="F397" s="5">
        <v>1</v>
      </c>
      <c r="G397" s="5">
        <v>1</v>
      </c>
      <c r="H397" s="5">
        <v>0</v>
      </c>
      <c r="I397" s="5">
        <v>2</v>
      </c>
      <c r="J397" s="5">
        <v>1</v>
      </c>
      <c r="K397" s="5">
        <v>1</v>
      </c>
      <c r="L397" s="5">
        <v>1</v>
      </c>
      <c r="M397" s="5">
        <v>1</v>
      </c>
      <c r="N397" s="5">
        <v>1</v>
      </c>
      <c r="O397" s="5">
        <v>1</v>
      </c>
      <c r="P397" s="5">
        <v>1</v>
      </c>
      <c r="Q397" s="5">
        <v>1</v>
      </c>
      <c r="R397" s="5" t="s">
        <v>3</v>
      </c>
      <c r="S397" s="5" t="s">
        <v>3</v>
      </c>
      <c r="T397" s="5" t="s">
        <v>3</v>
      </c>
      <c r="U397" s="5" t="s">
        <v>3</v>
      </c>
      <c r="V397" s="5" t="s">
        <v>3</v>
      </c>
      <c r="W397" s="5" t="s">
        <v>3</v>
      </c>
      <c r="X397" s="5" t="s">
        <v>3</v>
      </c>
      <c r="Y397" s="5" t="s">
        <v>3</v>
      </c>
      <c r="Z397" s="5" t="s">
        <v>3</v>
      </c>
      <c r="AA397" s="5" t="s">
        <v>3</v>
      </c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>
        <v>68990574</v>
      </c>
    </row>
    <row r="398" spans="1:40" x14ac:dyDescent="0.2">
      <c r="A398" s="5">
        <v>1</v>
      </c>
      <c r="B398" s="5" t="s">
        <v>812</v>
      </c>
      <c r="C398" s="5" t="s">
        <v>814</v>
      </c>
      <c r="D398" s="5">
        <v>2021</v>
      </c>
      <c r="E398" s="5">
        <v>1</v>
      </c>
      <c r="F398" s="5">
        <v>1</v>
      </c>
      <c r="G398" s="5">
        <v>1</v>
      </c>
      <c r="H398" s="5">
        <v>0</v>
      </c>
      <c r="I398" s="5">
        <v>2</v>
      </c>
      <c r="J398" s="5">
        <v>1</v>
      </c>
      <c r="K398" s="5">
        <v>1</v>
      </c>
      <c r="L398" s="5">
        <v>1</v>
      </c>
      <c r="M398" s="5">
        <v>1</v>
      </c>
      <c r="N398" s="5">
        <v>1</v>
      </c>
      <c r="O398" s="5">
        <v>1</v>
      </c>
      <c r="P398" s="5">
        <v>1</v>
      </c>
      <c r="Q398" s="5">
        <v>1</v>
      </c>
      <c r="R398" s="5" t="s">
        <v>3</v>
      </c>
      <c r="S398" s="5" t="s">
        <v>3</v>
      </c>
      <c r="T398" s="5" t="s">
        <v>3</v>
      </c>
      <c r="U398" s="5" t="s">
        <v>3</v>
      </c>
      <c r="V398" s="5" t="s">
        <v>3</v>
      </c>
      <c r="W398" s="5" t="s">
        <v>3</v>
      </c>
      <c r="X398" s="5" t="s">
        <v>3</v>
      </c>
      <c r="Y398" s="5" t="s">
        <v>3</v>
      </c>
      <c r="Z398" s="5" t="s">
        <v>3</v>
      </c>
      <c r="AA398" s="5" t="s">
        <v>3</v>
      </c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>
        <v>68990575</v>
      </c>
    </row>
    <row r="402" spans="1:5" x14ac:dyDescent="0.2">
      <c r="A402">
        <v>65</v>
      </c>
      <c r="C402">
        <v>1</v>
      </c>
      <c r="D402">
        <v>0</v>
      </c>
      <c r="E402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815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63834</v>
      </c>
      <c r="M1">
        <v>10</v>
      </c>
      <c r="N1">
        <v>11</v>
      </c>
      <c r="O1">
        <v>2</v>
      </c>
      <c r="P1">
        <v>0</v>
      </c>
      <c r="Q1">
        <v>3</v>
      </c>
    </row>
    <row r="12" spans="1:133" x14ac:dyDescent="0.2">
      <c r="A12" s="1">
        <v>1</v>
      </c>
      <c r="B12" s="1">
        <v>56</v>
      </c>
      <c r="C12" s="1">
        <v>0</v>
      </c>
      <c r="D12" s="1"/>
      <c r="E12" s="1">
        <v>0</v>
      </c>
      <c r="F12" s="1" t="s">
        <v>3</v>
      </c>
      <c r="G12" s="1" t="s">
        <v>4</v>
      </c>
      <c r="H12" s="1" t="s">
        <v>3</v>
      </c>
      <c r="I12" s="1">
        <v>0</v>
      </c>
      <c r="J12" s="1" t="s">
        <v>3</v>
      </c>
      <c r="K12" s="1">
        <v>0</v>
      </c>
      <c r="L12" s="1">
        <v>0</v>
      </c>
      <c r="M12" s="1">
        <v>2</v>
      </c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>
        <v>1</v>
      </c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5</v>
      </c>
      <c r="BI12" s="1" t="s">
        <v>6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7</v>
      </c>
      <c r="BZ12" s="1" t="s">
        <v>8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10</v>
      </c>
      <c r="CF12" s="1">
        <v>0</v>
      </c>
      <c r="CG12" s="1">
        <v>0</v>
      </c>
      <c r="CH12" s="1">
        <v>917512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68990560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11</v>
      </c>
      <c r="D16" s="6" t="s">
        <v>11</v>
      </c>
      <c r="E16" s="7">
        <f>(Source!F319)/1000</f>
        <v>571.50242000000003</v>
      </c>
      <c r="F16" s="7">
        <f>(Source!F320)/1000</f>
        <v>311.63493</v>
      </c>
      <c r="G16" s="7">
        <f>(Source!F311)/1000</f>
        <v>0</v>
      </c>
      <c r="H16" s="7">
        <f>(Source!F321)/1000+(Source!F322)/1000</f>
        <v>0</v>
      </c>
      <c r="I16" s="7">
        <f>E16+F16+G16+H16</f>
        <v>883.13734999999997</v>
      </c>
      <c r="J16" s="7">
        <f>(Source!F317)/1000</f>
        <v>187.61653000000001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600427.43000000005</v>
      </c>
      <c r="AU16" s="7">
        <v>401321.06</v>
      </c>
      <c r="AV16" s="7">
        <v>0</v>
      </c>
      <c r="AW16" s="7">
        <v>0</v>
      </c>
      <c r="AX16" s="7">
        <v>0</v>
      </c>
      <c r="AY16" s="7">
        <v>11489.84</v>
      </c>
      <c r="AZ16" s="7">
        <v>4308.3</v>
      </c>
      <c r="BA16" s="7">
        <v>187616.53</v>
      </c>
      <c r="BB16" s="7">
        <v>571502.42000000004</v>
      </c>
      <c r="BC16" s="7">
        <v>311634.93</v>
      </c>
      <c r="BD16" s="7">
        <v>0</v>
      </c>
      <c r="BE16" s="7">
        <v>0</v>
      </c>
      <c r="BF16" s="7">
        <v>609.03861865499982</v>
      </c>
      <c r="BG16" s="7">
        <v>10.676120767499997</v>
      </c>
      <c r="BH16" s="7">
        <v>0</v>
      </c>
      <c r="BI16" s="7">
        <v>172849.97</v>
      </c>
      <c r="BJ16" s="7">
        <v>107035.08</v>
      </c>
      <c r="BK16" s="7">
        <v>883137.35</v>
      </c>
    </row>
    <row r="18" spans="1:19" x14ac:dyDescent="0.2">
      <c r="A18">
        <v>51</v>
      </c>
      <c r="E18" s="8">
        <f>SUMIF(A16:A17,3,E16:E17)</f>
        <v>571.50242000000003</v>
      </c>
      <c r="F18" s="8">
        <f>SUMIF(A16:A17,3,F16:F17)</f>
        <v>311.63493</v>
      </c>
      <c r="G18" s="8">
        <f>SUMIF(A16:A17,3,G16:G17)</f>
        <v>0</v>
      </c>
      <c r="H18" s="8">
        <f>SUMIF(A16:A17,3,H16:H17)</f>
        <v>0</v>
      </c>
      <c r="I18" s="8">
        <f>SUMIF(A16:A17,3,I16:I17)</f>
        <v>883.13734999999997</v>
      </c>
      <c r="J18" s="8">
        <f>SUMIF(A16:A17,3,J16:J17)</f>
        <v>187.61653000000001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600427.43000000005</v>
      </c>
      <c r="G20" s="4" t="s">
        <v>625</v>
      </c>
      <c r="H20" s="4" t="s">
        <v>626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401321.06</v>
      </c>
      <c r="G21" s="4" t="s">
        <v>627</v>
      </c>
      <c r="H21" s="4" t="s">
        <v>628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629</v>
      </c>
      <c r="H22" s="4" t="s">
        <v>630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401321.06</v>
      </c>
      <c r="G23" s="4" t="s">
        <v>631</v>
      </c>
      <c r="H23" s="4" t="s">
        <v>632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401321.06</v>
      </c>
      <c r="G24" s="4" t="s">
        <v>633</v>
      </c>
      <c r="H24" s="4" t="s">
        <v>634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635</v>
      </c>
      <c r="H25" s="4" t="s">
        <v>636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401321.06</v>
      </c>
      <c r="G26" s="4" t="s">
        <v>637</v>
      </c>
      <c r="H26" s="4" t="s">
        <v>638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639</v>
      </c>
      <c r="H27" s="4" t="s">
        <v>640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641</v>
      </c>
      <c r="H28" s="4" t="s">
        <v>642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643</v>
      </c>
      <c r="H29" s="4" t="s">
        <v>644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11489.84</v>
      </c>
      <c r="G30" s="4" t="s">
        <v>645</v>
      </c>
      <c r="H30" s="4" t="s">
        <v>646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647</v>
      </c>
      <c r="H31" s="4" t="s">
        <v>648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4308.3</v>
      </c>
      <c r="G32" s="4" t="s">
        <v>649</v>
      </c>
      <c r="H32" s="4" t="s">
        <v>650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187616.53</v>
      </c>
      <c r="G33" s="4" t="s">
        <v>651</v>
      </c>
      <c r="H33" s="4" t="s">
        <v>652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653</v>
      </c>
      <c r="H34" s="4" t="s">
        <v>654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571502.42000000004</v>
      </c>
      <c r="G35" s="4" t="s">
        <v>655</v>
      </c>
      <c r="H35" s="4" t="s">
        <v>656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311634.93</v>
      </c>
      <c r="G36" s="4" t="s">
        <v>657</v>
      </c>
      <c r="H36" s="4" t="s">
        <v>658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0</v>
      </c>
      <c r="G37" s="4" t="s">
        <v>659</v>
      </c>
      <c r="H37" s="4" t="s">
        <v>660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661</v>
      </c>
      <c r="H38" s="4" t="s">
        <v>662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663</v>
      </c>
      <c r="H39" s="4" t="s">
        <v>664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609.03861865499982</v>
      </c>
      <c r="G40" s="4" t="s">
        <v>665</v>
      </c>
      <c r="H40" s="4" t="s">
        <v>666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10.676120767499997</v>
      </c>
      <c r="G41" s="4" t="s">
        <v>667</v>
      </c>
      <c r="H41" s="4" t="s">
        <v>668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669</v>
      </c>
      <c r="H42" s="4" t="s">
        <v>670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233</v>
      </c>
      <c r="F43" s="4">
        <v>2824.87</v>
      </c>
      <c r="G43" s="4" t="s">
        <v>671</v>
      </c>
      <c r="H43" s="4" t="s">
        <v>672</v>
      </c>
      <c r="I43" s="4"/>
      <c r="J43" s="4"/>
      <c r="K43" s="4">
        <v>233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210</v>
      </c>
      <c r="F44" s="4">
        <v>172849.97</v>
      </c>
      <c r="G44" s="4" t="s">
        <v>673</v>
      </c>
      <c r="H44" s="4" t="s">
        <v>674</v>
      </c>
      <c r="I44" s="4"/>
      <c r="J44" s="4"/>
      <c r="K44" s="4">
        <v>210</v>
      </c>
      <c r="L44" s="4">
        <v>25</v>
      </c>
      <c r="M44" s="4">
        <v>3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211</v>
      </c>
      <c r="F45" s="4">
        <v>107035.08</v>
      </c>
      <c r="G45" s="4" t="s">
        <v>675</v>
      </c>
      <c r="H45" s="4" t="s">
        <v>676</v>
      </c>
      <c r="I45" s="4"/>
      <c r="J45" s="4"/>
      <c r="K45" s="4">
        <v>211</v>
      </c>
      <c r="L45" s="4">
        <v>26</v>
      </c>
      <c r="M45" s="4">
        <v>3</v>
      </c>
      <c r="N45" s="4" t="s">
        <v>3</v>
      </c>
      <c r="O45" s="4">
        <v>2</v>
      </c>
      <c r="P45" s="4"/>
    </row>
    <row r="46" spans="1:16" x14ac:dyDescent="0.2">
      <c r="A46" s="4">
        <v>50</v>
      </c>
      <c r="B46" s="4">
        <v>0</v>
      </c>
      <c r="C46" s="4">
        <v>0</v>
      </c>
      <c r="D46" s="4">
        <v>1</v>
      </c>
      <c r="E46" s="4">
        <v>224</v>
      </c>
      <c r="F46" s="4">
        <v>883137.35</v>
      </c>
      <c r="G46" s="4" t="s">
        <v>677</v>
      </c>
      <c r="H46" s="4" t="s">
        <v>678</v>
      </c>
      <c r="I46" s="4"/>
      <c r="J46" s="4"/>
      <c r="K46" s="4">
        <v>224</v>
      </c>
      <c r="L46" s="4">
        <v>27</v>
      </c>
      <c r="M46" s="4">
        <v>3</v>
      </c>
      <c r="N46" s="4" t="s">
        <v>3</v>
      </c>
      <c r="O46" s="4">
        <v>2</v>
      </c>
      <c r="P46" s="4"/>
    </row>
    <row r="47" spans="1:16" x14ac:dyDescent="0.2">
      <c r="A47" s="4">
        <v>50</v>
      </c>
      <c r="B47" s="4">
        <v>1</v>
      </c>
      <c r="C47" s="4">
        <v>0</v>
      </c>
      <c r="D47" s="4">
        <v>2</v>
      </c>
      <c r="E47" s="4">
        <v>0</v>
      </c>
      <c r="F47" s="4">
        <v>883137.35</v>
      </c>
      <c r="G47" s="4" t="s">
        <v>740</v>
      </c>
      <c r="H47" s="4" t="s">
        <v>741</v>
      </c>
      <c r="I47" s="4"/>
      <c r="J47" s="4"/>
      <c r="K47" s="4">
        <v>212</v>
      </c>
      <c r="L47" s="4">
        <v>28</v>
      </c>
      <c r="M47" s="4">
        <v>0</v>
      </c>
      <c r="N47" s="4" t="s">
        <v>3</v>
      </c>
      <c r="O47" s="4">
        <v>2</v>
      </c>
      <c r="P47" s="4"/>
    </row>
    <row r="48" spans="1:16" x14ac:dyDescent="0.2">
      <c r="A48" s="4">
        <v>50</v>
      </c>
      <c r="B48" s="4">
        <v>1</v>
      </c>
      <c r="C48" s="4">
        <v>0</v>
      </c>
      <c r="D48" s="4">
        <v>2</v>
      </c>
      <c r="E48" s="4">
        <v>0</v>
      </c>
      <c r="F48" s="4">
        <v>17662.75</v>
      </c>
      <c r="G48" s="4" t="s">
        <v>742</v>
      </c>
      <c r="H48" s="4" t="s">
        <v>743</v>
      </c>
      <c r="I48" s="4"/>
      <c r="J48" s="4"/>
      <c r="K48" s="4">
        <v>212</v>
      </c>
      <c r="L48" s="4">
        <v>29</v>
      </c>
      <c r="M48" s="4">
        <v>0</v>
      </c>
      <c r="N48" s="4" t="s">
        <v>3</v>
      </c>
      <c r="O48" s="4">
        <v>2</v>
      </c>
      <c r="P48" s="4"/>
    </row>
    <row r="49" spans="1:40" x14ac:dyDescent="0.2">
      <c r="A49" s="4">
        <v>50</v>
      </c>
      <c r="B49" s="4">
        <v>1</v>
      </c>
      <c r="C49" s="4">
        <v>0</v>
      </c>
      <c r="D49" s="4">
        <v>2</v>
      </c>
      <c r="E49" s="4">
        <v>0</v>
      </c>
      <c r="F49" s="4">
        <v>900800.1</v>
      </c>
      <c r="G49" s="4" t="s">
        <v>744</v>
      </c>
      <c r="H49" s="4" t="s">
        <v>745</v>
      </c>
      <c r="I49" s="4"/>
      <c r="J49" s="4"/>
      <c r="K49" s="4">
        <v>212</v>
      </c>
      <c r="L49" s="4">
        <v>30</v>
      </c>
      <c r="M49" s="4">
        <v>0</v>
      </c>
      <c r="N49" s="4" t="s">
        <v>3</v>
      </c>
      <c r="O49" s="4">
        <v>2</v>
      </c>
      <c r="P49" s="4"/>
    </row>
    <row r="50" spans="1:40" x14ac:dyDescent="0.2">
      <c r="A50" s="4">
        <v>50</v>
      </c>
      <c r="B50" s="4">
        <v>1</v>
      </c>
      <c r="C50" s="4">
        <v>0</v>
      </c>
      <c r="D50" s="4">
        <v>2</v>
      </c>
      <c r="E50" s="4">
        <v>0</v>
      </c>
      <c r="F50" s="4">
        <v>180160.02</v>
      </c>
      <c r="G50" s="4" t="s">
        <v>746</v>
      </c>
      <c r="H50" s="4" t="s">
        <v>747</v>
      </c>
      <c r="I50" s="4"/>
      <c r="J50" s="4"/>
      <c r="K50" s="4">
        <v>212</v>
      </c>
      <c r="L50" s="4">
        <v>31</v>
      </c>
      <c r="M50" s="4">
        <v>0</v>
      </c>
      <c r="N50" s="4" t="s">
        <v>3</v>
      </c>
      <c r="O50" s="4">
        <v>2</v>
      </c>
      <c r="P50" s="4"/>
    </row>
    <row r="51" spans="1:40" x14ac:dyDescent="0.2">
      <c r="A51" s="4">
        <v>50</v>
      </c>
      <c r="B51" s="4">
        <v>1</v>
      </c>
      <c r="C51" s="4">
        <v>0</v>
      </c>
      <c r="D51" s="4">
        <v>2</v>
      </c>
      <c r="E51" s="4">
        <v>0</v>
      </c>
      <c r="F51" s="4">
        <v>1080960.1200000001</v>
      </c>
      <c r="G51" s="4" t="s">
        <v>748</v>
      </c>
      <c r="H51" s="4" t="s">
        <v>749</v>
      </c>
      <c r="I51" s="4"/>
      <c r="J51" s="4"/>
      <c r="K51" s="4">
        <v>212</v>
      </c>
      <c r="L51" s="4">
        <v>32</v>
      </c>
      <c r="M51" s="4">
        <v>0</v>
      </c>
      <c r="N51" s="4" t="s">
        <v>3</v>
      </c>
      <c r="O51" s="4">
        <v>2</v>
      </c>
      <c r="P51" s="4"/>
    </row>
    <row r="53" spans="1:40" x14ac:dyDescent="0.2">
      <c r="A53">
        <v>-1</v>
      </c>
    </row>
    <row r="56" spans="1:40" x14ac:dyDescent="0.2">
      <c r="A56" s="3">
        <v>75</v>
      </c>
      <c r="B56" s="3" t="s">
        <v>811</v>
      </c>
      <c r="C56" s="3">
        <v>2021</v>
      </c>
      <c r="D56" s="3">
        <v>0</v>
      </c>
      <c r="E56" s="3">
        <v>1</v>
      </c>
      <c r="F56" s="3">
        <v>0</v>
      </c>
      <c r="G56" s="3">
        <v>0</v>
      </c>
      <c r="H56" s="3">
        <v>1</v>
      </c>
      <c r="I56" s="3">
        <v>0</v>
      </c>
      <c r="J56" s="3">
        <v>3</v>
      </c>
      <c r="K56" s="3">
        <v>0</v>
      </c>
      <c r="L56" s="3">
        <v>0</v>
      </c>
      <c r="M56" s="3">
        <v>0</v>
      </c>
      <c r="N56" s="3">
        <v>68990560</v>
      </c>
      <c r="O56" s="3">
        <v>1</v>
      </c>
    </row>
    <row r="57" spans="1:40" x14ac:dyDescent="0.2">
      <c r="A57" s="5">
        <v>1</v>
      </c>
      <c r="B57" s="5" t="s">
        <v>812</v>
      </c>
      <c r="C57" s="5" t="s">
        <v>813</v>
      </c>
      <c r="D57" s="5">
        <v>2021</v>
      </c>
      <c r="E57" s="5">
        <v>1</v>
      </c>
      <c r="F57" s="5">
        <v>1</v>
      </c>
      <c r="G57" s="5">
        <v>1</v>
      </c>
      <c r="H57" s="5">
        <v>0</v>
      </c>
      <c r="I57" s="5">
        <v>2</v>
      </c>
      <c r="J57" s="5">
        <v>1</v>
      </c>
      <c r="K57" s="5">
        <v>1</v>
      </c>
      <c r="L57" s="5">
        <v>1</v>
      </c>
      <c r="M57" s="5">
        <v>1</v>
      </c>
      <c r="N57" s="5">
        <v>1</v>
      </c>
      <c r="O57" s="5">
        <v>1</v>
      </c>
      <c r="P57" s="5">
        <v>1</v>
      </c>
      <c r="Q57" s="5">
        <v>1</v>
      </c>
      <c r="R57" s="5" t="s">
        <v>3</v>
      </c>
      <c r="S57" s="5" t="s">
        <v>3</v>
      </c>
      <c r="T57" s="5" t="s">
        <v>3</v>
      </c>
      <c r="U57" s="5" t="s">
        <v>3</v>
      </c>
      <c r="V57" s="5" t="s">
        <v>3</v>
      </c>
      <c r="W57" s="5" t="s">
        <v>3</v>
      </c>
      <c r="X57" s="5" t="s">
        <v>3</v>
      </c>
      <c r="Y57" s="5" t="s">
        <v>3</v>
      </c>
      <c r="Z57" s="5" t="s">
        <v>3</v>
      </c>
      <c r="AA57" s="5" t="s">
        <v>3</v>
      </c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>
        <v>68990574</v>
      </c>
    </row>
    <row r="58" spans="1:40" x14ac:dyDescent="0.2">
      <c r="A58" s="5">
        <v>1</v>
      </c>
      <c r="B58" s="5" t="s">
        <v>812</v>
      </c>
      <c r="C58" s="5" t="s">
        <v>814</v>
      </c>
      <c r="D58" s="5">
        <v>2021</v>
      </c>
      <c r="E58" s="5">
        <v>1</v>
      </c>
      <c r="F58" s="5">
        <v>1</v>
      </c>
      <c r="G58" s="5">
        <v>1</v>
      </c>
      <c r="H58" s="5">
        <v>0</v>
      </c>
      <c r="I58" s="5">
        <v>2</v>
      </c>
      <c r="J58" s="5">
        <v>1</v>
      </c>
      <c r="K58" s="5">
        <v>1</v>
      </c>
      <c r="L58" s="5">
        <v>1</v>
      </c>
      <c r="M58" s="5">
        <v>1</v>
      </c>
      <c r="N58" s="5">
        <v>1</v>
      </c>
      <c r="O58" s="5">
        <v>1</v>
      </c>
      <c r="P58" s="5">
        <v>1</v>
      </c>
      <c r="Q58" s="5">
        <v>1</v>
      </c>
      <c r="R58" s="5" t="s">
        <v>3</v>
      </c>
      <c r="S58" s="5" t="s">
        <v>3</v>
      </c>
      <c r="T58" s="5" t="s">
        <v>3</v>
      </c>
      <c r="U58" s="5" t="s">
        <v>3</v>
      </c>
      <c r="V58" s="5" t="s">
        <v>3</v>
      </c>
      <c r="W58" s="5" t="s">
        <v>3</v>
      </c>
      <c r="X58" s="5" t="s">
        <v>3</v>
      </c>
      <c r="Y58" s="5" t="s">
        <v>3</v>
      </c>
      <c r="Z58" s="5" t="s">
        <v>3</v>
      </c>
      <c r="AA58" s="5" t="s">
        <v>3</v>
      </c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>
        <v>68990575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602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7" x14ac:dyDescent="0.2">
      <c r="A1">
        <f>ROW(Source!A29)</f>
        <v>29</v>
      </c>
      <c r="B1">
        <v>68990560</v>
      </c>
      <c r="C1">
        <v>68990680</v>
      </c>
      <c r="D1">
        <v>37080781</v>
      </c>
      <c r="E1">
        <v>56</v>
      </c>
      <c r="F1">
        <v>1</v>
      </c>
      <c r="G1">
        <v>1</v>
      </c>
      <c r="H1">
        <v>1</v>
      </c>
      <c r="I1" t="s">
        <v>816</v>
      </c>
      <c r="J1" t="s">
        <v>3</v>
      </c>
      <c r="K1" t="s">
        <v>817</v>
      </c>
      <c r="L1">
        <v>1191</v>
      </c>
      <c r="N1">
        <v>1013</v>
      </c>
      <c r="O1" t="s">
        <v>818</v>
      </c>
      <c r="P1" t="s">
        <v>818</v>
      </c>
      <c r="Q1">
        <v>1</v>
      </c>
      <c r="W1">
        <v>0</v>
      </c>
      <c r="X1">
        <v>912892513</v>
      </c>
      <c r="Y1">
        <v>63.633600000000001</v>
      </c>
      <c r="AA1">
        <v>0</v>
      </c>
      <c r="AB1">
        <v>0</v>
      </c>
      <c r="AC1">
        <v>0</v>
      </c>
      <c r="AD1">
        <v>9.92</v>
      </c>
      <c r="AE1">
        <v>0</v>
      </c>
      <c r="AF1">
        <v>0</v>
      </c>
      <c r="AG1">
        <v>0</v>
      </c>
      <c r="AH1">
        <v>9.92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3</v>
      </c>
      <c r="AT1">
        <v>78.56</v>
      </c>
      <c r="AU1" t="s">
        <v>21</v>
      </c>
      <c r="AV1">
        <v>1</v>
      </c>
      <c r="AW1">
        <v>2</v>
      </c>
      <c r="AX1">
        <v>68990689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Y1*Source!I29</f>
        <v>0.63633600000000001</v>
      </c>
      <c r="CY1">
        <f>AD1</f>
        <v>9.92</v>
      </c>
      <c r="CZ1">
        <f>AH1</f>
        <v>9.92</v>
      </c>
      <c r="DA1">
        <f>AL1</f>
        <v>1</v>
      </c>
      <c r="DB1">
        <f>ROUND(((ROUND(AT1*CZ1,2)*1.35)*0.6),2)</f>
        <v>631.25</v>
      </c>
      <c r="DC1">
        <f>ROUND(((ROUND(AT1*AG1,2)*1.35)*0.6),2)</f>
        <v>0</v>
      </c>
    </row>
    <row r="2" spans="1:107" x14ac:dyDescent="0.2">
      <c r="A2">
        <f>ROW(Source!A29)</f>
        <v>29</v>
      </c>
      <c r="B2">
        <v>68990560</v>
      </c>
      <c r="C2">
        <v>68990680</v>
      </c>
      <c r="D2">
        <v>37064876</v>
      </c>
      <c r="E2">
        <v>56</v>
      </c>
      <c r="F2">
        <v>1</v>
      </c>
      <c r="G2">
        <v>1</v>
      </c>
      <c r="H2">
        <v>1</v>
      </c>
      <c r="I2" t="s">
        <v>819</v>
      </c>
      <c r="J2" t="s">
        <v>3</v>
      </c>
      <c r="K2" t="s">
        <v>820</v>
      </c>
      <c r="L2">
        <v>1191</v>
      </c>
      <c r="N2">
        <v>1013</v>
      </c>
      <c r="O2" t="s">
        <v>818</v>
      </c>
      <c r="P2" t="s">
        <v>818</v>
      </c>
      <c r="Q2">
        <v>1</v>
      </c>
      <c r="W2">
        <v>0</v>
      </c>
      <c r="X2">
        <v>-1417349443</v>
      </c>
      <c r="Y2">
        <v>0.32400000000000001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1</v>
      </c>
      <c r="AQ2">
        <v>0</v>
      </c>
      <c r="AR2">
        <v>0</v>
      </c>
      <c r="AS2" t="s">
        <v>3</v>
      </c>
      <c r="AT2">
        <v>0.4</v>
      </c>
      <c r="AU2" t="s">
        <v>21</v>
      </c>
      <c r="AV2">
        <v>2</v>
      </c>
      <c r="AW2">
        <v>2</v>
      </c>
      <c r="AX2">
        <v>68990690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Y2*Source!I29</f>
        <v>3.2400000000000003E-3</v>
      </c>
      <c r="CY2">
        <f>AD2</f>
        <v>0</v>
      </c>
      <c r="CZ2">
        <f>AH2</f>
        <v>0</v>
      </c>
      <c r="DA2">
        <f>AL2</f>
        <v>1</v>
      </c>
      <c r="DB2">
        <f>ROUND(((ROUND(AT2*CZ2,2)*1.35)*0.6),2)</f>
        <v>0</v>
      </c>
      <c r="DC2">
        <f>ROUND(((ROUND(AT2*AG2,2)*1.35)*0.6),2)</f>
        <v>0</v>
      </c>
    </row>
    <row r="3" spans="1:107" x14ac:dyDescent="0.2">
      <c r="A3">
        <f>ROW(Source!A29)</f>
        <v>29</v>
      </c>
      <c r="B3">
        <v>68990560</v>
      </c>
      <c r="C3">
        <v>68990680</v>
      </c>
      <c r="D3">
        <v>64401763</v>
      </c>
      <c r="E3">
        <v>1</v>
      </c>
      <c r="F3">
        <v>1</v>
      </c>
      <c r="G3">
        <v>1</v>
      </c>
      <c r="H3">
        <v>2</v>
      </c>
      <c r="I3" t="s">
        <v>821</v>
      </c>
      <c r="J3" t="s">
        <v>822</v>
      </c>
      <c r="K3" t="s">
        <v>823</v>
      </c>
      <c r="L3">
        <v>1368</v>
      </c>
      <c r="N3">
        <v>1011</v>
      </c>
      <c r="O3" t="s">
        <v>824</v>
      </c>
      <c r="P3" t="s">
        <v>824</v>
      </c>
      <c r="Q3">
        <v>1</v>
      </c>
      <c r="W3">
        <v>0</v>
      </c>
      <c r="X3">
        <v>-1346461524</v>
      </c>
      <c r="Y3">
        <v>0.16200000000000001</v>
      </c>
      <c r="AA3">
        <v>0</v>
      </c>
      <c r="AB3">
        <v>1074.3699999999999</v>
      </c>
      <c r="AC3">
        <v>454.28</v>
      </c>
      <c r="AD3">
        <v>0</v>
      </c>
      <c r="AE3">
        <v>0</v>
      </c>
      <c r="AF3">
        <v>115.4</v>
      </c>
      <c r="AG3">
        <v>13.5</v>
      </c>
      <c r="AH3">
        <v>0</v>
      </c>
      <c r="AI3">
        <v>1</v>
      </c>
      <c r="AJ3">
        <v>9.31</v>
      </c>
      <c r="AK3">
        <v>33.65</v>
      </c>
      <c r="AL3">
        <v>1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3</v>
      </c>
      <c r="AT3">
        <v>0.2</v>
      </c>
      <c r="AU3" t="s">
        <v>21</v>
      </c>
      <c r="AV3">
        <v>0</v>
      </c>
      <c r="AW3">
        <v>2</v>
      </c>
      <c r="AX3">
        <v>68990691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Y3*Source!I29</f>
        <v>1.6200000000000001E-3</v>
      </c>
      <c r="CY3">
        <f>AB3</f>
        <v>1074.3699999999999</v>
      </c>
      <c r="CZ3">
        <f>AF3</f>
        <v>115.4</v>
      </c>
      <c r="DA3">
        <f>AJ3</f>
        <v>9.31</v>
      </c>
      <c r="DB3">
        <f>ROUND(((ROUND(AT3*CZ3,2)*1.35)*0.6),2)</f>
        <v>18.690000000000001</v>
      </c>
      <c r="DC3">
        <f>ROUND(((ROUND(AT3*AG3,2)*1.35)*0.6),2)</f>
        <v>2.19</v>
      </c>
    </row>
    <row r="4" spans="1:107" x14ac:dyDescent="0.2">
      <c r="A4">
        <f>ROW(Source!A29)</f>
        <v>29</v>
      </c>
      <c r="B4">
        <v>68990560</v>
      </c>
      <c r="C4">
        <v>68990680</v>
      </c>
      <c r="D4">
        <v>64402691</v>
      </c>
      <c r="E4">
        <v>1</v>
      </c>
      <c r="F4">
        <v>1</v>
      </c>
      <c r="G4">
        <v>1</v>
      </c>
      <c r="H4">
        <v>2</v>
      </c>
      <c r="I4" t="s">
        <v>825</v>
      </c>
      <c r="J4" t="s">
        <v>826</v>
      </c>
      <c r="K4" t="s">
        <v>827</v>
      </c>
      <c r="L4">
        <v>1368</v>
      </c>
      <c r="N4">
        <v>1011</v>
      </c>
      <c r="O4" t="s">
        <v>824</v>
      </c>
      <c r="P4" t="s">
        <v>824</v>
      </c>
      <c r="Q4">
        <v>1</v>
      </c>
      <c r="W4">
        <v>0</v>
      </c>
      <c r="X4">
        <v>-841254546</v>
      </c>
      <c r="Y4">
        <v>0.16200000000000001</v>
      </c>
      <c r="AA4">
        <v>0</v>
      </c>
      <c r="AB4">
        <v>776.04</v>
      </c>
      <c r="AC4">
        <v>390.34</v>
      </c>
      <c r="AD4">
        <v>0</v>
      </c>
      <c r="AE4">
        <v>0</v>
      </c>
      <c r="AF4">
        <v>65.709999999999994</v>
      </c>
      <c r="AG4">
        <v>11.6</v>
      </c>
      <c r="AH4">
        <v>0</v>
      </c>
      <c r="AI4">
        <v>1</v>
      </c>
      <c r="AJ4">
        <v>11.81</v>
      </c>
      <c r="AK4">
        <v>33.65</v>
      </c>
      <c r="AL4">
        <v>1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3</v>
      </c>
      <c r="AT4">
        <v>0.2</v>
      </c>
      <c r="AU4" t="s">
        <v>21</v>
      </c>
      <c r="AV4">
        <v>0</v>
      </c>
      <c r="AW4">
        <v>2</v>
      </c>
      <c r="AX4">
        <v>68990692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Y4*Source!I29</f>
        <v>1.6200000000000001E-3</v>
      </c>
      <c r="CY4">
        <f>AB4</f>
        <v>776.04</v>
      </c>
      <c r="CZ4">
        <f>AF4</f>
        <v>65.709999999999994</v>
      </c>
      <c r="DA4">
        <f>AJ4</f>
        <v>11.81</v>
      </c>
      <c r="DB4">
        <f>ROUND(((ROUND(AT4*CZ4,2)*1.35)*0.6),2)</f>
        <v>10.64</v>
      </c>
      <c r="DC4">
        <f>ROUND(((ROUND(AT4*AG4,2)*1.35)*0.6),2)</f>
        <v>1.88</v>
      </c>
    </row>
    <row r="5" spans="1:107" x14ac:dyDescent="0.2">
      <c r="A5">
        <f>ROW(Source!A29)</f>
        <v>29</v>
      </c>
      <c r="B5">
        <v>68990560</v>
      </c>
      <c r="C5">
        <v>68990680</v>
      </c>
      <c r="D5">
        <v>64253038</v>
      </c>
      <c r="E5">
        <v>1</v>
      </c>
      <c r="F5">
        <v>1</v>
      </c>
      <c r="G5">
        <v>1</v>
      </c>
      <c r="H5">
        <v>3</v>
      </c>
      <c r="I5" t="s">
        <v>828</v>
      </c>
      <c r="J5" t="s">
        <v>829</v>
      </c>
      <c r="K5" t="s">
        <v>830</v>
      </c>
      <c r="L5">
        <v>1346</v>
      </c>
      <c r="N5">
        <v>1009</v>
      </c>
      <c r="O5" t="s">
        <v>170</v>
      </c>
      <c r="P5" t="s">
        <v>170</v>
      </c>
      <c r="Q5">
        <v>1</v>
      </c>
      <c r="W5">
        <v>0</v>
      </c>
      <c r="X5">
        <v>456480056</v>
      </c>
      <c r="Y5">
        <v>0</v>
      </c>
      <c r="AA5">
        <v>240.77</v>
      </c>
      <c r="AB5">
        <v>0</v>
      </c>
      <c r="AC5">
        <v>0</v>
      </c>
      <c r="AD5">
        <v>0</v>
      </c>
      <c r="AE5">
        <v>30.4</v>
      </c>
      <c r="AF5">
        <v>0</v>
      </c>
      <c r="AG5">
        <v>0</v>
      </c>
      <c r="AH5">
        <v>0</v>
      </c>
      <c r="AI5">
        <v>7.92</v>
      </c>
      <c r="AJ5">
        <v>1</v>
      </c>
      <c r="AK5">
        <v>1</v>
      </c>
      <c r="AL5">
        <v>1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3</v>
      </c>
      <c r="AT5">
        <v>0.21</v>
      </c>
      <c r="AU5" t="s">
        <v>20</v>
      </c>
      <c r="AV5">
        <v>0</v>
      </c>
      <c r="AW5">
        <v>2</v>
      </c>
      <c r="AX5">
        <v>68990693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Y5*Source!I29</f>
        <v>0</v>
      </c>
      <c r="CY5">
        <f>AA5</f>
        <v>240.77</v>
      </c>
      <c r="CZ5">
        <f>AE5</f>
        <v>30.4</v>
      </c>
      <c r="DA5">
        <f>AI5</f>
        <v>7.92</v>
      </c>
      <c r="DB5">
        <f>ROUND((ROUND(AT5*CZ5,2)*0),2)</f>
        <v>0</v>
      </c>
      <c r="DC5">
        <f>ROUND((ROUND(AT5*AG5,2)*0),2)</f>
        <v>0</v>
      </c>
    </row>
    <row r="6" spans="1:107" x14ac:dyDescent="0.2">
      <c r="A6">
        <f>ROW(Source!A29)</f>
        <v>29</v>
      </c>
      <c r="B6">
        <v>68990560</v>
      </c>
      <c r="C6">
        <v>68990680</v>
      </c>
      <c r="D6">
        <v>64255145</v>
      </c>
      <c r="E6">
        <v>1</v>
      </c>
      <c r="F6">
        <v>1</v>
      </c>
      <c r="G6">
        <v>1</v>
      </c>
      <c r="H6">
        <v>3</v>
      </c>
      <c r="I6" t="s">
        <v>831</v>
      </c>
      <c r="J6" t="s">
        <v>832</v>
      </c>
      <c r="K6" t="s">
        <v>833</v>
      </c>
      <c r="L6">
        <v>1425</v>
      </c>
      <c r="N6">
        <v>1013</v>
      </c>
      <c r="O6" t="s">
        <v>18</v>
      </c>
      <c r="P6" t="s">
        <v>18</v>
      </c>
      <c r="Q6">
        <v>1</v>
      </c>
      <c r="W6">
        <v>0</v>
      </c>
      <c r="X6">
        <v>1014360486</v>
      </c>
      <c r="Y6">
        <v>0</v>
      </c>
      <c r="AA6">
        <v>441.18</v>
      </c>
      <c r="AB6">
        <v>0</v>
      </c>
      <c r="AC6">
        <v>0</v>
      </c>
      <c r="AD6">
        <v>0</v>
      </c>
      <c r="AE6">
        <v>86</v>
      </c>
      <c r="AF6">
        <v>0</v>
      </c>
      <c r="AG6">
        <v>0</v>
      </c>
      <c r="AH6">
        <v>0</v>
      </c>
      <c r="AI6">
        <v>5.13</v>
      </c>
      <c r="AJ6">
        <v>1</v>
      </c>
      <c r="AK6">
        <v>1</v>
      </c>
      <c r="AL6">
        <v>1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3</v>
      </c>
      <c r="AT6">
        <v>4.08</v>
      </c>
      <c r="AU6" t="s">
        <v>20</v>
      </c>
      <c r="AV6">
        <v>0</v>
      </c>
      <c r="AW6">
        <v>2</v>
      </c>
      <c r="AX6">
        <v>68990694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Y6*Source!I29</f>
        <v>0</v>
      </c>
      <c r="CY6">
        <f>AA6</f>
        <v>441.18</v>
      </c>
      <c r="CZ6">
        <f>AE6</f>
        <v>86</v>
      </c>
      <c r="DA6">
        <f>AI6</f>
        <v>5.13</v>
      </c>
      <c r="DB6">
        <f>ROUND((ROUND(AT6*CZ6,2)*0),2)</f>
        <v>0</v>
      </c>
      <c r="DC6">
        <f>ROUND((ROUND(AT6*AG6,2)*0),2)</f>
        <v>0</v>
      </c>
    </row>
    <row r="7" spans="1:107" x14ac:dyDescent="0.2">
      <c r="A7">
        <f>ROW(Source!A29)</f>
        <v>29</v>
      </c>
      <c r="B7">
        <v>68990560</v>
      </c>
      <c r="C7">
        <v>68990680</v>
      </c>
      <c r="D7">
        <v>64305045</v>
      </c>
      <c r="E7">
        <v>1</v>
      </c>
      <c r="F7">
        <v>1</v>
      </c>
      <c r="G7">
        <v>1</v>
      </c>
      <c r="H7">
        <v>3</v>
      </c>
      <c r="I7" t="s">
        <v>834</v>
      </c>
      <c r="J7" t="s">
        <v>835</v>
      </c>
      <c r="K7" t="s">
        <v>836</v>
      </c>
      <c r="L7">
        <v>1348</v>
      </c>
      <c r="N7">
        <v>1009</v>
      </c>
      <c r="O7" t="s">
        <v>71</v>
      </c>
      <c r="P7" t="s">
        <v>71</v>
      </c>
      <c r="Q7">
        <v>1000</v>
      </c>
      <c r="W7">
        <v>0</v>
      </c>
      <c r="X7">
        <v>1066411497</v>
      </c>
      <c r="Y7">
        <v>0</v>
      </c>
      <c r="AA7">
        <v>527526.80000000005</v>
      </c>
      <c r="AB7">
        <v>0</v>
      </c>
      <c r="AC7">
        <v>0</v>
      </c>
      <c r="AD7">
        <v>0</v>
      </c>
      <c r="AE7">
        <v>96440</v>
      </c>
      <c r="AF7">
        <v>0</v>
      </c>
      <c r="AG7">
        <v>0</v>
      </c>
      <c r="AH7">
        <v>0</v>
      </c>
      <c r="AI7">
        <v>5.47</v>
      </c>
      <c r="AJ7">
        <v>1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3</v>
      </c>
      <c r="AT7">
        <v>1.5299999999999999E-3</v>
      </c>
      <c r="AU7" t="s">
        <v>20</v>
      </c>
      <c r="AV7">
        <v>0</v>
      </c>
      <c r="AW7">
        <v>2</v>
      </c>
      <c r="AX7">
        <v>68990695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Y7*Source!I29</f>
        <v>0</v>
      </c>
      <c r="CY7">
        <f>AA7</f>
        <v>527526.80000000005</v>
      </c>
      <c r="CZ7">
        <f>AE7</f>
        <v>96440</v>
      </c>
      <c r="DA7">
        <f>AI7</f>
        <v>5.47</v>
      </c>
      <c r="DB7">
        <f>ROUND((ROUND(AT7*CZ7,2)*0),2)</f>
        <v>0</v>
      </c>
      <c r="DC7">
        <f>ROUND((ROUND(AT7*AG7,2)*0),2)</f>
        <v>0</v>
      </c>
    </row>
    <row r="8" spans="1:107" x14ac:dyDescent="0.2">
      <c r="A8">
        <f>ROW(Source!A29)</f>
        <v>29</v>
      </c>
      <c r="B8">
        <v>68990560</v>
      </c>
      <c r="C8">
        <v>68990680</v>
      </c>
      <c r="D8">
        <v>64245580</v>
      </c>
      <c r="E8">
        <v>56</v>
      </c>
      <c r="F8">
        <v>1</v>
      </c>
      <c r="G8">
        <v>1</v>
      </c>
      <c r="H8">
        <v>3</v>
      </c>
      <c r="I8" t="s">
        <v>837</v>
      </c>
      <c r="J8" t="s">
        <v>3</v>
      </c>
      <c r="K8" t="s">
        <v>838</v>
      </c>
      <c r="L8">
        <v>1374</v>
      </c>
      <c r="N8">
        <v>1013</v>
      </c>
      <c r="O8" t="s">
        <v>839</v>
      </c>
      <c r="P8" t="s">
        <v>839</v>
      </c>
      <c r="Q8">
        <v>1</v>
      </c>
      <c r="W8">
        <v>0</v>
      </c>
      <c r="X8">
        <v>-1731369543</v>
      </c>
      <c r="Y8">
        <v>0</v>
      </c>
      <c r="AA8">
        <v>1</v>
      </c>
      <c r="AB8">
        <v>0</v>
      </c>
      <c r="AC8">
        <v>0</v>
      </c>
      <c r="AD8">
        <v>0</v>
      </c>
      <c r="AE8">
        <v>1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3</v>
      </c>
      <c r="AT8">
        <v>15.59</v>
      </c>
      <c r="AU8" t="s">
        <v>20</v>
      </c>
      <c r="AV8">
        <v>0</v>
      </c>
      <c r="AW8">
        <v>2</v>
      </c>
      <c r="AX8">
        <v>68990696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Y8*Source!I29</f>
        <v>0</v>
      </c>
      <c r="CY8">
        <f>AA8</f>
        <v>1</v>
      </c>
      <c r="CZ8">
        <f>AE8</f>
        <v>1</v>
      </c>
      <c r="DA8">
        <f>AI8</f>
        <v>1</v>
      </c>
      <c r="DB8">
        <f>ROUND((ROUND(AT8*CZ8,2)*0),2)</f>
        <v>0</v>
      </c>
      <c r="DC8">
        <f>ROUND((ROUND(AT8*AG8,2)*0),2)</f>
        <v>0</v>
      </c>
    </row>
    <row r="9" spans="1:107" x14ac:dyDescent="0.2">
      <c r="A9">
        <f>ROW(Source!A30)</f>
        <v>30</v>
      </c>
      <c r="B9">
        <v>68990560</v>
      </c>
      <c r="C9">
        <v>68990590</v>
      </c>
      <c r="D9">
        <v>37071037</v>
      </c>
      <c r="E9">
        <v>56</v>
      </c>
      <c r="F9">
        <v>1</v>
      </c>
      <c r="G9">
        <v>1</v>
      </c>
      <c r="H9">
        <v>1</v>
      </c>
      <c r="I9" t="s">
        <v>840</v>
      </c>
      <c r="J9" t="s">
        <v>3</v>
      </c>
      <c r="K9" t="s">
        <v>841</v>
      </c>
      <c r="L9">
        <v>1191</v>
      </c>
      <c r="N9">
        <v>1013</v>
      </c>
      <c r="O9" t="s">
        <v>818</v>
      </c>
      <c r="P9" t="s">
        <v>818</v>
      </c>
      <c r="Q9">
        <v>1</v>
      </c>
      <c r="W9">
        <v>0</v>
      </c>
      <c r="X9">
        <v>1069510174</v>
      </c>
      <c r="Y9">
        <v>0.6804</v>
      </c>
      <c r="AA9">
        <v>0</v>
      </c>
      <c r="AB9">
        <v>0</v>
      </c>
      <c r="AC9">
        <v>0</v>
      </c>
      <c r="AD9">
        <v>9.6199999999999992</v>
      </c>
      <c r="AE9">
        <v>0</v>
      </c>
      <c r="AF9">
        <v>0</v>
      </c>
      <c r="AG9">
        <v>0</v>
      </c>
      <c r="AH9">
        <v>9.6199999999999992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3</v>
      </c>
      <c r="AT9">
        <v>0.84</v>
      </c>
      <c r="AU9" t="s">
        <v>21</v>
      </c>
      <c r="AV9">
        <v>1</v>
      </c>
      <c r="AW9">
        <v>2</v>
      </c>
      <c r="AX9">
        <v>68990598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Y9*Source!I30</f>
        <v>2.0411999999999999</v>
      </c>
      <c r="CY9">
        <f>AD9</f>
        <v>9.6199999999999992</v>
      </c>
      <c r="CZ9">
        <f>AH9</f>
        <v>9.6199999999999992</v>
      </c>
      <c r="DA9">
        <f>AL9</f>
        <v>1</v>
      </c>
      <c r="DB9">
        <f>ROUND(((ROUND(AT9*CZ9,2)*1.35)*0.6),2)</f>
        <v>6.54</v>
      </c>
      <c r="DC9">
        <f>ROUND(((ROUND(AT9*AG9,2)*1.35)*0.6),2)</f>
        <v>0</v>
      </c>
    </row>
    <row r="10" spans="1:107" x14ac:dyDescent="0.2">
      <c r="A10">
        <f>ROW(Source!A30)</f>
        <v>30</v>
      </c>
      <c r="B10">
        <v>68990560</v>
      </c>
      <c r="C10">
        <v>68990590</v>
      </c>
      <c r="D10">
        <v>64251442</v>
      </c>
      <c r="E10">
        <v>1</v>
      </c>
      <c r="F10">
        <v>1</v>
      </c>
      <c r="G10">
        <v>1</v>
      </c>
      <c r="H10">
        <v>3</v>
      </c>
      <c r="I10" t="s">
        <v>842</v>
      </c>
      <c r="J10" t="s">
        <v>843</v>
      </c>
      <c r="K10" t="s">
        <v>844</v>
      </c>
      <c r="L10">
        <v>1346</v>
      </c>
      <c r="N10">
        <v>1009</v>
      </c>
      <c r="O10" t="s">
        <v>170</v>
      </c>
      <c r="P10" t="s">
        <v>170</v>
      </c>
      <c r="Q10">
        <v>1</v>
      </c>
      <c r="W10">
        <v>0</v>
      </c>
      <c r="X10">
        <v>2097315087</v>
      </c>
      <c r="Y10">
        <v>0</v>
      </c>
      <c r="AA10">
        <v>198.06</v>
      </c>
      <c r="AB10">
        <v>0</v>
      </c>
      <c r="AC10">
        <v>0</v>
      </c>
      <c r="AD10">
        <v>0</v>
      </c>
      <c r="AE10">
        <v>27.74</v>
      </c>
      <c r="AF10">
        <v>0</v>
      </c>
      <c r="AG10">
        <v>0</v>
      </c>
      <c r="AH10">
        <v>0</v>
      </c>
      <c r="AI10">
        <v>7.14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3</v>
      </c>
      <c r="AT10">
        <v>2.0000000000000001E-4</v>
      </c>
      <c r="AU10" t="s">
        <v>20</v>
      </c>
      <c r="AV10">
        <v>0</v>
      </c>
      <c r="AW10">
        <v>2</v>
      </c>
      <c r="AX10">
        <v>68990599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Y10*Source!I30</f>
        <v>0</v>
      </c>
      <c r="CY10">
        <f t="shared" ref="CY10:CY15" si="0">AA10</f>
        <v>198.06</v>
      </c>
      <c r="CZ10">
        <f t="shared" ref="CZ10:CZ15" si="1">AE10</f>
        <v>27.74</v>
      </c>
      <c r="DA10">
        <f t="shared" ref="DA10:DA15" si="2">AI10</f>
        <v>7.14</v>
      </c>
      <c r="DB10">
        <f t="shared" ref="DB10:DB15" si="3">ROUND((ROUND(AT10*CZ10,2)*0),2)</f>
        <v>0</v>
      </c>
      <c r="DC10">
        <f t="shared" ref="DC10:DC15" si="4">ROUND((ROUND(AT10*AG10,2)*0),2)</f>
        <v>0</v>
      </c>
    </row>
    <row r="11" spans="1:107" x14ac:dyDescent="0.2">
      <c r="A11">
        <f>ROW(Source!A30)</f>
        <v>30</v>
      </c>
      <c r="B11">
        <v>68990560</v>
      </c>
      <c r="C11">
        <v>68990590</v>
      </c>
      <c r="D11">
        <v>64255524</v>
      </c>
      <c r="E11">
        <v>1</v>
      </c>
      <c r="F11">
        <v>1</v>
      </c>
      <c r="G11">
        <v>1</v>
      </c>
      <c r="H11">
        <v>3</v>
      </c>
      <c r="I11" t="s">
        <v>845</v>
      </c>
      <c r="J11" t="s">
        <v>846</v>
      </c>
      <c r="K11" t="s">
        <v>847</v>
      </c>
      <c r="L11">
        <v>1348</v>
      </c>
      <c r="N11">
        <v>1009</v>
      </c>
      <c r="O11" t="s">
        <v>71</v>
      </c>
      <c r="P11" t="s">
        <v>71</v>
      </c>
      <c r="Q11">
        <v>1000</v>
      </c>
      <c r="W11">
        <v>0</v>
      </c>
      <c r="X11">
        <v>1052420210</v>
      </c>
      <c r="Y11">
        <v>0</v>
      </c>
      <c r="AA11">
        <v>60782.7</v>
      </c>
      <c r="AB11">
        <v>0</v>
      </c>
      <c r="AC11">
        <v>0</v>
      </c>
      <c r="AD11">
        <v>0</v>
      </c>
      <c r="AE11">
        <v>12430</v>
      </c>
      <c r="AF11">
        <v>0</v>
      </c>
      <c r="AG11">
        <v>0</v>
      </c>
      <c r="AH11">
        <v>0</v>
      </c>
      <c r="AI11">
        <v>4.8899999999999997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3</v>
      </c>
      <c r="AT11">
        <v>1E-4</v>
      </c>
      <c r="AU11" t="s">
        <v>20</v>
      </c>
      <c r="AV11">
        <v>0</v>
      </c>
      <c r="AW11">
        <v>2</v>
      </c>
      <c r="AX11">
        <v>68990600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Y11*Source!I30</f>
        <v>0</v>
      </c>
      <c r="CY11">
        <f t="shared" si="0"/>
        <v>60782.7</v>
      </c>
      <c r="CZ11">
        <f t="shared" si="1"/>
        <v>12430</v>
      </c>
      <c r="DA11">
        <f t="shared" si="2"/>
        <v>4.8899999999999997</v>
      </c>
      <c r="DB11">
        <f t="shared" si="3"/>
        <v>0</v>
      </c>
      <c r="DC11">
        <f t="shared" si="4"/>
        <v>0</v>
      </c>
    </row>
    <row r="12" spans="1:107" x14ac:dyDescent="0.2">
      <c r="A12">
        <f>ROW(Source!A30)</f>
        <v>30</v>
      </c>
      <c r="B12">
        <v>68990560</v>
      </c>
      <c r="C12">
        <v>68990590</v>
      </c>
      <c r="D12">
        <v>64275490</v>
      </c>
      <c r="E12">
        <v>1</v>
      </c>
      <c r="F12">
        <v>1</v>
      </c>
      <c r="G12">
        <v>1</v>
      </c>
      <c r="H12">
        <v>3</v>
      </c>
      <c r="I12" t="s">
        <v>848</v>
      </c>
      <c r="J12" t="s">
        <v>849</v>
      </c>
      <c r="K12" t="s">
        <v>850</v>
      </c>
      <c r="L12">
        <v>1348</v>
      </c>
      <c r="N12">
        <v>1009</v>
      </c>
      <c r="O12" t="s">
        <v>71</v>
      </c>
      <c r="P12" t="s">
        <v>71</v>
      </c>
      <c r="Q12">
        <v>1000</v>
      </c>
      <c r="W12">
        <v>0</v>
      </c>
      <c r="X12">
        <v>542278962</v>
      </c>
      <c r="Y12">
        <v>0</v>
      </c>
      <c r="AA12">
        <v>850805</v>
      </c>
      <c r="AB12">
        <v>0</v>
      </c>
      <c r="AC12">
        <v>0</v>
      </c>
      <c r="AD12">
        <v>0</v>
      </c>
      <c r="AE12">
        <v>65750</v>
      </c>
      <c r="AF12">
        <v>0</v>
      </c>
      <c r="AG12">
        <v>0</v>
      </c>
      <c r="AH12">
        <v>0</v>
      </c>
      <c r="AI12">
        <v>12.94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3</v>
      </c>
      <c r="AT12">
        <v>1.9999999999999999E-6</v>
      </c>
      <c r="AU12" t="s">
        <v>20</v>
      </c>
      <c r="AV12">
        <v>0</v>
      </c>
      <c r="AW12">
        <v>2</v>
      </c>
      <c r="AX12">
        <v>68990601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Y12*Source!I30</f>
        <v>0</v>
      </c>
      <c r="CY12">
        <f t="shared" si="0"/>
        <v>850805</v>
      </c>
      <c r="CZ12">
        <f t="shared" si="1"/>
        <v>65750</v>
      </c>
      <c r="DA12">
        <f t="shared" si="2"/>
        <v>12.94</v>
      </c>
      <c r="DB12">
        <f t="shared" si="3"/>
        <v>0</v>
      </c>
      <c r="DC12">
        <f t="shared" si="4"/>
        <v>0</v>
      </c>
    </row>
    <row r="13" spans="1:107" x14ac:dyDescent="0.2">
      <c r="A13">
        <f>ROW(Source!A30)</f>
        <v>30</v>
      </c>
      <c r="B13">
        <v>68990560</v>
      </c>
      <c r="C13">
        <v>68990590</v>
      </c>
      <c r="D13">
        <v>64283070</v>
      </c>
      <c r="E13">
        <v>1</v>
      </c>
      <c r="F13">
        <v>1</v>
      </c>
      <c r="G13">
        <v>1</v>
      </c>
      <c r="H13">
        <v>3</v>
      </c>
      <c r="I13" t="s">
        <v>851</v>
      </c>
      <c r="J13" t="s">
        <v>852</v>
      </c>
      <c r="K13" t="s">
        <v>853</v>
      </c>
      <c r="L13">
        <v>1346</v>
      </c>
      <c r="N13">
        <v>1009</v>
      </c>
      <c r="O13" t="s">
        <v>170</v>
      </c>
      <c r="P13" t="s">
        <v>170</v>
      </c>
      <c r="Q13">
        <v>1</v>
      </c>
      <c r="W13">
        <v>0</v>
      </c>
      <c r="X13">
        <v>-1167963020</v>
      </c>
      <c r="Y13">
        <v>0</v>
      </c>
      <c r="AA13">
        <v>253.43</v>
      </c>
      <c r="AB13">
        <v>0</v>
      </c>
      <c r="AC13">
        <v>0</v>
      </c>
      <c r="AD13">
        <v>0</v>
      </c>
      <c r="AE13">
        <v>28.93</v>
      </c>
      <c r="AF13">
        <v>0</v>
      </c>
      <c r="AG13">
        <v>0</v>
      </c>
      <c r="AH13">
        <v>0</v>
      </c>
      <c r="AI13">
        <v>8.76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3</v>
      </c>
      <c r="AT13">
        <v>0.01</v>
      </c>
      <c r="AU13" t="s">
        <v>20</v>
      </c>
      <c r="AV13">
        <v>0</v>
      </c>
      <c r="AW13">
        <v>2</v>
      </c>
      <c r="AX13">
        <v>68990602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Y13*Source!I30</f>
        <v>0</v>
      </c>
      <c r="CY13">
        <f t="shared" si="0"/>
        <v>253.43</v>
      </c>
      <c r="CZ13">
        <f t="shared" si="1"/>
        <v>28.93</v>
      </c>
      <c r="DA13">
        <f t="shared" si="2"/>
        <v>8.76</v>
      </c>
      <c r="DB13">
        <f t="shared" si="3"/>
        <v>0</v>
      </c>
      <c r="DC13">
        <f t="shared" si="4"/>
        <v>0</v>
      </c>
    </row>
    <row r="14" spans="1:107" x14ac:dyDescent="0.2">
      <c r="A14">
        <f>ROW(Source!A30)</f>
        <v>30</v>
      </c>
      <c r="B14">
        <v>68990560</v>
      </c>
      <c r="C14">
        <v>68990590</v>
      </c>
      <c r="D14">
        <v>64312702</v>
      </c>
      <c r="E14">
        <v>1</v>
      </c>
      <c r="F14">
        <v>1</v>
      </c>
      <c r="G14">
        <v>1</v>
      </c>
      <c r="H14">
        <v>3</v>
      </c>
      <c r="I14" t="s">
        <v>854</v>
      </c>
      <c r="J14" t="s">
        <v>855</v>
      </c>
      <c r="K14" t="s">
        <v>856</v>
      </c>
      <c r="L14">
        <v>1346</v>
      </c>
      <c r="N14">
        <v>1009</v>
      </c>
      <c r="O14" t="s">
        <v>170</v>
      </c>
      <c r="P14" t="s">
        <v>170</v>
      </c>
      <c r="Q14">
        <v>1</v>
      </c>
      <c r="W14">
        <v>0</v>
      </c>
      <c r="X14">
        <v>-32121231</v>
      </c>
      <c r="Y14">
        <v>0</v>
      </c>
      <c r="AA14">
        <v>172.15</v>
      </c>
      <c r="AB14">
        <v>0</v>
      </c>
      <c r="AC14">
        <v>0</v>
      </c>
      <c r="AD14">
        <v>0</v>
      </c>
      <c r="AE14">
        <v>38.340000000000003</v>
      </c>
      <c r="AF14">
        <v>0</v>
      </c>
      <c r="AG14">
        <v>0</v>
      </c>
      <c r="AH14">
        <v>0</v>
      </c>
      <c r="AI14">
        <v>4.49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3</v>
      </c>
      <c r="AT14">
        <v>1.42E-3</v>
      </c>
      <c r="AU14" t="s">
        <v>20</v>
      </c>
      <c r="AV14">
        <v>0</v>
      </c>
      <c r="AW14">
        <v>2</v>
      </c>
      <c r="AX14">
        <v>68990603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Y14*Source!I30</f>
        <v>0</v>
      </c>
      <c r="CY14">
        <f t="shared" si="0"/>
        <v>172.15</v>
      </c>
      <c r="CZ14">
        <f t="shared" si="1"/>
        <v>38.340000000000003</v>
      </c>
      <c r="DA14">
        <f t="shared" si="2"/>
        <v>4.49</v>
      </c>
      <c r="DB14">
        <f t="shared" si="3"/>
        <v>0</v>
      </c>
      <c r="DC14">
        <f t="shared" si="4"/>
        <v>0</v>
      </c>
    </row>
    <row r="15" spans="1:107" x14ac:dyDescent="0.2">
      <c r="A15">
        <f>ROW(Source!A30)</f>
        <v>30</v>
      </c>
      <c r="B15">
        <v>68990560</v>
      </c>
      <c r="C15">
        <v>68990590</v>
      </c>
      <c r="D15">
        <v>64245580</v>
      </c>
      <c r="E15">
        <v>56</v>
      </c>
      <c r="F15">
        <v>1</v>
      </c>
      <c r="G15">
        <v>1</v>
      </c>
      <c r="H15">
        <v>3</v>
      </c>
      <c r="I15" t="s">
        <v>837</v>
      </c>
      <c r="J15" t="s">
        <v>3</v>
      </c>
      <c r="K15" t="s">
        <v>838</v>
      </c>
      <c r="L15">
        <v>1374</v>
      </c>
      <c r="N15">
        <v>1013</v>
      </c>
      <c r="O15" t="s">
        <v>839</v>
      </c>
      <c r="P15" t="s">
        <v>839</v>
      </c>
      <c r="Q15">
        <v>1</v>
      </c>
      <c r="W15">
        <v>0</v>
      </c>
      <c r="X15">
        <v>-1731369543</v>
      </c>
      <c r="Y15">
        <v>0</v>
      </c>
      <c r="AA15">
        <v>1</v>
      </c>
      <c r="AB15">
        <v>0</v>
      </c>
      <c r="AC15">
        <v>0</v>
      </c>
      <c r="AD15">
        <v>0</v>
      </c>
      <c r="AE15">
        <v>1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3</v>
      </c>
      <c r="AT15">
        <v>0.16</v>
      </c>
      <c r="AU15" t="s">
        <v>20</v>
      </c>
      <c r="AV15">
        <v>0</v>
      </c>
      <c r="AW15">
        <v>2</v>
      </c>
      <c r="AX15">
        <v>68990604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Y15*Source!I30</f>
        <v>0</v>
      </c>
      <c r="CY15">
        <f t="shared" si="0"/>
        <v>1</v>
      </c>
      <c r="CZ15">
        <f t="shared" si="1"/>
        <v>1</v>
      </c>
      <c r="DA15">
        <f t="shared" si="2"/>
        <v>1</v>
      </c>
      <c r="DB15">
        <f t="shared" si="3"/>
        <v>0</v>
      </c>
      <c r="DC15">
        <f t="shared" si="4"/>
        <v>0</v>
      </c>
    </row>
    <row r="16" spans="1:107" x14ac:dyDescent="0.2">
      <c r="A16">
        <f>ROW(Source!A31)</f>
        <v>31</v>
      </c>
      <c r="B16">
        <v>68990560</v>
      </c>
      <c r="C16">
        <v>68990736</v>
      </c>
      <c r="D16">
        <v>64240975</v>
      </c>
      <c r="E16">
        <v>56</v>
      </c>
      <c r="F16">
        <v>1</v>
      </c>
      <c r="G16">
        <v>1</v>
      </c>
      <c r="H16">
        <v>1</v>
      </c>
      <c r="I16" t="s">
        <v>857</v>
      </c>
      <c r="J16" t="s">
        <v>3</v>
      </c>
      <c r="K16" t="s">
        <v>858</v>
      </c>
      <c r="L16">
        <v>1191</v>
      </c>
      <c r="N16">
        <v>1013</v>
      </c>
      <c r="O16" t="s">
        <v>818</v>
      </c>
      <c r="P16" t="s">
        <v>818</v>
      </c>
      <c r="Q16">
        <v>1</v>
      </c>
      <c r="W16">
        <v>0</v>
      </c>
      <c r="X16">
        <v>-400197608</v>
      </c>
      <c r="Y16">
        <v>26.45</v>
      </c>
      <c r="AA16">
        <v>0</v>
      </c>
      <c r="AB16">
        <v>0</v>
      </c>
      <c r="AC16">
        <v>0</v>
      </c>
      <c r="AD16">
        <v>8.5299999999999994</v>
      </c>
      <c r="AE16">
        <v>0</v>
      </c>
      <c r="AF16">
        <v>0</v>
      </c>
      <c r="AG16">
        <v>0</v>
      </c>
      <c r="AH16">
        <v>8.5299999999999994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3</v>
      </c>
      <c r="AT16">
        <v>23</v>
      </c>
      <c r="AU16" t="s">
        <v>38</v>
      </c>
      <c r="AV16">
        <v>1</v>
      </c>
      <c r="AW16">
        <v>2</v>
      </c>
      <c r="AX16">
        <v>68990737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Y16*Source!I31</f>
        <v>0.52900000000000003</v>
      </c>
      <c r="CY16">
        <f>AD16</f>
        <v>8.5299999999999994</v>
      </c>
      <c r="CZ16">
        <f>AH16</f>
        <v>8.5299999999999994</v>
      </c>
      <c r="DA16">
        <f>AL16</f>
        <v>1</v>
      </c>
      <c r="DB16">
        <f>ROUND((ROUND(AT16*CZ16,2)*1.15),2)</f>
        <v>225.62</v>
      </c>
      <c r="DC16">
        <f>ROUND((ROUND(AT16*AG16,2)*1.15),2)</f>
        <v>0</v>
      </c>
    </row>
    <row r="17" spans="1:107" x14ac:dyDescent="0.2">
      <c r="A17">
        <f>ROW(Source!A31)</f>
        <v>31</v>
      </c>
      <c r="B17">
        <v>68990560</v>
      </c>
      <c r="C17">
        <v>68990736</v>
      </c>
      <c r="D17">
        <v>64241154</v>
      </c>
      <c r="E17">
        <v>56</v>
      </c>
      <c r="F17">
        <v>1</v>
      </c>
      <c r="G17">
        <v>1</v>
      </c>
      <c r="H17">
        <v>1</v>
      </c>
      <c r="I17" t="s">
        <v>819</v>
      </c>
      <c r="J17" t="s">
        <v>3</v>
      </c>
      <c r="K17" t="s">
        <v>820</v>
      </c>
      <c r="L17">
        <v>1191</v>
      </c>
      <c r="N17">
        <v>1013</v>
      </c>
      <c r="O17" t="s">
        <v>818</v>
      </c>
      <c r="P17" t="s">
        <v>818</v>
      </c>
      <c r="Q17">
        <v>1</v>
      </c>
      <c r="W17">
        <v>0</v>
      </c>
      <c r="X17">
        <v>-1417349443</v>
      </c>
      <c r="Y17">
        <v>0.86250000000000004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3</v>
      </c>
      <c r="AT17">
        <v>0.75</v>
      </c>
      <c r="AU17" t="s">
        <v>38</v>
      </c>
      <c r="AV17">
        <v>2</v>
      </c>
      <c r="AW17">
        <v>2</v>
      </c>
      <c r="AX17">
        <v>68990738</v>
      </c>
      <c r="AY17">
        <v>1</v>
      </c>
      <c r="AZ17">
        <v>2048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Y17*Source!I31</f>
        <v>1.7250000000000001E-2</v>
      </c>
      <c r="CY17">
        <f>AD17</f>
        <v>0</v>
      </c>
      <c r="CZ17">
        <f>AH17</f>
        <v>0</v>
      </c>
      <c r="DA17">
        <f>AL17</f>
        <v>1</v>
      </c>
      <c r="DB17">
        <f>ROUND((ROUND(AT17*CZ17,2)*1.15),2)</f>
        <v>0</v>
      </c>
      <c r="DC17">
        <f>ROUND((ROUND(AT17*AG17,2)*1.15),2)</f>
        <v>0</v>
      </c>
    </row>
    <row r="18" spans="1:107" x14ac:dyDescent="0.2">
      <c r="A18">
        <f>ROW(Source!A31)</f>
        <v>31</v>
      </c>
      <c r="B18">
        <v>68990560</v>
      </c>
      <c r="C18">
        <v>68990736</v>
      </c>
      <c r="D18">
        <v>64401959</v>
      </c>
      <c r="E18">
        <v>1</v>
      </c>
      <c r="F18">
        <v>1</v>
      </c>
      <c r="G18">
        <v>1</v>
      </c>
      <c r="H18">
        <v>2</v>
      </c>
      <c r="I18" t="s">
        <v>859</v>
      </c>
      <c r="J18" t="s">
        <v>860</v>
      </c>
      <c r="K18" t="s">
        <v>861</v>
      </c>
      <c r="L18">
        <v>1368</v>
      </c>
      <c r="N18">
        <v>1011</v>
      </c>
      <c r="O18" t="s">
        <v>824</v>
      </c>
      <c r="P18" t="s">
        <v>824</v>
      </c>
      <c r="Q18">
        <v>1</v>
      </c>
      <c r="W18">
        <v>0</v>
      </c>
      <c r="X18">
        <v>10009565</v>
      </c>
      <c r="Y18">
        <v>0.86250000000000004</v>
      </c>
      <c r="AA18">
        <v>0</v>
      </c>
      <c r="AB18">
        <v>465.15</v>
      </c>
      <c r="AC18">
        <v>454.28</v>
      </c>
      <c r="AD18">
        <v>0</v>
      </c>
      <c r="AE18">
        <v>0</v>
      </c>
      <c r="AF18">
        <v>31.26</v>
      </c>
      <c r="AG18">
        <v>13.5</v>
      </c>
      <c r="AH18">
        <v>0</v>
      </c>
      <c r="AI18">
        <v>1</v>
      </c>
      <c r="AJ18">
        <v>14.88</v>
      </c>
      <c r="AK18">
        <v>33.65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3</v>
      </c>
      <c r="AT18">
        <v>0.75</v>
      </c>
      <c r="AU18" t="s">
        <v>38</v>
      </c>
      <c r="AV18">
        <v>0</v>
      </c>
      <c r="AW18">
        <v>2</v>
      </c>
      <c r="AX18">
        <v>68990739</v>
      </c>
      <c r="AY18">
        <v>1</v>
      </c>
      <c r="AZ18">
        <v>2048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Y18*Source!I31</f>
        <v>1.7250000000000001E-2</v>
      </c>
      <c r="CY18">
        <f>AB18</f>
        <v>465.15</v>
      </c>
      <c r="CZ18">
        <f>AF18</f>
        <v>31.26</v>
      </c>
      <c r="DA18">
        <f>AJ18</f>
        <v>14.88</v>
      </c>
      <c r="DB18">
        <f>ROUND((ROUND(AT18*CZ18,2)*1.15),2)</f>
        <v>26.97</v>
      </c>
      <c r="DC18">
        <f>ROUND((ROUND(AT18*AG18,2)*1.15),2)</f>
        <v>11.65</v>
      </c>
    </row>
    <row r="19" spans="1:107" x14ac:dyDescent="0.2">
      <c r="A19">
        <f>ROW(Source!A32)</f>
        <v>32</v>
      </c>
      <c r="B19">
        <v>68990560</v>
      </c>
      <c r="C19">
        <v>68990740</v>
      </c>
      <c r="D19">
        <v>37080781</v>
      </c>
      <c r="E19">
        <v>56</v>
      </c>
      <c r="F19">
        <v>1</v>
      </c>
      <c r="G19">
        <v>1</v>
      </c>
      <c r="H19">
        <v>1</v>
      </c>
      <c r="I19" t="s">
        <v>816</v>
      </c>
      <c r="J19" t="s">
        <v>3</v>
      </c>
      <c r="K19" t="s">
        <v>817</v>
      </c>
      <c r="L19">
        <v>1191</v>
      </c>
      <c r="N19">
        <v>1013</v>
      </c>
      <c r="O19" t="s">
        <v>818</v>
      </c>
      <c r="P19" t="s">
        <v>818</v>
      </c>
      <c r="Q19">
        <v>1</v>
      </c>
      <c r="W19">
        <v>0</v>
      </c>
      <c r="X19">
        <v>912892513</v>
      </c>
      <c r="Y19">
        <v>2.2679999999999998</v>
      </c>
      <c r="AA19">
        <v>0</v>
      </c>
      <c r="AB19">
        <v>0</v>
      </c>
      <c r="AC19">
        <v>0</v>
      </c>
      <c r="AD19">
        <v>9.92</v>
      </c>
      <c r="AE19">
        <v>0</v>
      </c>
      <c r="AF19">
        <v>0</v>
      </c>
      <c r="AG19">
        <v>0</v>
      </c>
      <c r="AH19">
        <v>9.92</v>
      </c>
      <c r="AI19">
        <v>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3</v>
      </c>
      <c r="AT19">
        <v>2.4</v>
      </c>
      <c r="AU19" t="s">
        <v>48</v>
      </c>
      <c r="AV19">
        <v>1</v>
      </c>
      <c r="AW19">
        <v>2</v>
      </c>
      <c r="AX19">
        <v>68990748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Y19*Source!I32</f>
        <v>9.525599999999999</v>
      </c>
      <c r="CY19">
        <f>AD19</f>
        <v>9.92</v>
      </c>
      <c r="CZ19">
        <f>AH19</f>
        <v>9.92</v>
      </c>
      <c r="DA19">
        <f>AL19</f>
        <v>1</v>
      </c>
      <c r="DB19">
        <f>ROUND(((ROUND(AT19*CZ19,2)*1.35)*0.7),2)</f>
        <v>22.5</v>
      </c>
      <c r="DC19">
        <f>ROUND(((ROUND(AT19*AG19,2)*1.35)*0.7),2)</f>
        <v>0</v>
      </c>
    </row>
    <row r="20" spans="1:107" x14ac:dyDescent="0.2">
      <c r="A20">
        <f>ROW(Source!A32)</f>
        <v>32</v>
      </c>
      <c r="B20">
        <v>68990560</v>
      </c>
      <c r="C20">
        <v>68990740</v>
      </c>
      <c r="D20">
        <v>37064876</v>
      </c>
      <c r="E20">
        <v>56</v>
      </c>
      <c r="F20">
        <v>1</v>
      </c>
      <c r="G20">
        <v>1</v>
      </c>
      <c r="H20">
        <v>1</v>
      </c>
      <c r="I20" t="s">
        <v>819</v>
      </c>
      <c r="J20" t="s">
        <v>3</v>
      </c>
      <c r="K20" t="s">
        <v>820</v>
      </c>
      <c r="L20">
        <v>1191</v>
      </c>
      <c r="N20">
        <v>1013</v>
      </c>
      <c r="O20" t="s">
        <v>818</v>
      </c>
      <c r="P20" t="s">
        <v>818</v>
      </c>
      <c r="Q20">
        <v>1</v>
      </c>
      <c r="W20">
        <v>0</v>
      </c>
      <c r="X20">
        <v>-1417349443</v>
      </c>
      <c r="Y20">
        <v>0.16064999999999999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1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3</v>
      </c>
      <c r="AT20">
        <v>0.17</v>
      </c>
      <c r="AU20" t="s">
        <v>48</v>
      </c>
      <c r="AV20">
        <v>2</v>
      </c>
      <c r="AW20">
        <v>2</v>
      </c>
      <c r="AX20">
        <v>68990749</v>
      </c>
      <c r="AY20">
        <v>1</v>
      </c>
      <c r="AZ20">
        <v>2048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Y20*Source!I32</f>
        <v>0.67472999999999994</v>
      </c>
      <c r="CY20">
        <f>AD20</f>
        <v>0</v>
      </c>
      <c r="CZ20">
        <f>AH20</f>
        <v>0</v>
      </c>
      <c r="DA20">
        <f>AL20</f>
        <v>1</v>
      </c>
      <c r="DB20">
        <f>ROUND(((ROUND(AT20*CZ20,2)*1.35)*0.7),2)</f>
        <v>0</v>
      </c>
      <c r="DC20">
        <f>ROUND(((ROUND(AT20*AG20,2)*1.35)*0.7),2)</f>
        <v>0</v>
      </c>
    </row>
    <row r="21" spans="1:107" x14ac:dyDescent="0.2">
      <c r="A21">
        <f>ROW(Source!A32)</f>
        <v>32</v>
      </c>
      <c r="B21">
        <v>68990560</v>
      </c>
      <c r="C21">
        <v>68990740</v>
      </c>
      <c r="D21">
        <v>64402691</v>
      </c>
      <c r="E21">
        <v>1</v>
      </c>
      <c r="F21">
        <v>1</v>
      </c>
      <c r="G21">
        <v>1</v>
      </c>
      <c r="H21">
        <v>2</v>
      </c>
      <c r="I21" t="s">
        <v>825</v>
      </c>
      <c r="J21" t="s">
        <v>826</v>
      </c>
      <c r="K21" t="s">
        <v>827</v>
      </c>
      <c r="L21">
        <v>1368</v>
      </c>
      <c r="N21">
        <v>1011</v>
      </c>
      <c r="O21" t="s">
        <v>824</v>
      </c>
      <c r="P21" t="s">
        <v>824</v>
      </c>
      <c r="Q21">
        <v>1</v>
      </c>
      <c r="W21">
        <v>0</v>
      </c>
      <c r="X21">
        <v>-841254546</v>
      </c>
      <c r="Y21">
        <v>0.16064999999999999</v>
      </c>
      <c r="AA21">
        <v>0</v>
      </c>
      <c r="AB21">
        <v>776.04</v>
      </c>
      <c r="AC21">
        <v>390.34</v>
      </c>
      <c r="AD21">
        <v>0</v>
      </c>
      <c r="AE21">
        <v>0</v>
      </c>
      <c r="AF21">
        <v>65.709999999999994</v>
      </c>
      <c r="AG21">
        <v>11.6</v>
      </c>
      <c r="AH21">
        <v>0</v>
      </c>
      <c r="AI21">
        <v>1</v>
      </c>
      <c r="AJ21">
        <v>11.81</v>
      </c>
      <c r="AK21">
        <v>33.65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3</v>
      </c>
      <c r="AT21">
        <v>0.17</v>
      </c>
      <c r="AU21" t="s">
        <v>48</v>
      </c>
      <c r="AV21">
        <v>0</v>
      </c>
      <c r="AW21">
        <v>2</v>
      </c>
      <c r="AX21">
        <v>68990750</v>
      </c>
      <c r="AY21">
        <v>1</v>
      </c>
      <c r="AZ21">
        <v>2048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Y21*Source!I32</f>
        <v>0.67472999999999994</v>
      </c>
      <c r="CY21">
        <f>AB21</f>
        <v>776.04</v>
      </c>
      <c r="CZ21">
        <f>AF21</f>
        <v>65.709999999999994</v>
      </c>
      <c r="DA21">
        <f>AJ21</f>
        <v>11.81</v>
      </c>
      <c r="DB21">
        <f>ROUND(((ROUND(AT21*CZ21,2)*1.35)*0.7),2)</f>
        <v>10.56</v>
      </c>
      <c r="DC21">
        <f>ROUND(((ROUND(AT21*AG21,2)*1.35)*0.7),2)</f>
        <v>1.86</v>
      </c>
    </row>
    <row r="22" spans="1:107" x14ac:dyDescent="0.2">
      <c r="A22">
        <f>ROW(Source!A32)</f>
        <v>32</v>
      </c>
      <c r="B22">
        <v>68990560</v>
      </c>
      <c r="C22">
        <v>68990740</v>
      </c>
      <c r="D22">
        <v>64402901</v>
      </c>
      <c r="E22">
        <v>1</v>
      </c>
      <c r="F22">
        <v>1</v>
      </c>
      <c r="G22">
        <v>1</v>
      </c>
      <c r="H22">
        <v>2</v>
      </c>
      <c r="I22" t="s">
        <v>862</v>
      </c>
      <c r="J22" t="s">
        <v>863</v>
      </c>
      <c r="K22" t="s">
        <v>864</v>
      </c>
      <c r="L22">
        <v>1368</v>
      </c>
      <c r="N22">
        <v>1011</v>
      </c>
      <c r="O22" t="s">
        <v>824</v>
      </c>
      <c r="P22" t="s">
        <v>824</v>
      </c>
      <c r="Q22">
        <v>1</v>
      </c>
      <c r="W22">
        <v>0</v>
      </c>
      <c r="X22">
        <v>900652632</v>
      </c>
      <c r="Y22">
        <v>0.378</v>
      </c>
      <c r="AA22">
        <v>0</v>
      </c>
      <c r="AB22">
        <v>40.18</v>
      </c>
      <c r="AC22">
        <v>0</v>
      </c>
      <c r="AD22">
        <v>0</v>
      </c>
      <c r="AE22">
        <v>0</v>
      </c>
      <c r="AF22">
        <v>8.1</v>
      </c>
      <c r="AG22">
        <v>0</v>
      </c>
      <c r="AH22">
        <v>0</v>
      </c>
      <c r="AI22">
        <v>1</v>
      </c>
      <c r="AJ22">
        <v>4.96</v>
      </c>
      <c r="AK22">
        <v>33.65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3</v>
      </c>
      <c r="AT22">
        <v>0.4</v>
      </c>
      <c r="AU22" t="s">
        <v>48</v>
      </c>
      <c r="AV22">
        <v>0</v>
      </c>
      <c r="AW22">
        <v>2</v>
      </c>
      <c r="AX22">
        <v>68990751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Y22*Source!I32</f>
        <v>1.5876000000000001</v>
      </c>
      <c r="CY22">
        <f>AB22</f>
        <v>40.18</v>
      </c>
      <c r="CZ22">
        <f>AF22</f>
        <v>8.1</v>
      </c>
      <c r="DA22">
        <f>AJ22</f>
        <v>4.96</v>
      </c>
      <c r="DB22">
        <f>ROUND(((ROUND(AT22*CZ22,2)*1.35)*0.7),2)</f>
        <v>3.06</v>
      </c>
      <c r="DC22">
        <f>ROUND(((ROUND(AT22*AG22,2)*1.35)*0.7),2)</f>
        <v>0</v>
      </c>
    </row>
    <row r="23" spans="1:107" x14ac:dyDescent="0.2">
      <c r="A23">
        <f>ROW(Source!A32)</f>
        <v>32</v>
      </c>
      <c r="B23">
        <v>68990560</v>
      </c>
      <c r="C23">
        <v>68990740</v>
      </c>
      <c r="D23">
        <v>64253859</v>
      </c>
      <c r="E23">
        <v>1</v>
      </c>
      <c r="F23">
        <v>1</v>
      </c>
      <c r="G23">
        <v>1</v>
      </c>
      <c r="H23">
        <v>3</v>
      </c>
      <c r="I23" t="s">
        <v>865</v>
      </c>
      <c r="J23" t="s">
        <v>866</v>
      </c>
      <c r="K23" t="s">
        <v>867</v>
      </c>
      <c r="L23">
        <v>1348</v>
      </c>
      <c r="N23">
        <v>1009</v>
      </c>
      <c r="O23" t="s">
        <v>71</v>
      </c>
      <c r="P23" t="s">
        <v>71</v>
      </c>
      <c r="Q23">
        <v>1000</v>
      </c>
      <c r="W23">
        <v>0</v>
      </c>
      <c r="X23">
        <v>1467298708</v>
      </c>
      <c r="Y23">
        <v>0</v>
      </c>
      <c r="AA23">
        <v>96135.89</v>
      </c>
      <c r="AB23">
        <v>0</v>
      </c>
      <c r="AC23">
        <v>0</v>
      </c>
      <c r="AD23">
        <v>0</v>
      </c>
      <c r="AE23">
        <v>10315.01</v>
      </c>
      <c r="AF23">
        <v>0</v>
      </c>
      <c r="AG23">
        <v>0</v>
      </c>
      <c r="AH23">
        <v>0</v>
      </c>
      <c r="AI23">
        <v>9.32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3</v>
      </c>
      <c r="AT23">
        <v>1E-4</v>
      </c>
      <c r="AU23" t="s">
        <v>20</v>
      </c>
      <c r="AV23">
        <v>0</v>
      </c>
      <c r="AW23">
        <v>2</v>
      </c>
      <c r="AX23">
        <v>68990753</v>
      </c>
      <c r="AY23">
        <v>1</v>
      </c>
      <c r="AZ23">
        <v>0</v>
      </c>
      <c r="BA23">
        <v>24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Y23*Source!I32</f>
        <v>0</v>
      </c>
      <c r="CY23">
        <f>AA23</f>
        <v>96135.89</v>
      </c>
      <c r="CZ23">
        <f>AE23</f>
        <v>10315.01</v>
      </c>
      <c r="DA23">
        <f>AI23</f>
        <v>9.32</v>
      </c>
      <c r="DB23">
        <f>ROUND((ROUND(AT23*CZ23,2)*0),2)</f>
        <v>0</v>
      </c>
      <c r="DC23">
        <f>ROUND((ROUND(AT23*AG23,2)*0),2)</f>
        <v>0</v>
      </c>
    </row>
    <row r="24" spans="1:107" x14ac:dyDescent="0.2">
      <c r="A24">
        <f>ROW(Source!A32)</f>
        <v>32</v>
      </c>
      <c r="B24">
        <v>68990560</v>
      </c>
      <c r="C24">
        <v>68990740</v>
      </c>
      <c r="D24">
        <v>64273055</v>
      </c>
      <c r="E24">
        <v>1</v>
      </c>
      <c r="F24">
        <v>1</v>
      </c>
      <c r="G24">
        <v>1</v>
      </c>
      <c r="H24">
        <v>3</v>
      </c>
      <c r="I24" t="s">
        <v>868</v>
      </c>
      <c r="J24" t="s">
        <v>869</v>
      </c>
      <c r="K24" t="s">
        <v>870</v>
      </c>
      <c r="L24">
        <v>1348</v>
      </c>
      <c r="N24">
        <v>1009</v>
      </c>
      <c r="O24" t="s">
        <v>71</v>
      </c>
      <c r="P24" t="s">
        <v>71</v>
      </c>
      <c r="Q24">
        <v>1000</v>
      </c>
      <c r="W24">
        <v>0</v>
      </c>
      <c r="X24">
        <v>1437833929</v>
      </c>
      <c r="Y24">
        <v>0</v>
      </c>
      <c r="AA24">
        <v>48173.2</v>
      </c>
      <c r="AB24">
        <v>0</v>
      </c>
      <c r="AC24">
        <v>0</v>
      </c>
      <c r="AD24">
        <v>0</v>
      </c>
      <c r="AE24">
        <v>5804</v>
      </c>
      <c r="AF24">
        <v>0</v>
      </c>
      <c r="AG24">
        <v>0</v>
      </c>
      <c r="AH24">
        <v>0</v>
      </c>
      <c r="AI24">
        <v>8.3000000000000007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3</v>
      </c>
      <c r="AT24">
        <v>3.0000000000000001E-3</v>
      </c>
      <c r="AU24" t="s">
        <v>20</v>
      </c>
      <c r="AV24">
        <v>0</v>
      </c>
      <c r="AW24">
        <v>2</v>
      </c>
      <c r="AX24">
        <v>68990755</v>
      </c>
      <c r="AY24">
        <v>1</v>
      </c>
      <c r="AZ24">
        <v>0</v>
      </c>
      <c r="BA24">
        <v>26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Y24*Source!I32</f>
        <v>0</v>
      </c>
      <c r="CY24">
        <f>AA24</f>
        <v>48173.2</v>
      </c>
      <c r="CZ24">
        <f>AE24</f>
        <v>5804</v>
      </c>
      <c r="DA24">
        <f>AI24</f>
        <v>8.3000000000000007</v>
      </c>
      <c r="DB24">
        <f>ROUND((ROUND(AT24*CZ24,2)*0),2)</f>
        <v>0</v>
      </c>
      <c r="DC24">
        <f>ROUND((ROUND(AT24*AG24,2)*0),2)</f>
        <v>0</v>
      </c>
    </row>
    <row r="25" spans="1:107" x14ac:dyDescent="0.2">
      <c r="A25">
        <f>ROW(Source!A32)</f>
        <v>32</v>
      </c>
      <c r="B25">
        <v>68990560</v>
      </c>
      <c r="C25">
        <v>68990740</v>
      </c>
      <c r="D25">
        <v>64284746</v>
      </c>
      <c r="E25">
        <v>1</v>
      </c>
      <c r="F25">
        <v>1</v>
      </c>
      <c r="G25">
        <v>1</v>
      </c>
      <c r="H25">
        <v>3</v>
      </c>
      <c r="I25" t="s">
        <v>871</v>
      </c>
      <c r="J25" t="s">
        <v>872</v>
      </c>
      <c r="K25" t="s">
        <v>873</v>
      </c>
      <c r="L25">
        <v>1371</v>
      </c>
      <c r="N25">
        <v>1013</v>
      </c>
      <c r="O25" t="s">
        <v>29</v>
      </c>
      <c r="P25" t="s">
        <v>29</v>
      </c>
      <c r="Q25">
        <v>1</v>
      </c>
      <c r="W25">
        <v>0</v>
      </c>
      <c r="X25">
        <v>878532218</v>
      </c>
      <c r="Y25">
        <v>0</v>
      </c>
      <c r="AA25">
        <v>201.66</v>
      </c>
      <c r="AB25">
        <v>0</v>
      </c>
      <c r="AC25">
        <v>0</v>
      </c>
      <c r="AD25">
        <v>0</v>
      </c>
      <c r="AE25">
        <v>72.8</v>
      </c>
      <c r="AF25">
        <v>0</v>
      </c>
      <c r="AG25">
        <v>0</v>
      </c>
      <c r="AH25">
        <v>0</v>
      </c>
      <c r="AI25">
        <v>2.77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3</v>
      </c>
      <c r="AT25">
        <v>0.1</v>
      </c>
      <c r="AU25" t="s">
        <v>20</v>
      </c>
      <c r="AV25">
        <v>0</v>
      </c>
      <c r="AW25">
        <v>2</v>
      </c>
      <c r="AX25">
        <v>68990756</v>
      </c>
      <c r="AY25">
        <v>1</v>
      </c>
      <c r="AZ25">
        <v>0</v>
      </c>
      <c r="BA25">
        <v>27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Y25*Source!I32</f>
        <v>0</v>
      </c>
      <c r="CY25">
        <f>AA25</f>
        <v>201.66</v>
      </c>
      <c r="CZ25">
        <f>AE25</f>
        <v>72.8</v>
      </c>
      <c r="DA25">
        <f>AI25</f>
        <v>2.77</v>
      </c>
      <c r="DB25">
        <f>ROUND((ROUND(AT25*CZ25,2)*0),2)</f>
        <v>0</v>
      </c>
      <c r="DC25">
        <f>ROUND((ROUND(AT25*AG25,2)*0),2)</f>
        <v>0</v>
      </c>
    </row>
    <row r="26" spans="1:107" x14ac:dyDescent="0.2">
      <c r="A26">
        <f>ROW(Source!A33)</f>
        <v>33</v>
      </c>
      <c r="B26">
        <v>68990560</v>
      </c>
      <c r="C26">
        <v>68990761</v>
      </c>
      <c r="D26">
        <v>64240997</v>
      </c>
      <c r="E26">
        <v>56</v>
      </c>
      <c r="F26">
        <v>1</v>
      </c>
      <c r="G26">
        <v>1</v>
      </c>
      <c r="H26">
        <v>1</v>
      </c>
      <c r="I26" t="s">
        <v>874</v>
      </c>
      <c r="J26" t="s">
        <v>3</v>
      </c>
      <c r="K26" t="s">
        <v>875</v>
      </c>
      <c r="L26">
        <v>1191</v>
      </c>
      <c r="N26">
        <v>1013</v>
      </c>
      <c r="O26" t="s">
        <v>818</v>
      </c>
      <c r="P26" t="s">
        <v>818</v>
      </c>
      <c r="Q26">
        <v>1</v>
      </c>
      <c r="W26">
        <v>0</v>
      </c>
      <c r="X26">
        <v>-1027537862</v>
      </c>
      <c r="Y26">
        <v>45.170999999999999</v>
      </c>
      <c r="AA26">
        <v>0</v>
      </c>
      <c r="AB26">
        <v>0</v>
      </c>
      <c r="AC26">
        <v>0</v>
      </c>
      <c r="AD26">
        <v>9.18</v>
      </c>
      <c r="AE26">
        <v>0</v>
      </c>
      <c r="AF26">
        <v>0</v>
      </c>
      <c r="AG26">
        <v>0</v>
      </c>
      <c r="AH26">
        <v>9.18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3</v>
      </c>
      <c r="AT26">
        <v>47.8</v>
      </c>
      <c r="AU26" t="s">
        <v>48</v>
      </c>
      <c r="AV26">
        <v>1</v>
      </c>
      <c r="AW26">
        <v>2</v>
      </c>
      <c r="AX26">
        <v>68990762</v>
      </c>
      <c r="AY26">
        <v>1</v>
      </c>
      <c r="AZ26">
        <v>0</v>
      </c>
      <c r="BA26">
        <v>28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Y26*Source!I33</f>
        <v>3.8124324000000001</v>
      </c>
      <c r="CY26">
        <f>AD26</f>
        <v>9.18</v>
      </c>
      <c r="CZ26">
        <f>AH26</f>
        <v>9.18</v>
      </c>
      <c r="DA26">
        <f>AL26</f>
        <v>1</v>
      </c>
      <c r="DB26">
        <f>ROUND(((ROUND(AT26*CZ26,2)*1.35)*0.7),2)</f>
        <v>414.67</v>
      </c>
      <c r="DC26">
        <f>ROUND(((ROUND(AT26*AG26,2)*1.35)*0.7),2)</f>
        <v>0</v>
      </c>
    </row>
    <row r="27" spans="1:107" x14ac:dyDescent="0.2">
      <c r="A27">
        <f>ROW(Source!A33)</f>
        <v>33</v>
      </c>
      <c r="B27">
        <v>68990560</v>
      </c>
      <c r="C27">
        <v>68990761</v>
      </c>
      <c r="D27">
        <v>64241154</v>
      </c>
      <c r="E27">
        <v>56</v>
      </c>
      <c r="F27">
        <v>1</v>
      </c>
      <c r="G27">
        <v>1</v>
      </c>
      <c r="H27">
        <v>1</v>
      </c>
      <c r="I27" t="s">
        <v>819</v>
      </c>
      <c r="J27" t="s">
        <v>3</v>
      </c>
      <c r="K27" t="s">
        <v>820</v>
      </c>
      <c r="L27">
        <v>1191</v>
      </c>
      <c r="N27">
        <v>1013</v>
      </c>
      <c r="O27" t="s">
        <v>818</v>
      </c>
      <c r="P27" t="s">
        <v>818</v>
      </c>
      <c r="Q27">
        <v>1</v>
      </c>
      <c r="W27">
        <v>0</v>
      </c>
      <c r="X27">
        <v>-1417349443</v>
      </c>
      <c r="Y27">
        <v>0.48194999999999999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3</v>
      </c>
      <c r="AT27">
        <v>0.51</v>
      </c>
      <c r="AU27" t="s">
        <v>48</v>
      </c>
      <c r="AV27">
        <v>2</v>
      </c>
      <c r="AW27">
        <v>2</v>
      </c>
      <c r="AX27">
        <v>68990763</v>
      </c>
      <c r="AY27">
        <v>1</v>
      </c>
      <c r="AZ27">
        <v>2048</v>
      </c>
      <c r="BA27">
        <v>29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Y27*Source!I33</f>
        <v>4.0676580000000004E-2</v>
      </c>
      <c r="CY27">
        <f>AD27</f>
        <v>0</v>
      </c>
      <c r="CZ27">
        <f>AH27</f>
        <v>0</v>
      </c>
      <c r="DA27">
        <f>AL27</f>
        <v>1</v>
      </c>
      <c r="DB27">
        <f>ROUND(((ROUND(AT27*CZ27,2)*1.35)*0.7),2)</f>
        <v>0</v>
      </c>
      <c r="DC27">
        <f>ROUND(((ROUND(AT27*AG27,2)*1.35)*0.7),2)</f>
        <v>0</v>
      </c>
    </row>
    <row r="28" spans="1:107" x14ac:dyDescent="0.2">
      <c r="A28">
        <f>ROW(Source!A33)</f>
        <v>33</v>
      </c>
      <c r="B28">
        <v>68990560</v>
      </c>
      <c r="C28">
        <v>68990761</v>
      </c>
      <c r="D28">
        <v>64401763</v>
      </c>
      <c r="E28">
        <v>1</v>
      </c>
      <c r="F28">
        <v>1</v>
      </c>
      <c r="G28">
        <v>1</v>
      </c>
      <c r="H28">
        <v>2</v>
      </c>
      <c r="I28" t="s">
        <v>821</v>
      </c>
      <c r="J28" t="s">
        <v>822</v>
      </c>
      <c r="K28" t="s">
        <v>823</v>
      </c>
      <c r="L28">
        <v>1368</v>
      </c>
      <c r="N28">
        <v>1011</v>
      </c>
      <c r="O28" t="s">
        <v>824</v>
      </c>
      <c r="P28" t="s">
        <v>824</v>
      </c>
      <c r="Q28">
        <v>1</v>
      </c>
      <c r="W28">
        <v>0</v>
      </c>
      <c r="X28">
        <v>-1346461524</v>
      </c>
      <c r="Y28">
        <v>0.29294999999999999</v>
      </c>
      <c r="AA28">
        <v>0</v>
      </c>
      <c r="AB28">
        <v>1074.3699999999999</v>
      </c>
      <c r="AC28">
        <v>454.28</v>
      </c>
      <c r="AD28">
        <v>0</v>
      </c>
      <c r="AE28">
        <v>0</v>
      </c>
      <c r="AF28">
        <v>115.4</v>
      </c>
      <c r="AG28">
        <v>13.5</v>
      </c>
      <c r="AH28">
        <v>0</v>
      </c>
      <c r="AI28">
        <v>1</v>
      </c>
      <c r="AJ28">
        <v>9.31</v>
      </c>
      <c r="AK28">
        <v>33.65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3</v>
      </c>
      <c r="AT28">
        <v>0.31</v>
      </c>
      <c r="AU28" t="s">
        <v>48</v>
      </c>
      <c r="AV28">
        <v>0</v>
      </c>
      <c r="AW28">
        <v>2</v>
      </c>
      <c r="AX28">
        <v>68990764</v>
      </c>
      <c r="AY28">
        <v>1</v>
      </c>
      <c r="AZ28">
        <v>0</v>
      </c>
      <c r="BA28">
        <v>30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Y28*Source!I33</f>
        <v>2.4724980000000001E-2</v>
      </c>
      <c r="CY28">
        <f>AB28</f>
        <v>1074.3699999999999</v>
      </c>
      <c r="CZ28">
        <f>AF28</f>
        <v>115.4</v>
      </c>
      <c r="DA28">
        <f>AJ28</f>
        <v>9.31</v>
      </c>
      <c r="DB28">
        <f>ROUND(((ROUND(AT28*CZ28,2)*1.35)*0.7),2)</f>
        <v>33.799999999999997</v>
      </c>
      <c r="DC28">
        <f>ROUND(((ROUND(AT28*AG28,2)*1.35)*0.7),2)</f>
        <v>3.96</v>
      </c>
    </row>
    <row r="29" spans="1:107" x14ac:dyDescent="0.2">
      <c r="A29">
        <f>ROW(Source!A33)</f>
        <v>33</v>
      </c>
      <c r="B29">
        <v>68990560</v>
      </c>
      <c r="C29">
        <v>68990761</v>
      </c>
      <c r="D29">
        <v>64402691</v>
      </c>
      <c r="E29">
        <v>1</v>
      </c>
      <c r="F29">
        <v>1</v>
      </c>
      <c r="G29">
        <v>1</v>
      </c>
      <c r="H29">
        <v>2</v>
      </c>
      <c r="I29" t="s">
        <v>825</v>
      </c>
      <c r="J29" t="s">
        <v>826</v>
      </c>
      <c r="K29" t="s">
        <v>827</v>
      </c>
      <c r="L29">
        <v>1368</v>
      </c>
      <c r="N29">
        <v>1011</v>
      </c>
      <c r="O29" t="s">
        <v>824</v>
      </c>
      <c r="P29" t="s">
        <v>824</v>
      </c>
      <c r="Q29">
        <v>1</v>
      </c>
      <c r="W29">
        <v>0</v>
      </c>
      <c r="X29">
        <v>-841254546</v>
      </c>
      <c r="Y29">
        <v>0.189</v>
      </c>
      <c r="AA29">
        <v>0</v>
      </c>
      <c r="AB29">
        <v>776.04</v>
      </c>
      <c r="AC29">
        <v>390.34</v>
      </c>
      <c r="AD29">
        <v>0</v>
      </c>
      <c r="AE29">
        <v>0</v>
      </c>
      <c r="AF29">
        <v>65.709999999999994</v>
      </c>
      <c r="AG29">
        <v>11.6</v>
      </c>
      <c r="AH29">
        <v>0</v>
      </c>
      <c r="AI29">
        <v>1</v>
      </c>
      <c r="AJ29">
        <v>11.81</v>
      </c>
      <c r="AK29">
        <v>33.65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3</v>
      </c>
      <c r="AT29">
        <v>0.2</v>
      </c>
      <c r="AU29" t="s">
        <v>48</v>
      </c>
      <c r="AV29">
        <v>0</v>
      </c>
      <c r="AW29">
        <v>2</v>
      </c>
      <c r="AX29">
        <v>68990765</v>
      </c>
      <c r="AY29">
        <v>1</v>
      </c>
      <c r="AZ29">
        <v>0</v>
      </c>
      <c r="BA29">
        <v>31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Y29*Source!I33</f>
        <v>1.59516E-2</v>
      </c>
      <c r="CY29">
        <f>AB29</f>
        <v>776.04</v>
      </c>
      <c r="CZ29">
        <f>AF29</f>
        <v>65.709999999999994</v>
      </c>
      <c r="DA29">
        <f>AJ29</f>
        <v>11.81</v>
      </c>
      <c r="DB29">
        <f>ROUND(((ROUND(AT29*CZ29,2)*1.35)*0.7),2)</f>
        <v>12.42</v>
      </c>
      <c r="DC29">
        <f>ROUND(((ROUND(AT29*AG29,2)*1.35)*0.7),2)</f>
        <v>2.19</v>
      </c>
    </row>
    <row r="30" spans="1:107" x14ac:dyDescent="0.2">
      <c r="A30">
        <f>ROW(Source!A33)</f>
        <v>33</v>
      </c>
      <c r="B30">
        <v>68990560</v>
      </c>
      <c r="C30">
        <v>68990761</v>
      </c>
      <c r="D30">
        <v>64270788</v>
      </c>
      <c r="E30">
        <v>1</v>
      </c>
      <c r="F30">
        <v>1</v>
      </c>
      <c r="G30">
        <v>1</v>
      </c>
      <c r="H30">
        <v>3</v>
      </c>
      <c r="I30" t="s">
        <v>876</v>
      </c>
      <c r="J30" t="s">
        <v>877</v>
      </c>
      <c r="K30" t="s">
        <v>878</v>
      </c>
      <c r="L30">
        <v>1348</v>
      </c>
      <c r="N30">
        <v>1009</v>
      </c>
      <c r="O30" t="s">
        <v>71</v>
      </c>
      <c r="P30" t="s">
        <v>71</v>
      </c>
      <c r="Q30">
        <v>1000</v>
      </c>
      <c r="W30">
        <v>0</v>
      </c>
      <c r="X30">
        <v>-605853710</v>
      </c>
      <c r="Y30">
        <v>0</v>
      </c>
      <c r="AA30">
        <v>49349.36</v>
      </c>
      <c r="AB30">
        <v>0</v>
      </c>
      <c r="AC30">
        <v>0</v>
      </c>
      <c r="AD30">
        <v>0</v>
      </c>
      <c r="AE30">
        <v>5989</v>
      </c>
      <c r="AF30">
        <v>0</v>
      </c>
      <c r="AG30">
        <v>0</v>
      </c>
      <c r="AH30">
        <v>0</v>
      </c>
      <c r="AI30">
        <v>8.24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3</v>
      </c>
      <c r="AT30">
        <v>4.1999999999999997E-3</v>
      </c>
      <c r="AU30" t="s">
        <v>20</v>
      </c>
      <c r="AV30">
        <v>0</v>
      </c>
      <c r="AW30">
        <v>2</v>
      </c>
      <c r="AX30">
        <v>68990767</v>
      </c>
      <c r="AY30">
        <v>1</v>
      </c>
      <c r="AZ30">
        <v>0</v>
      </c>
      <c r="BA30">
        <v>33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Y30*Source!I33</f>
        <v>0</v>
      </c>
      <c r="CY30">
        <f>AA30</f>
        <v>49349.36</v>
      </c>
      <c r="CZ30">
        <f>AE30</f>
        <v>5989</v>
      </c>
      <c r="DA30">
        <f>AI30</f>
        <v>8.24</v>
      </c>
      <c r="DB30">
        <f>ROUND((ROUND(AT30*CZ30,2)*0),2)</f>
        <v>0</v>
      </c>
      <c r="DC30">
        <f>ROUND((ROUND(AT30*AG30,2)*0),2)</f>
        <v>0</v>
      </c>
    </row>
    <row r="31" spans="1:107" x14ac:dyDescent="0.2">
      <c r="A31">
        <f>ROW(Source!A33)</f>
        <v>33</v>
      </c>
      <c r="B31">
        <v>68990560</v>
      </c>
      <c r="C31">
        <v>68990761</v>
      </c>
      <c r="D31">
        <v>64273052</v>
      </c>
      <c r="E31">
        <v>1</v>
      </c>
      <c r="F31">
        <v>1</v>
      </c>
      <c r="G31">
        <v>1</v>
      </c>
      <c r="H31">
        <v>3</v>
      </c>
      <c r="I31" t="s">
        <v>879</v>
      </c>
      <c r="J31" t="s">
        <v>880</v>
      </c>
      <c r="K31" t="s">
        <v>881</v>
      </c>
      <c r="L31">
        <v>1348</v>
      </c>
      <c r="N31">
        <v>1009</v>
      </c>
      <c r="O31" t="s">
        <v>71</v>
      </c>
      <c r="P31" t="s">
        <v>71</v>
      </c>
      <c r="Q31">
        <v>1000</v>
      </c>
      <c r="W31">
        <v>0</v>
      </c>
      <c r="X31">
        <v>-1868603107</v>
      </c>
      <c r="Y31">
        <v>0</v>
      </c>
      <c r="AA31">
        <v>51813</v>
      </c>
      <c r="AB31">
        <v>0</v>
      </c>
      <c r="AC31">
        <v>0</v>
      </c>
      <c r="AD31">
        <v>0</v>
      </c>
      <c r="AE31">
        <v>10100</v>
      </c>
      <c r="AF31">
        <v>0</v>
      </c>
      <c r="AG31">
        <v>0</v>
      </c>
      <c r="AH31">
        <v>0</v>
      </c>
      <c r="AI31">
        <v>5.13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3</v>
      </c>
      <c r="AT31">
        <v>2.5999999999999999E-2</v>
      </c>
      <c r="AU31" t="s">
        <v>20</v>
      </c>
      <c r="AV31">
        <v>0</v>
      </c>
      <c r="AW31">
        <v>2</v>
      </c>
      <c r="AX31">
        <v>68990768</v>
      </c>
      <c r="AY31">
        <v>1</v>
      </c>
      <c r="AZ31">
        <v>0</v>
      </c>
      <c r="BA31">
        <v>34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Y31*Source!I33</f>
        <v>0</v>
      </c>
      <c r="CY31">
        <f>AA31</f>
        <v>51813</v>
      </c>
      <c r="CZ31">
        <f>AE31</f>
        <v>10100</v>
      </c>
      <c r="DA31">
        <f>AI31</f>
        <v>5.13</v>
      </c>
      <c r="DB31">
        <f>ROUND((ROUND(AT31*CZ31,2)*0),2)</f>
        <v>0</v>
      </c>
      <c r="DC31">
        <f>ROUND((ROUND(AT31*AG31,2)*0),2)</f>
        <v>0</v>
      </c>
    </row>
    <row r="32" spans="1:107" x14ac:dyDescent="0.2">
      <c r="A32">
        <f>ROW(Source!A34)</f>
        <v>34</v>
      </c>
      <c r="B32">
        <v>68990560</v>
      </c>
      <c r="C32">
        <v>68990771</v>
      </c>
      <c r="D32">
        <v>37068148</v>
      </c>
      <c r="E32">
        <v>56</v>
      </c>
      <c r="F32">
        <v>1</v>
      </c>
      <c r="G32">
        <v>1</v>
      </c>
      <c r="H32">
        <v>1</v>
      </c>
      <c r="I32" t="s">
        <v>882</v>
      </c>
      <c r="J32" t="s">
        <v>3</v>
      </c>
      <c r="K32" t="s">
        <v>883</v>
      </c>
      <c r="L32">
        <v>1191</v>
      </c>
      <c r="N32">
        <v>1013</v>
      </c>
      <c r="O32" t="s">
        <v>818</v>
      </c>
      <c r="P32" t="s">
        <v>818</v>
      </c>
      <c r="Q32">
        <v>1</v>
      </c>
      <c r="W32">
        <v>0</v>
      </c>
      <c r="X32">
        <v>371339561</v>
      </c>
      <c r="Y32">
        <v>104.82250000000001</v>
      </c>
      <c r="AA32">
        <v>0</v>
      </c>
      <c r="AB32">
        <v>0</v>
      </c>
      <c r="AC32">
        <v>0</v>
      </c>
      <c r="AD32">
        <v>8.09</v>
      </c>
      <c r="AE32">
        <v>0</v>
      </c>
      <c r="AF32">
        <v>0</v>
      </c>
      <c r="AG32">
        <v>0</v>
      </c>
      <c r="AH32">
        <v>8.09</v>
      </c>
      <c r="AI32">
        <v>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3</v>
      </c>
      <c r="AT32">
        <v>91.15</v>
      </c>
      <c r="AU32" t="s">
        <v>38</v>
      </c>
      <c r="AV32">
        <v>1</v>
      </c>
      <c r="AW32">
        <v>2</v>
      </c>
      <c r="AX32">
        <v>68990775</v>
      </c>
      <c r="AY32">
        <v>1</v>
      </c>
      <c r="AZ32">
        <v>0</v>
      </c>
      <c r="BA32">
        <v>35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Y32*Source!I34</f>
        <v>4.61219</v>
      </c>
      <c r="CY32">
        <f>AD32</f>
        <v>8.09</v>
      </c>
      <c r="CZ32">
        <f>AH32</f>
        <v>8.09</v>
      </c>
      <c r="DA32">
        <f>AL32</f>
        <v>1</v>
      </c>
      <c r="DB32">
        <f t="shared" ref="DB32:DB37" si="5">ROUND((ROUND(AT32*CZ32,2)*1.15),2)</f>
        <v>848.01</v>
      </c>
      <c r="DC32">
        <f t="shared" ref="DC32:DC37" si="6">ROUND((ROUND(AT32*AG32,2)*1.15),2)</f>
        <v>0</v>
      </c>
    </row>
    <row r="33" spans="1:107" x14ac:dyDescent="0.2">
      <c r="A33">
        <f>ROW(Source!A34)</f>
        <v>34</v>
      </c>
      <c r="B33">
        <v>68990560</v>
      </c>
      <c r="C33">
        <v>68990771</v>
      </c>
      <c r="D33">
        <v>37064876</v>
      </c>
      <c r="E33">
        <v>56</v>
      </c>
      <c r="F33">
        <v>1</v>
      </c>
      <c r="G33">
        <v>1</v>
      </c>
      <c r="H33">
        <v>1</v>
      </c>
      <c r="I33" t="s">
        <v>819</v>
      </c>
      <c r="J33" t="s">
        <v>3</v>
      </c>
      <c r="K33" t="s">
        <v>820</v>
      </c>
      <c r="L33">
        <v>1191</v>
      </c>
      <c r="N33">
        <v>1013</v>
      </c>
      <c r="O33" t="s">
        <v>818</v>
      </c>
      <c r="P33" t="s">
        <v>818</v>
      </c>
      <c r="Q33">
        <v>1</v>
      </c>
      <c r="W33">
        <v>0</v>
      </c>
      <c r="X33">
        <v>-1417349443</v>
      </c>
      <c r="Y33">
        <v>8.9009999999999998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1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3</v>
      </c>
      <c r="AT33">
        <v>7.74</v>
      </c>
      <c r="AU33" t="s">
        <v>38</v>
      </c>
      <c r="AV33">
        <v>2</v>
      </c>
      <c r="AW33">
        <v>2</v>
      </c>
      <c r="AX33">
        <v>68990776</v>
      </c>
      <c r="AY33">
        <v>1</v>
      </c>
      <c r="AZ33">
        <v>0</v>
      </c>
      <c r="BA33">
        <v>36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Y33*Source!I34</f>
        <v>0.39164399999999999</v>
      </c>
      <c r="CY33">
        <f>AD33</f>
        <v>0</v>
      </c>
      <c r="CZ33">
        <f>AH33</f>
        <v>0</v>
      </c>
      <c r="DA33">
        <f>AL33</f>
        <v>1</v>
      </c>
      <c r="DB33">
        <f t="shared" si="5"/>
        <v>0</v>
      </c>
      <c r="DC33">
        <f t="shared" si="6"/>
        <v>0</v>
      </c>
    </row>
    <row r="34" spans="1:107" x14ac:dyDescent="0.2">
      <c r="A34">
        <f>ROW(Source!A34)</f>
        <v>34</v>
      </c>
      <c r="B34">
        <v>68990560</v>
      </c>
      <c r="C34">
        <v>68990771</v>
      </c>
      <c r="D34">
        <v>64401959</v>
      </c>
      <c r="E34">
        <v>1</v>
      </c>
      <c r="F34">
        <v>1</v>
      </c>
      <c r="G34">
        <v>1</v>
      </c>
      <c r="H34">
        <v>2</v>
      </c>
      <c r="I34" t="s">
        <v>859</v>
      </c>
      <c r="J34" t="s">
        <v>860</v>
      </c>
      <c r="K34" t="s">
        <v>861</v>
      </c>
      <c r="L34">
        <v>1368</v>
      </c>
      <c r="N34">
        <v>1011</v>
      </c>
      <c r="O34" t="s">
        <v>824</v>
      </c>
      <c r="P34" t="s">
        <v>824</v>
      </c>
      <c r="Q34">
        <v>1</v>
      </c>
      <c r="W34">
        <v>0</v>
      </c>
      <c r="X34">
        <v>10009565</v>
      </c>
      <c r="Y34">
        <v>8.9009999999999998</v>
      </c>
      <c r="AA34">
        <v>0</v>
      </c>
      <c r="AB34">
        <v>465.15</v>
      </c>
      <c r="AC34">
        <v>454.28</v>
      </c>
      <c r="AD34">
        <v>0</v>
      </c>
      <c r="AE34">
        <v>0</v>
      </c>
      <c r="AF34">
        <v>31.26</v>
      </c>
      <c r="AG34">
        <v>13.5</v>
      </c>
      <c r="AH34">
        <v>0</v>
      </c>
      <c r="AI34">
        <v>1</v>
      </c>
      <c r="AJ34">
        <v>14.88</v>
      </c>
      <c r="AK34">
        <v>33.65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3</v>
      </c>
      <c r="AT34">
        <v>7.74</v>
      </c>
      <c r="AU34" t="s">
        <v>38</v>
      </c>
      <c r="AV34">
        <v>0</v>
      </c>
      <c r="AW34">
        <v>2</v>
      </c>
      <c r="AX34">
        <v>68990777</v>
      </c>
      <c r="AY34">
        <v>1</v>
      </c>
      <c r="AZ34">
        <v>0</v>
      </c>
      <c r="BA34">
        <v>37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Y34*Source!I34</f>
        <v>0.39164399999999999</v>
      </c>
      <c r="CY34">
        <f>AB34</f>
        <v>465.15</v>
      </c>
      <c r="CZ34">
        <f>AF34</f>
        <v>31.26</v>
      </c>
      <c r="DA34">
        <f>AJ34</f>
        <v>14.88</v>
      </c>
      <c r="DB34">
        <f t="shared" si="5"/>
        <v>278.24</v>
      </c>
      <c r="DC34">
        <f t="shared" si="6"/>
        <v>120.16</v>
      </c>
    </row>
    <row r="35" spans="1:107" x14ac:dyDescent="0.2">
      <c r="A35">
        <f>ROW(Source!A35)</f>
        <v>35</v>
      </c>
      <c r="B35">
        <v>68990560</v>
      </c>
      <c r="C35">
        <v>68990778</v>
      </c>
      <c r="D35">
        <v>64240983</v>
      </c>
      <c r="E35">
        <v>56</v>
      </c>
      <c r="F35">
        <v>1</v>
      </c>
      <c r="G35">
        <v>1</v>
      </c>
      <c r="H35">
        <v>1</v>
      </c>
      <c r="I35" t="s">
        <v>884</v>
      </c>
      <c r="J35" t="s">
        <v>3</v>
      </c>
      <c r="K35" t="s">
        <v>885</v>
      </c>
      <c r="L35">
        <v>1191</v>
      </c>
      <c r="N35">
        <v>1013</v>
      </c>
      <c r="O35" t="s">
        <v>818</v>
      </c>
      <c r="P35" t="s">
        <v>818</v>
      </c>
      <c r="Q35">
        <v>1</v>
      </c>
      <c r="W35">
        <v>0</v>
      </c>
      <c r="X35">
        <v>-814890593</v>
      </c>
      <c r="Y35">
        <v>36.454999999999998</v>
      </c>
      <c r="AA35">
        <v>0</v>
      </c>
      <c r="AB35">
        <v>0</v>
      </c>
      <c r="AC35">
        <v>0</v>
      </c>
      <c r="AD35">
        <v>8.9700000000000006</v>
      </c>
      <c r="AE35">
        <v>0</v>
      </c>
      <c r="AF35">
        <v>0</v>
      </c>
      <c r="AG35">
        <v>0</v>
      </c>
      <c r="AH35">
        <v>8.9700000000000006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3</v>
      </c>
      <c r="AT35">
        <v>31.7</v>
      </c>
      <c r="AU35" t="s">
        <v>38</v>
      </c>
      <c r="AV35">
        <v>1</v>
      </c>
      <c r="AW35">
        <v>2</v>
      </c>
      <c r="AX35">
        <v>68990779</v>
      </c>
      <c r="AY35">
        <v>1</v>
      </c>
      <c r="AZ35">
        <v>0</v>
      </c>
      <c r="BA35">
        <v>38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Y35*Source!I35</f>
        <v>1.16656</v>
      </c>
      <c r="CY35">
        <f>AD35</f>
        <v>8.9700000000000006</v>
      </c>
      <c r="CZ35">
        <f>AH35</f>
        <v>8.9700000000000006</v>
      </c>
      <c r="DA35">
        <f>AL35</f>
        <v>1</v>
      </c>
      <c r="DB35">
        <f t="shared" si="5"/>
        <v>327</v>
      </c>
      <c r="DC35">
        <f t="shared" si="6"/>
        <v>0</v>
      </c>
    </row>
    <row r="36" spans="1:107" x14ac:dyDescent="0.2">
      <c r="A36">
        <f>ROW(Source!A35)</f>
        <v>35</v>
      </c>
      <c r="B36">
        <v>68990560</v>
      </c>
      <c r="C36">
        <v>68990778</v>
      </c>
      <c r="D36">
        <v>64402923</v>
      </c>
      <c r="E36">
        <v>1</v>
      </c>
      <c r="F36">
        <v>1</v>
      </c>
      <c r="G36">
        <v>1</v>
      </c>
      <c r="H36">
        <v>2</v>
      </c>
      <c r="I36" t="s">
        <v>886</v>
      </c>
      <c r="J36" t="s">
        <v>887</v>
      </c>
      <c r="K36" t="s">
        <v>888</v>
      </c>
      <c r="L36">
        <v>1368</v>
      </c>
      <c r="N36">
        <v>1011</v>
      </c>
      <c r="O36" t="s">
        <v>824</v>
      </c>
      <c r="P36" t="s">
        <v>824</v>
      </c>
      <c r="Q36">
        <v>1</v>
      </c>
      <c r="W36">
        <v>0</v>
      </c>
      <c r="X36">
        <v>1975152863</v>
      </c>
      <c r="Y36">
        <v>0.52900000000000003</v>
      </c>
      <c r="AA36">
        <v>0</v>
      </c>
      <c r="AB36">
        <v>135.69</v>
      </c>
      <c r="AC36">
        <v>0</v>
      </c>
      <c r="AD36">
        <v>0</v>
      </c>
      <c r="AE36">
        <v>0</v>
      </c>
      <c r="AF36">
        <v>48.81</v>
      </c>
      <c r="AG36">
        <v>0</v>
      </c>
      <c r="AH36">
        <v>0</v>
      </c>
      <c r="AI36">
        <v>1</v>
      </c>
      <c r="AJ36">
        <v>2.78</v>
      </c>
      <c r="AK36">
        <v>33.65</v>
      </c>
      <c r="AL36">
        <v>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3</v>
      </c>
      <c r="AT36">
        <v>0.46</v>
      </c>
      <c r="AU36" t="s">
        <v>38</v>
      </c>
      <c r="AV36">
        <v>0</v>
      </c>
      <c r="AW36">
        <v>2</v>
      </c>
      <c r="AX36">
        <v>68990780</v>
      </c>
      <c r="AY36">
        <v>1</v>
      </c>
      <c r="AZ36">
        <v>0</v>
      </c>
      <c r="BA36">
        <v>39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Y36*Source!I35</f>
        <v>1.6928000000000002E-2</v>
      </c>
      <c r="CY36">
        <f>AB36</f>
        <v>135.69</v>
      </c>
      <c r="CZ36">
        <f>AF36</f>
        <v>48.81</v>
      </c>
      <c r="DA36">
        <f>AJ36</f>
        <v>2.78</v>
      </c>
      <c r="DB36">
        <f t="shared" si="5"/>
        <v>25.82</v>
      </c>
      <c r="DC36">
        <f t="shared" si="6"/>
        <v>0</v>
      </c>
    </row>
    <row r="37" spans="1:107" x14ac:dyDescent="0.2">
      <c r="A37">
        <f>ROW(Source!A35)</f>
        <v>35</v>
      </c>
      <c r="B37">
        <v>68990560</v>
      </c>
      <c r="C37">
        <v>68990778</v>
      </c>
      <c r="D37">
        <v>64403375</v>
      </c>
      <c r="E37">
        <v>1</v>
      </c>
      <c r="F37">
        <v>1</v>
      </c>
      <c r="G37">
        <v>1</v>
      </c>
      <c r="H37">
        <v>2</v>
      </c>
      <c r="I37" t="s">
        <v>889</v>
      </c>
      <c r="J37" t="s">
        <v>890</v>
      </c>
      <c r="K37" t="s">
        <v>891</v>
      </c>
      <c r="L37">
        <v>1368</v>
      </c>
      <c r="N37">
        <v>1011</v>
      </c>
      <c r="O37" t="s">
        <v>824</v>
      </c>
      <c r="P37" t="s">
        <v>824</v>
      </c>
      <c r="Q37">
        <v>1</v>
      </c>
      <c r="W37">
        <v>0</v>
      </c>
      <c r="X37">
        <v>1943608298</v>
      </c>
      <c r="Y37">
        <v>1.0580000000000001</v>
      </c>
      <c r="AA37">
        <v>0</v>
      </c>
      <c r="AB37">
        <v>5.75</v>
      </c>
      <c r="AC37">
        <v>0</v>
      </c>
      <c r="AD37">
        <v>0</v>
      </c>
      <c r="AE37">
        <v>0</v>
      </c>
      <c r="AF37">
        <v>1.53</v>
      </c>
      <c r="AG37">
        <v>0</v>
      </c>
      <c r="AH37">
        <v>0</v>
      </c>
      <c r="AI37">
        <v>1</v>
      </c>
      <c r="AJ37">
        <v>3.76</v>
      </c>
      <c r="AK37">
        <v>33.65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3</v>
      </c>
      <c r="AT37">
        <v>0.92</v>
      </c>
      <c r="AU37" t="s">
        <v>38</v>
      </c>
      <c r="AV37">
        <v>0</v>
      </c>
      <c r="AW37">
        <v>2</v>
      </c>
      <c r="AX37">
        <v>68990781</v>
      </c>
      <c r="AY37">
        <v>1</v>
      </c>
      <c r="AZ37">
        <v>0</v>
      </c>
      <c r="BA37">
        <v>40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Y37*Source!I35</f>
        <v>3.3856000000000004E-2</v>
      </c>
      <c r="CY37">
        <f>AB37</f>
        <v>5.75</v>
      </c>
      <c r="CZ37">
        <f>AF37</f>
        <v>1.53</v>
      </c>
      <c r="DA37">
        <f>AJ37</f>
        <v>3.76</v>
      </c>
      <c r="DB37">
        <f t="shared" si="5"/>
        <v>1.62</v>
      </c>
      <c r="DC37">
        <f t="shared" si="6"/>
        <v>0</v>
      </c>
    </row>
    <row r="38" spans="1:107" x14ac:dyDescent="0.2">
      <c r="A38">
        <f>ROW(Source!A35)</f>
        <v>35</v>
      </c>
      <c r="B38">
        <v>68990560</v>
      </c>
      <c r="C38">
        <v>68990778</v>
      </c>
      <c r="D38">
        <v>64245578</v>
      </c>
      <c r="E38">
        <v>56</v>
      </c>
      <c r="F38">
        <v>1</v>
      </c>
      <c r="G38">
        <v>1</v>
      </c>
      <c r="H38">
        <v>3</v>
      </c>
      <c r="I38" t="s">
        <v>69</v>
      </c>
      <c r="J38" t="s">
        <v>3</v>
      </c>
      <c r="K38" t="s">
        <v>70</v>
      </c>
      <c r="L38">
        <v>1348</v>
      </c>
      <c r="N38">
        <v>1009</v>
      </c>
      <c r="O38" t="s">
        <v>71</v>
      </c>
      <c r="P38" t="s">
        <v>71</v>
      </c>
      <c r="Q38">
        <v>1000</v>
      </c>
      <c r="W38">
        <v>0</v>
      </c>
      <c r="X38">
        <v>2102561428</v>
      </c>
      <c r="Y38">
        <v>1.42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1</v>
      </c>
      <c r="AJ38">
        <v>1</v>
      </c>
      <c r="AK38">
        <v>1</v>
      </c>
      <c r="AL38">
        <v>1</v>
      </c>
      <c r="AN38">
        <v>0</v>
      </c>
      <c r="AO38">
        <v>0</v>
      </c>
      <c r="AP38">
        <v>0</v>
      </c>
      <c r="AQ38">
        <v>0</v>
      </c>
      <c r="AR38">
        <v>0</v>
      </c>
      <c r="AS38" t="s">
        <v>3</v>
      </c>
      <c r="AT38">
        <v>1.42</v>
      </c>
      <c r="AU38" t="s">
        <v>3</v>
      </c>
      <c r="AV38">
        <v>0</v>
      </c>
      <c r="AW38">
        <v>2</v>
      </c>
      <c r="AX38">
        <v>68990782</v>
      </c>
      <c r="AY38">
        <v>1</v>
      </c>
      <c r="AZ38">
        <v>0</v>
      </c>
      <c r="BA38">
        <v>41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Y38*Source!I35</f>
        <v>4.5440000000000001E-2</v>
      </c>
      <c r="CY38">
        <f>AA38</f>
        <v>0</v>
      </c>
      <c r="CZ38">
        <f>AE38</f>
        <v>0</v>
      </c>
      <c r="DA38">
        <f>AI38</f>
        <v>1</v>
      </c>
      <c r="DB38">
        <f>ROUND(ROUND(AT38*CZ38,2),2)</f>
        <v>0</v>
      </c>
      <c r="DC38">
        <f>ROUND(ROUND(AT38*AG38,2),2)</f>
        <v>0</v>
      </c>
    </row>
    <row r="39" spans="1:107" x14ac:dyDescent="0.2">
      <c r="A39">
        <f>ROW(Source!A37)</f>
        <v>37</v>
      </c>
      <c r="B39">
        <v>68990560</v>
      </c>
      <c r="C39">
        <v>68990791</v>
      </c>
      <c r="D39">
        <v>37064998</v>
      </c>
      <c r="E39">
        <v>56</v>
      </c>
      <c r="F39">
        <v>1</v>
      </c>
      <c r="G39">
        <v>1</v>
      </c>
      <c r="H39">
        <v>1</v>
      </c>
      <c r="I39" t="s">
        <v>892</v>
      </c>
      <c r="J39" t="s">
        <v>3</v>
      </c>
      <c r="K39" t="s">
        <v>893</v>
      </c>
      <c r="L39">
        <v>1191</v>
      </c>
      <c r="N39">
        <v>1013</v>
      </c>
      <c r="O39" t="s">
        <v>818</v>
      </c>
      <c r="P39" t="s">
        <v>818</v>
      </c>
      <c r="Q39">
        <v>1</v>
      </c>
      <c r="W39">
        <v>0</v>
      </c>
      <c r="X39">
        <v>735429535</v>
      </c>
      <c r="Y39">
        <v>17.008500000000002</v>
      </c>
      <c r="AA39">
        <v>0</v>
      </c>
      <c r="AB39">
        <v>0</v>
      </c>
      <c r="AC39">
        <v>0</v>
      </c>
      <c r="AD39">
        <v>7.8</v>
      </c>
      <c r="AE39">
        <v>0</v>
      </c>
      <c r="AF39">
        <v>0</v>
      </c>
      <c r="AG39">
        <v>0</v>
      </c>
      <c r="AH39">
        <v>7.8</v>
      </c>
      <c r="AI39">
        <v>1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3</v>
      </c>
      <c r="AT39">
        <v>14.79</v>
      </c>
      <c r="AU39" t="s">
        <v>38</v>
      </c>
      <c r="AV39">
        <v>1</v>
      </c>
      <c r="AW39">
        <v>2</v>
      </c>
      <c r="AX39">
        <v>68990796</v>
      </c>
      <c r="AY39">
        <v>1</v>
      </c>
      <c r="AZ39">
        <v>2048</v>
      </c>
      <c r="BA39">
        <v>42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Y39*Source!I37</f>
        <v>0.54427200000000009</v>
      </c>
      <c r="CY39">
        <f>AD39</f>
        <v>7.8</v>
      </c>
      <c r="CZ39">
        <f>AH39</f>
        <v>7.8</v>
      </c>
      <c r="DA39">
        <f>AL39</f>
        <v>1</v>
      </c>
      <c r="DB39">
        <f>ROUND((ROUND(AT39*CZ39,2)*1.15),2)</f>
        <v>132.66</v>
      </c>
      <c r="DC39">
        <f>ROUND((ROUND(AT39*AG39,2)*1.15),2)</f>
        <v>0</v>
      </c>
    </row>
    <row r="40" spans="1:107" x14ac:dyDescent="0.2">
      <c r="A40">
        <f>ROW(Source!A37)</f>
        <v>37</v>
      </c>
      <c r="B40">
        <v>68990560</v>
      </c>
      <c r="C40">
        <v>68990791</v>
      </c>
      <c r="D40">
        <v>37064876</v>
      </c>
      <c r="E40">
        <v>56</v>
      </c>
      <c r="F40">
        <v>1</v>
      </c>
      <c r="G40">
        <v>1</v>
      </c>
      <c r="H40">
        <v>1</v>
      </c>
      <c r="I40" t="s">
        <v>819</v>
      </c>
      <c r="J40" t="s">
        <v>3</v>
      </c>
      <c r="K40" t="s">
        <v>820</v>
      </c>
      <c r="L40">
        <v>1191</v>
      </c>
      <c r="N40">
        <v>1013</v>
      </c>
      <c r="O40" t="s">
        <v>818</v>
      </c>
      <c r="P40" t="s">
        <v>818</v>
      </c>
      <c r="Q40">
        <v>1</v>
      </c>
      <c r="W40">
        <v>0</v>
      </c>
      <c r="X40">
        <v>-1417349443</v>
      </c>
      <c r="Y40">
        <v>0.10349999999999999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1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3</v>
      </c>
      <c r="AT40">
        <v>0.09</v>
      </c>
      <c r="AU40" t="s">
        <v>38</v>
      </c>
      <c r="AV40">
        <v>2</v>
      </c>
      <c r="AW40">
        <v>2</v>
      </c>
      <c r="AX40">
        <v>68990797</v>
      </c>
      <c r="AY40">
        <v>1</v>
      </c>
      <c r="AZ40">
        <v>0</v>
      </c>
      <c r="BA40">
        <v>43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Y40*Source!I37</f>
        <v>3.3119999999999998E-3</v>
      </c>
      <c r="CY40">
        <f>AD40</f>
        <v>0</v>
      </c>
      <c r="CZ40">
        <f>AH40</f>
        <v>0</v>
      </c>
      <c r="DA40">
        <f>AL40</f>
        <v>1</v>
      </c>
      <c r="DB40">
        <f>ROUND((ROUND(AT40*CZ40,2)*1.15),2)</f>
        <v>0</v>
      </c>
      <c r="DC40">
        <f>ROUND((ROUND(AT40*AG40,2)*1.15),2)</f>
        <v>0</v>
      </c>
    </row>
    <row r="41" spans="1:107" x14ac:dyDescent="0.2">
      <c r="A41">
        <f>ROW(Source!A37)</f>
        <v>37</v>
      </c>
      <c r="B41">
        <v>68990560</v>
      </c>
      <c r="C41">
        <v>68990791</v>
      </c>
      <c r="D41">
        <v>64401959</v>
      </c>
      <c r="E41">
        <v>1</v>
      </c>
      <c r="F41">
        <v>1</v>
      </c>
      <c r="G41">
        <v>1</v>
      </c>
      <c r="H41">
        <v>2</v>
      </c>
      <c r="I41" t="s">
        <v>859</v>
      </c>
      <c r="J41" t="s">
        <v>860</v>
      </c>
      <c r="K41" t="s">
        <v>861</v>
      </c>
      <c r="L41">
        <v>1368</v>
      </c>
      <c r="N41">
        <v>1011</v>
      </c>
      <c r="O41" t="s">
        <v>824</v>
      </c>
      <c r="P41" t="s">
        <v>824</v>
      </c>
      <c r="Q41">
        <v>1</v>
      </c>
      <c r="W41">
        <v>0</v>
      </c>
      <c r="X41">
        <v>10009565</v>
      </c>
      <c r="Y41">
        <v>0.10349999999999999</v>
      </c>
      <c r="AA41">
        <v>0</v>
      </c>
      <c r="AB41">
        <v>465.15</v>
      </c>
      <c r="AC41">
        <v>454.28</v>
      </c>
      <c r="AD41">
        <v>0</v>
      </c>
      <c r="AE41">
        <v>0</v>
      </c>
      <c r="AF41">
        <v>31.26</v>
      </c>
      <c r="AG41">
        <v>13.5</v>
      </c>
      <c r="AH41">
        <v>0</v>
      </c>
      <c r="AI41">
        <v>1</v>
      </c>
      <c r="AJ41">
        <v>14.88</v>
      </c>
      <c r="AK41">
        <v>33.65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3</v>
      </c>
      <c r="AT41">
        <v>0.09</v>
      </c>
      <c r="AU41" t="s">
        <v>38</v>
      </c>
      <c r="AV41">
        <v>0</v>
      </c>
      <c r="AW41">
        <v>2</v>
      </c>
      <c r="AX41">
        <v>68990798</v>
      </c>
      <c r="AY41">
        <v>1</v>
      </c>
      <c r="AZ41">
        <v>0</v>
      </c>
      <c r="BA41">
        <v>44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Y41*Source!I37</f>
        <v>3.3119999999999998E-3</v>
      </c>
      <c r="CY41">
        <f>AB41</f>
        <v>465.15</v>
      </c>
      <c r="CZ41">
        <f>AF41</f>
        <v>31.26</v>
      </c>
      <c r="DA41">
        <f>AJ41</f>
        <v>14.88</v>
      </c>
      <c r="DB41">
        <f>ROUND((ROUND(AT41*CZ41,2)*1.15),2)</f>
        <v>3.23</v>
      </c>
      <c r="DC41">
        <f>ROUND((ROUND(AT41*AG41,2)*1.15),2)</f>
        <v>1.4</v>
      </c>
    </row>
    <row r="42" spans="1:107" x14ac:dyDescent="0.2">
      <c r="A42">
        <f>ROW(Source!A38)</f>
        <v>38</v>
      </c>
      <c r="B42">
        <v>68990560</v>
      </c>
      <c r="C42">
        <v>68990802</v>
      </c>
      <c r="D42">
        <v>64240971</v>
      </c>
      <c r="E42">
        <v>56</v>
      </c>
      <c r="F42">
        <v>1</v>
      </c>
      <c r="G42">
        <v>1</v>
      </c>
      <c r="H42">
        <v>1</v>
      </c>
      <c r="I42" t="s">
        <v>894</v>
      </c>
      <c r="J42" t="s">
        <v>3</v>
      </c>
      <c r="K42" t="s">
        <v>895</v>
      </c>
      <c r="L42">
        <v>1191</v>
      </c>
      <c r="N42">
        <v>1013</v>
      </c>
      <c r="O42" t="s">
        <v>818</v>
      </c>
      <c r="P42" t="s">
        <v>818</v>
      </c>
      <c r="Q42">
        <v>1</v>
      </c>
      <c r="W42">
        <v>0</v>
      </c>
      <c r="X42">
        <v>-608433632</v>
      </c>
      <c r="Y42">
        <v>39.686500000000002</v>
      </c>
      <c r="AA42">
        <v>0</v>
      </c>
      <c r="AB42">
        <v>0</v>
      </c>
      <c r="AC42">
        <v>0</v>
      </c>
      <c r="AD42">
        <v>8.4600000000000009</v>
      </c>
      <c r="AE42">
        <v>0</v>
      </c>
      <c r="AF42">
        <v>0</v>
      </c>
      <c r="AG42">
        <v>0</v>
      </c>
      <c r="AH42">
        <v>8.4600000000000009</v>
      </c>
      <c r="AI42">
        <v>1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3</v>
      </c>
      <c r="AT42">
        <v>34.51</v>
      </c>
      <c r="AU42" t="s">
        <v>38</v>
      </c>
      <c r="AV42">
        <v>1</v>
      </c>
      <c r="AW42">
        <v>2</v>
      </c>
      <c r="AX42">
        <v>68990803</v>
      </c>
      <c r="AY42">
        <v>1</v>
      </c>
      <c r="AZ42">
        <v>2048</v>
      </c>
      <c r="BA42">
        <v>46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Y42*Source!I38</f>
        <v>1.6668330000000002</v>
      </c>
      <c r="CY42">
        <f>AD42</f>
        <v>8.4600000000000009</v>
      </c>
      <c r="CZ42">
        <f>AH42</f>
        <v>8.4600000000000009</v>
      </c>
      <c r="DA42">
        <f>AL42</f>
        <v>1</v>
      </c>
      <c r="DB42">
        <f>ROUND((ROUND(AT42*CZ42,2)*1.15),2)</f>
        <v>335.74</v>
      </c>
      <c r="DC42">
        <f>ROUND((ROUND(AT42*AG42,2)*1.15),2)</f>
        <v>0</v>
      </c>
    </row>
    <row r="43" spans="1:107" x14ac:dyDescent="0.2">
      <c r="A43">
        <f>ROW(Source!A38)</f>
        <v>38</v>
      </c>
      <c r="B43">
        <v>68990560</v>
      </c>
      <c r="C43">
        <v>68990802</v>
      </c>
      <c r="D43">
        <v>64245576</v>
      </c>
      <c r="E43">
        <v>56</v>
      </c>
      <c r="F43">
        <v>1</v>
      </c>
      <c r="G43">
        <v>1</v>
      </c>
      <c r="H43">
        <v>3</v>
      </c>
      <c r="I43" t="s">
        <v>85</v>
      </c>
      <c r="J43" t="s">
        <v>3</v>
      </c>
      <c r="K43" t="s">
        <v>86</v>
      </c>
      <c r="L43">
        <v>1348</v>
      </c>
      <c r="N43">
        <v>1009</v>
      </c>
      <c r="O43" t="s">
        <v>71</v>
      </c>
      <c r="P43" t="s">
        <v>71</v>
      </c>
      <c r="Q43">
        <v>1000</v>
      </c>
      <c r="W43">
        <v>0</v>
      </c>
      <c r="X43">
        <v>-1296435862</v>
      </c>
      <c r="Y43">
        <v>0.35599999999999998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0</v>
      </c>
      <c r="AP43">
        <v>0</v>
      </c>
      <c r="AQ43">
        <v>0</v>
      </c>
      <c r="AR43">
        <v>0</v>
      </c>
      <c r="AS43" t="s">
        <v>3</v>
      </c>
      <c r="AT43">
        <v>0.35599999999999998</v>
      </c>
      <c r="AU43" t="s">
        <v>3</v>
      </c>
      <c r="AV43">
        <v>0</v>
      </c>
      <c r="AW43">
        <v>2</v>
      </c>
      <c r="AX43">
        <v>68990804</v>
      </c>
      <c r="AY43">
        <v>1</v>
      </c>
      <c r="AZ43">
        <v>0</v>
      </c>
      <c r="BA43">
        <v>47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Y43*Source!I38</f>
        <v>1.4952E-2</v>
      </c>
      <c r="CY43">
        <f>AA43</f>
        <v>0</v>
      </c>
      <c r="CZ43">
        <f>AE43</f>
        <v>0</v>
      </c>
      <c r="DA43">
        <f>AI43</f>
        <v>1</v>
      </c>
      <c r="DB43">
        <f>ROUND(ROUND(AT43*CZ43,2),2)</f>
        <v>0</v>
      </c>
      <c r="DC43">
        <f>ROUND(ROUND(AT43*AG43,2),2)</f>
        <v>0</v>
      </c>
    </row>
    <row r="44" spans="1:107" x14ac:dyDescent="0.2">
      <c r="A44">
        <f>ROW(Source!A40)</f>
        <v>40</v>
      </c>
      <c r="B44">
        <v>68990560</v>
      </c>
      <c r="C44">
        <v>68990806</v>
      </c>
      <c r="D44">
        <v>64240937</v>
      </c>
      <c r="E44">
        <v>56</v>
      </c>
      <c r="F44">
        <v>1</v>
      </c>
      <c r="G44">
        <v>1</v>
      </c>
      <c r="H44">
        <v>1</v>
      </c>
      <c r="I44" t="s">
        <v>892</v>
      </c>
      <c r="J44" t="s">
        <v>3</v>
      </c>
      <c r="K44" t="s">
        <v>893</v>
      </c>
      <c r="L44">
        <v>1191</v>
      </c>
      <c r="N44">
        <v>1013</v>
      </c>
      <c r="O44" t="s">
        <v>818</v>
      </c>
      <c r="P44" t="s">
        <v>818</v>
      </c>
      <c r="Q44">
        <v>1</v>
      </c>
      <c r="W44">
        <v>0</v>
      </c>
      <c r="X44">
        <v>735429535</v>
      </c>
      <c r="Y44">
        <v>4.3354999999999997</v>
      </c>
      <c r="AA44">
        <v>0</v>
      </c>
      <c r="AB44">
        <v>0</v>
      </c>
      <c r="AC44">
        <v>0</v>
      </c>
      <c r="AD44">
        <v>7.8</v>
      </c>
      <c r="AE44">
        <v>0</v>
      </c>
      <c r="AF44">
        <v>0</v>
      </c>
      <c r="AG44">
        <v>0</v>
      </c>
      <c r="AH44">
        <v>7.8</v>
      </c>
      <c r="AI44">
        <v>1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3</v>
      </c>
      <c r="AT44">
        <v>3.77</v>
      </c>
      <c r="AU44" t="s">
        <v>38</v>
      </c>
      <c r="AV44">
        <v>1</v>
      </c>
      <c r="AW44">
        <v>2</v>
      </c>
      <c r="AX44">
        <v>68990807</v>
      </c>
      <c r="AY44">
        <v>1</v>
      </c>
      <c r="AZ44">
        <v>0</v>
      </c>
      <c r="BA44">
        <v>48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Y44*Source!I40</f>
        <v>8.2374499999999989E-2</v>
      </c>
      <c r="CY44">
        <f>AD44</f>
        <v>7.8</v>
      </c>
      <c r="CZ44">
        <f>AH44</f>
        <v>7.8</v>
      </c>
      <c r="DA44">
        <f>AL44</f>
        <v>1</v>
      </c>
      <c r="DB44">
        <f>ROUND((ROUND(AT44*CZ44,2)*1.15),2)</f>
        <v>33.82</v>
      </c>
      <c r="DC44">
        <f>ROUND((ROUND(AT44*AG44,2)*1.15),2)</f>
        <v>0</v>
      </c>
    </row>
    <row r="45" spans="1:107" x14ac:dyDescent="0.2">
      <c r="A45">
        <f>ROW(Source!A40)</f>
        <v>40</v>
      </c>
      <c r="B45">
        <v>68990560</v>
      </c>
      <c r="C45">
        <v>68990806</v>
      </c>
      <c r="D45">
        <v>64245578</v>
      </c>
      <c r="E45">
        <v>56</v>
      </c>
      <c r="F45">
        <v>1</v>
      </c>
      <c r="G45">
        <v>1</v>
      </c>
      <c r="H45">
        <v>3</v>
      </c>
      <c r="I45" t="s">
        <v>69</v>
      </c>
      <c r="J45" t="s">
        <v>3</v>
      </c>
      <c r="K45" t="s">
        <v>70</v>
      </c>
      <c r="L45">
        <v>1348</v>
      </c>
      <c r="N45">
        <v>1009</v>
      </c>
      <c r="O45" t="s">
        <v>71</v>
      </c>
      <c r="P45" t="s">
        <v>71</v>
      </c>
      <c r="Q45">
        <v>1000</v>
      </c>
      <c r="W45">
        <v>0</v>
      </c>
      <c r="X45">
        <v>2102561428</v>
      </c>
      <c r="Y45">
        <v>0.11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0</v>
      </c>
      <c r="AP45">
        <v>0</v>
      </c>
      <c r="AQ45">
        <v>0</v>
      </c>
      <c r="AR45">
        <v>0</v>
      </c>
      <c r="AS45" t="s">
        <v>3</v>
      </c>
      <c r="AT45">
        <v>0.11</v>
      </c>
      <c r="AU45" t="s">
        <v>3</v>
      </c>
      <c r="AV45">
        <v>0</v>
      </c>
      <c r="AW45">
        <v>2</v>
      </c>
      <c r="AX45">
        <v>68990808</v>
      </c>
      <c r="AY45">
        <v>1</v>
      </c>
      <c r="AZ45">
        <v>0</v>
      </c>
      <c r="BA45">
        <v>49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Y45*Source!I40</f>
        <v>2.0899999999999998E-3</v>
      </c>
      <c r="CY45">
        <f>AA45</f>
        <v>0</v>
      </c>
      <c r="CZ45">
        <f>AE45</f>
        <v>0</v>
      </c>
      <c r="DA45">
        <f>AI45</f>
        <v>1</v>
      </c>
      <c r="DB45">
        <f>ROUND(ROUND(AT45*CZ45,2),2)</f>
        <v>0</v>
      </c>
      <c r="DC45">
        <f>ROUND(ROUND(AT45*AG45,2),2)</f>
        <v>0</v>
      </c>
    </row>
    <row r="46" spans="1:107" x14ac:dyDescent="0.2">
      <c r="A46">
        <f>ROW(Source!A42)</f>
        <v>42</v>
      </c>
      <c r="B46">
        <v>68990560</v>
      </c>
      <c r="C46">
        <v>68990810</v>
      </c>
      <c r="D46">
        <v>37066717</v>
      </c>
      <c r="E46">
        <v>56</v>
      </c>
      <c r="F46">
        <v>1</v>
      </c>
      <c r="G46">
        <v>1</v>
      </c>
      <c r="H46">
        <v>1</v>
      </c>
      <c r="I46" t="s">
        <v>896</v>
      </c>
      <c r="J46" t="s">
        <v>3</v>
      </c>
      <c r="K46" t="s">
        <v>897</v>
      </c>
      <c r="L46">
        <v>1191</v>
      </c>
      <c r="N46">
        <v>1013</v>
      </c>
      <c r="O46" t="s">
        <v>818</v>
      </c>
      <c r="P46" t="s">
        <v>818</v>
      </c>
      <c r="Q46">
        <v>1</v>
      </c>
      <c r="W46">
        <v>0</v>
      </c>
      <c r="X46">
        <v>-509590494</v>
      </c>
      <c r="Y46">
        <v>4.577</v>
      </c>
      <c r="AA46">
        <v>0</v>
      </c>
      <c r="AB46">
        <v>0</v>
      </c>
      <c r="AC46">
        <v>0</v>
      </c>
      <c r="AD46">
        <v>8.17</v>
      </c>
      <c r="AE46">
        <v>0</v>
      </c>
      <c r="AF46">
        <v>0</v>
      </c>
      <c r="AG46">
        <v>0</v>
      </c>
      <c r="AH46">
        <v>8.17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3</v>
      </c>
      <c r="AT46">
        <v>3.98</v>
      </c>
      <c r="AU46" t="s">
        <v>38</v>
      </c>
      <c r="AV46">
        <v>1</v>
      </c>
      <c r="AW46">
        <v>2</v>
      </c>
      <c r="AX46">
        <v>68990812</v>
      </c>
      <c r="AY46">
        <v>1</v>
      </c>
      <c r="AZ46">
        <v>0</v>
      </c>
      <c r="BA46">
        <v>50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Y46*Source!I42</f>
        <v>0.19681099999999999</v>
      </c>
      <c r="CY46">
        <f>AD46</f>
        <v>8.17</v>
      </c>
      <c r="CZ46">
        <f>AH46</f>
        <v>8.17</v>
      </c>
      <c r="DA46">
        <f>AL46</f>
        <v>1</v>
      </c>
      <c r="DB46">
        <f>ROUND((ROUND(AT46*CZ46,2)*1.15),2)</f>
        <v>37.4</v>
      </c>
      <c r="DC46">
        <f>ROUND((ROUND(AT46*AG46,2)*1.15),2)</f>
        <v>0</v>
      </c>
    </row>
    <row r="47" spans="1:107" x14ac:dyDescent="0.2">
      <c r="A47">
        <f>ROW(Source!A43)</f>
        <v>43</v>
      </c>
      <c r="B47">
        <v>68990560</v>
      </c>
      <c r="C47">
        <v>68990813</v>
      </c>
      <c r="D47">
        <v>64240957</v>
      </c>
      <c r="E47">
        <v>56</v>
      </c>
      <c r="F47">
        <v>1</v>
      </c>
      <c r="G47">
        <v>1</v>
      </c>
      <c r="H47">
        <v>1</v>
      </c>
      <c r="I47" t="s">
        <v>896</v>
      </c>
      <c r="J47" t="s">
        <v>3</v>
      </c>
      <c r="K47" t="s">
        <v>897</v>
      </c>
      <c r="L47">
        <v>1191</v>
      </c>
      <c r="N47">
        <v>1013</v>
      </c>
      <c r="O47" t="s">
        <v>818</v>
      </c>
      <c r="P47" t="s">
        <v>818</v>
      </c>
      <c r="Q47">
        <v>1</v>
      </c>
      <c r="W47">
        <v>0</v>
      </c>
      <c r="X47">
        <v>-509590494</v>
      </c>
      <c r="Y47">
        <v>49.463999999999999</v>
      </c>
      <c r="AA47">
        <v>0</v>
      </c>
      <c r="AB47">
        <v>0</v>
      </c>
      <c r="AC47">
        <v>0</v>
      </c>
      <c r="AD47">
        <v>8.17</v>
      </c>
      <c r="AE47">
        <v>0</v>
      </c>
      <c r="AF47">
        <v>0</v>
      </c>
      <c r="AG47">
        <v>0</v>
      </c>
      <c r="AH47">
        <v>8.17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3</v>
      </c>
      <c r="AT47">
        <v>45.8</v>
      </c>
      <c r="AU47" t="s">
        <v>106</v>
      </c>
      <c r="AV47">
        <v>1</v>
      </c>
      <c r="AW47">
        <v>2</v>
      </c>
      <c r="AX47">
        <v>68990814</v>
      </c>
      <c r="AY47">
        <v>1</v>
      </c>
      <c r="AZ47">
        <v>0</v>
      </c>
      <c r="BA47">
        <v>51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Y47*Source!I43</f>
        <v>6.3066599999999999</v>
      </c>
      <c r="CY47">
        <f>AD47</f>
        <v>8.17</v>
      </c>
      <c r="CZ47">
        <f>AH47</f>
        <v>8.17</v>
      </c>
      <c r="DA47">
        <f>AL47</f>
        <v>1</v>
      </c>
      <c r="DB47">
        <f>ROUND(((ROUND(AT47*CZ47,2)*1.35)*0.8),2)</f>
        <v>404.13</v>
      </c>
      <c r="DC47">
        <f>ROUND(((ROUND(AT47*AG47,2)*1.35)*0.8),2)</f>
        <v>0</v>
      </c>
    </row>
    <row r="48" spans="1:107" x14ac:dyDescent="0.2">
      <c r="A48">
        <f>ROW(Source!A43)</f>
        <v>43</v>
      </c>
      <c r="B48">
        <v>68990560</v>
      </c>
      <c r="C48">
        <v>68990813</v>
      </c>
      <c r="D48">
        <v>64241154</v>
      </c>
      <c r="E48">
        <v>56</v>
      </c>
      <c r="F48">
        <v>1</v>
      </c>
      <c r="G48">
        <v>1</v>
      </c>
      <c r="H48">
        <v>1</v>
      </c>
      <c r="I48" t="s">
        <v>819</v>
      </c>
      <c r="J48" t="s">
        <v>3</v>
      </c>
      <c r="K48" t="s">
        <v>820</v>
      </c>
      <c r="L48">
        <v>1191</v>
      </c>
      <c r="N48">
        <v>1013</v>
      </c>
      <c r="O48" t="s">
        <v>818</v>
      </c>
      <c r="P48" t="s">
        <v>818</v>
      </c>
      <c r="Q48">
        <v>1</v>
      </c>
      <c r="W48">
        <v>0</v>
      </c>
      <c r="X48">
        <v>-1417349443</v>
      </c>
      <c r="Y48">
        <v>0.96120000000000005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3</v>
      </c>
      <c r="AT48">
        <v>0.89</v>
      </c>
      <c r="AU48" t="s">
        <v>106</v>
      </c>
      <c r="AV48">
        <v>2</v>
      </c>
      <c r="AW48">
        <v>2</v>
      </c>
      <c r="AX48">
        <v>68990815</v>
      </c>
      <c r="AY48">
        <v>1</v>
      </c>
      <c r="AZ48">
        <v>0</v>
      </c>
      <c r="BA48">
        <v>52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Y48*Source!I43</f>
        <v>0.12255300000000001</v>
      </c>
      <c r="CY48">
        <f>AD48</f>
        <v>0</v>
      </c>
      <c r="CZ48">
        <f>AH48</f>
        <v>0</v>
      </c>
      <c r="DA48">
        <f>AL48</f>
        <v>1</v>
      </c>
      <c r="DB48">
        <f>ROUND(((ROUND(AT48*CZ48,2)*1.35)*0.8),2)</f>
        <v>0</v>
      </c>
      <c r="DC48">
        <f>ROUND(((ROUND(AT48*AG48,2)*1.35)*0.8),2)</f>
        <v>0</v>
      </c>
    </row>
    <row r="49" spans="1:107" x14ac:dyDescent="0.2">
      <c r="A49">
        <f>ROW(Source!A43)</f>
        <v>43</v>
      </c>
      <c r="B49">
        <v>68990560</v>
      </c>
      <c r="C49">
        <v>68990813</v>
      </c>
      <c r="D49">
        <v>64401763</v>
      </c>
      <c r="E49">
        <v>1</v>
      </c>
      <c r="F49">
        <v>1</v>
      </c>
      <c r="G49">
        <v>1</v>
      </c>
      <c r="H49">
        <v>2</v>
      </c>
      <c r="I49" t="s">
        <v>821</v>
      </c>
      <c r="J49" t="s">
        <v>822</v>
      </c>
      <c r="K49" t="s">
        <v>823</v>
      </c>
      <c r="L49">
        <v>1368</v>
      </c>
      <c r="N49">
        <v>1011</v>
      </c>
      <c r="O49" t="s">
        <v>824</v>
      </c>
      <c r="P49" t="s">
        <v>824</v>
      </c>
      <c r="Q49">
        <v>1</v>
      </c>
      <c r="W49">
        <v>0</v>
      </c>
      <c r="X49">
        <v>-1346461524</v>
      </c>
      <c r="Y49">
        <v>0.41039999999999999</v>
      </c>
      <c r="AA49">
        <v>0</v>
      </c>
      <c r="AB49">
        <v>1074.3699999999999</v>
      </c>
      <c r="AC49">
        <v>454.28</v>
      </c>
      <c r="AD49">
        <v>0</v>
      </c>
      <c r="AE49">
        <v>0</v>
      </c>
      <c r="AF49">
        <v>115.4</v>
      </c>
      <c r="AG49">
        <v>13.5</v>
      </c>
      <c r="AH49">
        <v>0</v>
      </c>
      <c r="AI49">
        <v>1</v>
      </c>
      <c r="AJ49">
        <v>9.31</v>
      </c>
      <c r="AK49">
        <v>33.65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3</v>
      </c>
      <c r="AT49">
        <v>0.38</v>
      </c>
      <c r="AU49" t="s">
        <v>106</v>
      </c>
      <c r="AV49">
        <v>0</v>
      </c>
      <c r="AW49">
        <v>2</v>
      </c>
      <c r="AX49">
        <v>68990816</v>
      </c>
      <c r="AY49">
        <v>1</v>
      </c>
      <c r="AZ49">
        <v>2048</v>
      </c>
      <c r="BA49">
        <v>53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Y49*Source!I43</f>
        <v>5.2325999999999998E-2</v>
      </c>
      <c r="CY49">
        <f>AB49</f>
        <v>1074.3699999999999</v>
      </c>
      <c r="CZ49">
        <f>AF49</f>
        <v>115.4</v>
      </c>
      <c r="DA49">
        <f>AJ49</f>
        <v>9.31</v>
      </c>
      <c r="DB49">
        <f>ROUND(((ROUND(AT49*CZ49,2)*1.35)*0.8),2)</f>
        <v>47.36</v>
      </c>
      <c r="DC49">
        <f>ROUND(((ROUND(AT49*AG49,2)*1.35)*0.8),2)</f>
        <v>5.54</v>
      </c>
    </row>
    <row r="50" spans="1:107" x14ac:dyDescent="0.2">
      <c r="A50">
        <f>ROW(Source!A43)</f>
        <v>43</v>
      </c>
      <c r="B50">
        <v>68990560</v>
      </c>
      <c r="C50">
        <v>68990813</v>
      </c>
      <c r="D50">
        <v>64402231</v>
      </c>
      <c r="E50">
        <v>1</v>
      </c>
      <c r="F50">
        <v>1</v>
      </c>
      <c r="G50">
        <v>1</v>
      </c>
      <c r="H50">
        <v>2</v>
      </c>
      <c r="I50" t="s">
        <v>898</v>
      </c>
      <c r="J50" t="s">
        <v>899</v>
      </c>
      <c r="K50" t="s">
        <v>900</v>
      </c>
      <c r="L50">
        <v>1368</v>
      </c>
      <c r="N50">
        <v>1011</v>
      </c>
      <c r="O50" t="s">
        <v>824</v>
      </c>
      <c r="P50" t="s">
        <v>824</v>
      </c>
      <c r="Q50">
        <v>1</v>
      </c>
      <c r="W50">
        <v>0</v>
      </c>
      <c r="X50">
        <v>-1578298718</v>
      </c>
      <c r="Y50">
        <v>6.0696000000000003</v>
      </c>
      <c r="AA50">
        <v>0</v>
      </c>
      <c r="AB50">
        <v>317.39999999999998</v>
      </c>
      <c r="AC50">
        <v>0</v>
      </c>
      <c r="AD50">
        <v>0</v>
      </c>
      <c r="AE50">
        <v>0</v>
      </c>
      <c r="AF50">
        <v>60</v>
      </c>
      <c r="AG50">
        <v>0</v>
      </c>
      <c r="AH50">
        <v>0</v>
      </c>
      <c r="AI50">
        <v>1</v>
      </c>
      <c r="AJ50">
        <v>5.29</v>
      </c>
      <c r="AK50">
        <v>33.65</v>
      </c>
      <c r="AL50">
        <v>1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3</v>
      </c>
      <c r="AT50">
        <v>5.62</v>
      </c>
      <c r="AU50" t="s">
        <v>106</v>
      </c>
      <c r="AV50">
        <v>0</v>
      </c>
      <c r="AW50">
        <v>2</v>
      </c>
      <c r="AX50">
        <v>68990817</v>
      </c>
      <c r="AY50">
        <v>1</v>
      </c>
      <c r="AZ50">
        <v>2048</v>
      </c>
      <c r="BA50">
        <v>54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Y50*Source!I43</f>
        <v>0.77387400000000006</v>
      </c>
      <c r="CY50">
        <f>AB50</f>
        <v>317.39999999999998</v>
      </c>
      <c r="CZ50">
        <f>AF50</f>
        <v>60</v>
      </c>
      <c r="DA50">
        <f>AJ50</f>
        <v>5.29</v>
      </c>
      <c r="DB50">
        <f>ROUND(((ROUND(AT50*CZ50,2)*1.35)*0.8),2)</f>
        <v>364.18</v>
      </c>
      <c r="DC50">
        <f>ROUND(((ROUND(AT50*AG50,2)*1.35)*0.8),2)</f>
        <v>0</v>
      </c>
    </row>
    <row r="51" spans="1:107" x14ac:dyDescent="0.2">
      <c r="A51">
        <f>ROW(Source!A43)</f>
        <v>43</v>
      </c>
      <c r="B51">
        <v>68990560</v>
      </c>
      <c r="C51">
        <v>68990813</v>
      </c>
      <c r="D51">
        <v>64402691</v>
      </c>
      <c r="E51">
        <v>1</v>
      </c>
      <c r="F51">
        <v>1</v>
      </c>
      <c r="G51">
        <v>1</v>
      </c>
      <c r="H51">
        <v>2</v>
      </c>
      <c r="I51" t="s">
        <v>825</v>
      </c>
      <c r="J51" t="s">
        <v>826</v>
      </c>
      <c r="K51" t="s">
        <v>827</v>
      </c>
      <c r="L51">
        <v>1368</v>
      </c>
      <c r="N51">
        <v>1011</v>
      </c>
      <c r="O51" t="s">
        <v>824</v>
      </c>
      <c r="P51" t="s">
        <v>824</v>
      </c>
      <c r="Q51">
        <v>1</v>
      </c>
      <c r="W51">
        <v>0</v>
      </c>
      <c r="X51">
        <v>-841254546</v>
      </c>
      <c r="Y51">
        <v>0.55079999999999996</v>
      </c>
      <c r="AA51">
        <v>0</v>
      </c>
      <c r="AB51">
        <v>776.04</v>
      </c>
      <c r="AC51">
        <v>390.34</v>
      </c>
      <c r="AD51">
        <v>0</v>
      </c>
      <c r="AE51">
        <v>0</v>
      </c>
      <c r="AF51">
        <v>65.709999999999994</v>
      </c>
      <c r="AG51">
        <v>11.6</v>
      </c>
      <c r="AH51">
        <v>0</v>
      </c>
      <c r="AI51">
        <v>1</v>
      </c>
      <c r="AJ51">
        <v>11.81</v>
      </c>
      <c r="AK51">
        <v>33.65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3</v>
      </c>
      <c r="AT51">
        <v>0.51</v>
      </c>
      <c r="AU51" t="s">
        <v>106</v>
      </c>
      <c r="AV51">
        <v>0</v>
      </c>
      <c r="AW51">
        <v>2</v>
      </c>
      <c r="AX51">
        <v>68990818</v>
      </c>
      <c r="AY51">
        <v>1</v>
      </c>
      <c r="AZ51">
        <v>2048</v>
      </c>
      <c r="BA51">
        <v>55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Y51*Source!I43</f>
        <v>7.0226999999999998E-2</v>
      </c>
      <c r="CY51">
        <f>AB51</f>
        <v>776.04</v>
      </c>
      <c r="CZ51">
        <f>AF51</f>
        <v>65.709999999999994</v>
      </c>
      <c r="DA51">
        <f>AJ51</f>
        <v>11.81</v>
      </c>
      <c r="DB51">
        <f>ROUND(((ROUND(AT51*CZ51,2)*1.35)*0.8),2)</f>
        <v>36.19</v>
      </c>
      <c r="DC51">
        <f>ROUND(((ROUND(AT51*AG51,2)*1.35)*0.8),2)</f>
        <v>6.39</v>
      </c>
    </row>
    <row r="52" spans="1:107" x14ac:dyDescent="0.2">
      <c r="A52">
        <f>ROW(Source!A43)</f>
        <v>43</v>
      </c>
      <c r="B52">
        <v>68990560</v>
      </c>
      <c r="C52">
        <v>68990813</v>
      </c>
      <c r="D52">
        <v>64258007</v>
      </c>
      <c r="E52">
        <v>1</v>
      </c>
      <c r="F52">
        <v>1</v>
      </c>
      <c r="G52">
        <v>1</v>
      </c>
      <c r="H52">
        <v>3</v>
      </c>
      <c r="I52" t="s">
        <v>901</v>
      </c>
      <c r="J52" t="s">
        <v>902</v>
      </c>
      <c r="K52" t="s">
        <v>903</v>
      </c>
      <c r="L52">
        <v>1339</v>
      </c>
      <c r="N52">
        <v>1007</v>
      </c>
      <c r="O52" t="s">
        <v>113</v>
      </c>
      <c r="P52" t="s">
        <v>113</v>
      </c>
      <c r="Q52">
        <v>1</v>
      </c>
      <c r="W52">
        <v>0</v>
      </c>
      <c r="X52">
        <v>404167651</v>
      </c>
      <c r="Y52">
        <v>0</v>
      </c>
      <c r="AA52">
        <v>2833.38</v>
      </c>
      <c r="AB52">
        <v>0</v>
      </c>
      <c r="AC52">
        <v>0</v>
      </c>
      <c r="AD52">
        <v>0</v>
      </c>
      <c r="AE52">
        <v>486</v>
      </c>
      <c r="AF52">
        <v>0</v>
      </c>
      <c r="AG52">
        <v>0</v>
      </c>
      <c r="AH52">
        <v>0</v>
      </c>
      <c r="AI52">
        <v>5.83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3</v>
      </c>
      <c r="AT52">
        <v>0.05</v>
      </c>
      <c r="AU52" t="s">
        <v>20</v>
      </c>
      <c r="AV52">
        <v>0</v>
      </c>
      <c r="AW52">
        <v>2</v>
      </c>
      <c r="AX52">
        <v>68990819</v>
      </c>
      <c r="AY52">
        <v>1</v>
      </c>
      <c r="AZ52">
        <v>0</v>
      </c>
      <c r="BA52">
        <v>56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Y52*Source!I43</f>
        <v>0</v>
      </c>
      <c r="CY52">
        <f>AA52</f>
        <v>2833.38</v>
      </c>
      <c r="CZ52">
        <f>AE52</f>
        <v>486</v>
      </c>
      <c r="DA52">
        <f>AI52</f>
        <v>5.83</v>
      </c>
      <c r="DB52">
        <f>ROUND((ROUND(AT52*CZ52,2)*0),2)</f>
        <v>0</v>
      </c>
      <c r="DC52">
        <f>ROUND((ROUND(AT52*AG52,2)*0),2)</f>
        <v>0</v>
      </c>
    </row>
    <row r="53" spans="1:107" x14ac:dyDescent="0.2">
      <c r="A53">
        <f>ROW(Source!A44)</f>
        <v>44</v>
      </c>
      <c r="B53">
        <v>68990560</v>
      </c>
      <c r="C53">
        <v>68990827</v>
      </c>
      <c r="D53">
        <v>37065248</v>
      </c>
      <c r="E53">
        <v>56</v>
      </c>
      <c r="F53">
        <v>1</v>
      </c>
      <c r="G53">
        <v>1</v>
      </c>
      <c r="H53">
        <v>1</v>
      </c>
      <c r="I53" t="s">
        <v>857</v>
      </c>
      <c r="J53" t="s">
        <v>3</v>
      </c>
      <c r="K53" t="s">
        <v>858</v>
      </c>
      <c r="L53">
        <v>1191</v>
      </c>
      <c r="N53">
        <v>1013</v>
      </c>
      <c r="O53" t="s">
        <v>818</v>
      </c>
      <c r="P53" t="s">
        <v>818</v>
      </c>
      <c r="Q53">
        <v>1</v>
      </c>
      <c r="W53">
        <v>0</v>
      </c>
      <c r="X53">
        <v>-400197608</v>
      </c>
      <c r="Y53">
        <v>11.1205</v>
      </c>
      <c r="AA53">
        <v>0</v>
      </c>
      <c r="AB53">
        <v>0</v>
      </c>
      <c r="AC53">
        <v>0</v>
      </c>
      <c r="AD53">
        <v>8.5299999999999994</v>
      </c>
      <c r="AE53">
        <v>0</v>
      </c>
      <c r="AF53">
        <v>0</v>
      </c>
      <c r="AG53">
        <v>0</v>
      </c>
      <c r="AH53">
        <v>8.5299999999999994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3</v>
      </c>
      <c r="AT53">
        <v>9.67</v>
      </c>
      <c r="AU53" t="s">
        <v>38</v>
      </c>
      <c r="AV53">
        <v>1</v>
      </c>
      <c r="AW53">
        <v>2</v>
      </c>
      <c r="AX53">
        <v>68990831</v>
      </c>
      <c r="AY53">
        <v>1</v>
      </c>
      <c r="AZ53">
        <v>0</v>
      </c>
      <c r="BA53">
        <v>58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Y53*Source!I44</f>
        <v>35.919215000000001</v>
      </c>
      <c r="CY53">
        <f>AD53</f>
        <v>8.5299999999999994</v>
      </c>
      <c r="CZ53">
        <f>AH53</f>
        <v>8.5299999999999994</v>
      </c>
      <c r="DA53">
        <f>AL53</f>
        <v>1</v>
      </c>
      <c r="DB53">
        <f>ROUND((ROUND(AT53*CZ53,2)*1.15),2)</f>
        <v>94.86</v>
      </c>
      <c r="DC53">
        <f>ROUND((ROUND(AT53*AG53,2)*1.15),2)</f>
        <v>0</v>
      </c>
    </row>
    <row r="54" spans="1:107" x14ac:dyDescent="0.2">
      <c r="A54">
        <f>ROW(Source!A44)</f>
        <v>44</v>
      </c>
      <c r="B54">
        <v>68990560</v>
      </c>
      <c r="C54">
        <v>68990827</v>
      </c>
      <c r="D54">
        <v>64402923</v>
      </c>
      <c r="E54">
        <v>1</v>
      </c>
      <c r="F54">
        <v>1</v>
      </c>
      <c r="G54">
        <v>1</v>
      </c>
      <c r="H54">
        <v>2</v>
      </c>
      <c r="I54" t="s">
        <v>886</v>
      </c>
      <c r="J54" t="s">
        <v>887</v>
      </c>
      <c r="K54" t="s">
        <v>888</v>
      </c>
      <c r="L54">
        <v>1368</v>
      </c>
      <c r="N54">
        <v>1011</v>
      </c>
      <c r="O54" t="s">
        <v>824</v>
      </c>
      <c r="P54" t="s">
        <v>824</v>
      </c>
      <c r="Q54">
        <v>1</v>
      </c>
      <c r="W54">
        <v>0</v>
      </c>
      <c r="X54">
        <v>1975152863</v>
      </c>
      <c r="Y54">
        <v>5.1864999999999997</v>
      </c>
      <c r="AA54">
        <v>0</v>
      </c>
      <c r="AB54">
        <v>135.69</v>
      </c>
      <c r="AC54">
        <v>0</v>
      </c>
      <c r="AD54">
        <v>0</v>
      </c>
      <c r="AE54">
        <v>0</v>
      </c>
      <c r="AF54">
        <v>48.81</v>
      </c>
      <c r="AG54">
        <v>0</v>
      </c>
      <c r="AH54">
        <v>0</v>
      </c>
      <c r="AI54">
        <v>1</v>
      </c>
      <c r="AJ54">
        <v>2.78</v>
      </c>
      <c r="AK54">
        <v>33.65</v>
      </c>
      <c r="AL54">
        <v>1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3</v>
      </c>
      <c r="AT54">
        <v>4.51</v>
      </c>
      <c r="AU54" t="s">
        <v>38</v>
      </c>
      <c r="AV54">
        <v>0</v>
      </c>
      <c r="AW54">
        <v>2</v>
      </c>
      <c r="AX54">
        <v>68990832</v>
      </c>
      <c r="AY54">
        <v>1</v>
      </c>
      <c r="AZ54">
        <v>0</v>
      </c>
      <c r="BA54">
        <v>59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Y54*Source!I44</f>
        <v>16.752395</v>
      </c>
      <c r="CY54">
        <f>AB54</f>
        <v>135.69</v>
      </c>
      <c r="CZ54">
        <f>AF54</f>
        <v>48.81</v>
      </c>
      <c r="DA54">
        <f>AJ54</f>
        <v>2.78</v>
      </c>
      <c r="DB54">
        <f>ROUND((ROUND(AT54*CZ54,2)*1.15),2)</f>
        <v>253.15</v>
      </c>
      <c r="DC54">
        <f>ROUND((ROUND(AT54*AG54,2)*1.15),2)</f>
        <v>0</v>
      </c>
    </row>
    <row r="55" spans="1:107" x14ac:dyDescent="0.2">
      <c r="A55">
        <f>ROW(Source!A44)</f>
        <v>44</v>
      </c>
      <c r="B55">
        <v>68990560</v>
      </c>
      <c r="C55">
        <v>68990827</v>
      </c>
      <c r="D55">
        <v>64403375</v>
      </c>
      <c r="E55">
        <v>1</v>
      </c>
      <c r="F55">
        <v>1</v>
      </c>
      <c r="G55">
        <v>1</v>
      </c>
      <c r="H55">
        <v>2</v>
      </c>
      <c r="I55" t="s">
        <v>889</v>
      </c>
      <c r="J55" t="s">
        <v>890</v>
      </c>
      <c r="K55" t="s">
        <v>891</v>
      </c>
      <c r="L55">
        <v>1368</v>
      </c>
      <c r="N55">
        <v>1011</v>
      </c>
      <c r="O55" t="s">
        <v>824</v>
      </c>
      <c r="P55" t="s">
        <v>824</v>
      </c>
      <c r="Q55">
        <v>1</v>
      </c>
      <c r="W55">
        <v>0</v>
      </c>
      <c r="X55">
        <v>1943608298</v>
      </c>
      <c r="Y55">
        <v>10.372999999999999</v>
      </c>
      <c r="AA55">
        <v>0</v>
      </c>
      <c r="AB55">
        <v>5.75</v>
      </c>
      <c r="AC55">
        <v>0</v>
      </c>
      <c r="AD55">
        <v>0</v>
      </c>
      <c r="AE55">
        <v>0</v>
      </c>
      <c r="AF55">
        <v>1.53</v>
      </c>
      <c r="AG55">
        <v>0</v>
      </c>
      <c r="AH55">
        <v>0</v>
      </c>
      <c r="AI55">
        <v>1</v>
      </c>
      <c r="AJ55">
        <v>3.76</v>
      </c>
      <c r="AK55">
        <v>33.65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3</v>
      </c>
      <c r="AT55">
        <v>9.02</v>
      </c>
      <c r="AU55" t="s">
        <v>38</v>
      </c>
      <c r="AV55">
        <v>0</v>
      </c>
      <c r="AW55">
        <v>2</v>
      </c>
      <c r="AX55">
        <v>68990833</v>
      </c>
      <c r="AY55">
        <v>1</v>
      </c>
      <c r="AZ55">
        <v>0</v>
      </c>
      <c r="BA55">
        <v>60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Y55*Source!I44</f>
        <v>33.50479</v>
      </c>
      <c r="CY55">
        <f>AB55</f>
        <v>5.75</v>
      </c>
      <c r="CZ55">
        <f>AF55</f>
        <v>1.53</v>
      </c>
      <c r="DA55">
        <f>AJ55</f>
        <v>3.76</v>
      </c>
      <c r="DB55">
        <f>ROUND((ROUND(AT55*CZ55,2)*1.15),2)</f>
        <v>15.87</v>
      </c>
      <c r="DC55">
        <f>ROUND((ROUND(AT55*AG55,2)*1.15),2)</f>
        <v>0</v>
      </c>
    </row>
    <row r="56" spans="1:107" x14ac:dyDescent="0.2">
      <c r="A56">
        <f>ROW(Source!A45)</f>
        <v>45</v>
      </c>
      <c r="B56">
        <v>68990560</v>
      </c>
      <c r="C56">
        <v>68990903</v>
      </c>
      <c r="D56">
        <v>37072767</v>
      </c>
      <c r="E56">
        <v>56</v>
      </c>
      <c r="F56">
        <v>1</v>
      </c>
      <c r="G56">
        <v>1</v>
      </c>
      <c r="H56">
        <v>1</v>
      </c>
      <c r="I56" t="s">
        <v>874</v>
      </c>
      <c r="J56" t="s">
        <v>3</v>
      </c>
      <c r="K56" t="s">
        <v>875</v>
      </c>
      <c r="L56">
        <v>1191</v>
      </c>
      <c r="N56">
        <v>1013</v>
      </c>
      <c r="O56" t="s">
        <v>818</v>
      </c>
      <c r="P56" t="s">
        <v>818</v>
      </c>
      <c r="Q56">
        <v>1</v>
      </c>
      <c r="W56">
        <v>0</v>
      </c>
      <c r="X56">
        <v>-1027537862</v>
      </c>
      <c r="Y56">
        <v>33.9255</v>
      </c>
      <c r="AA56">
        <v>0</v>
      </c>
      <c r="AB56">
        <v>0</v>
      </c>
      <c r="AC56">
        <v>0</v>
      </c>
      <c r="AD56">
        <v>9.18</v>
      </c>
      <c r="AE56">
        <v>0</v>
      </c>
      <c r="AF56">
        <v>0</v>
      </c>
      <c r="AG56">
        <v>0</v>
      </c>
      <c r="AH56">
        <v>9.18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3</v>
      </c>
      <c r="AT56">
        <v>35.9</v>
      </c>
      <c r="AU56" t="s">
        <v>48</v>
      </c>
      <c r="AV56">
        <v>1</v>
      </c>
      <c r="AW56">
        <v>2</v>
      </c>
      <c r="AX56">
        <v>68990926</v>
      </c>
      <c r="AY56">
        <v>1</v>
      </c>
      <c r="AZ56">
        <v>0</v>
      </c>
      <c r="BA56">
        <v>61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Y56*Source!I45</f>
        <v>0.33925500000000003</v>
      </c>
      <c r="CY56">
        <f>AD56</f>
        <v>9.18</v>
      </c>
      <c r="CZ56">
        <f>AH56</f>
        <v>9.18</v>
      </c>
      <c r="DA56">
        <f>AL56</f>
        <v>1</v>
      </c>
      <c r="DB56">
        <f t="shared" ref="DB56:DB63" si="7">ROUND(((ROUND(AT56*CZ56,2)*1.35)*0.7),2)</f>
        <v>311.43</v>
      </c>
      <c r="DC56">
        <f t="shared" ref="DC56:DC63" si="8">ROUND(((ROUND(AT56*AG56,2)*1.35)*0.7),2)</f>
        <v>0</v>
      </c>
    </row>
    <row r="57" spans="1:107" x14ac:dyDescent="0.2">
      <c r="A57">
        <f>ROW(Source!A45)</f>
        <v>45</v>
      </c>
      <c r="B57">
        <v>68990560</v>
      </c>
      <c r="C57">
        <v>68990903</v>
      </c>
      <c r="D57">
        <v>37064876</v>
      </c>
      <c r="E57">
        <v>56</v>
      </c>
      <c r="F57">
        <v>1</v>
      </c>
      <c r="G57">
        <v>1</v>
      </c>
      <c r="H57">
        <v>1</v>
      </c>
      <c r="I57" t="s">
        <v>819</v>
      </c>
      <c r="J57" t="s">
        <v>3</v>
      </c>
      <c r="K57" t="s">
        <v>820</v>
      </c>
      <c r="L57">
        <v>1191</v>
      </c>
      <c r="N57">
        <v>1013</v>
      </c>
      <c r="O57" t="s">
        <v>818</v>
      </c>
      <c r="P57" t="s">
        <v>818</v>
      </c>
      <c r="Q57">
        <v>1</v>
      </c>
      <c r="W57">
        <v>0</v>
      </c>
      <c r="X57">
        <v>-1417349443</v>
      </c>
      <c r="Y57">
        <v>4.1768999999999998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3</v>
      </c>
      <c r="AT57">
        <v>4.42</v>
      </c>
      <c r="AU57" t="s">
        <v>48</v>
      </c>
      <c r="AV57">
        <v>2</v>
      </c>
      <c r="AW57">
        <v>2</v>
      </c>
      <c r="AX57">
        <v>68990927</v>
      </c>
      <c r="AY57">
        <v>1</v>
      </c>
      <c r="AZ57">
        <v>0</v>
      </c>
      <c r="BA57">
        <v>62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Y57*Source!I45</f>
        <v>4.1769000000000001E-2</v>
      </c>
      <c r="CY57">
        <f>AD57</f>
        <v>0</v>
      </c>
      <c r="CZ57">
        <f>AH57</f>
        <v>0</v>
      </c>
      <c r="DA57">
        <f>AL57</f>
        <v>1</v>
      </c>
      <c r="DB57">
        <f t="shared" si="7"/>
        <v>0</v>
      </c>
      <c r="DC57">
        <f t="shared" si="8"/>
        <v>0</v>
      </c>
    </row>
    <row r="58" spans="1:107" x14ac:dyDescent="0.2">
      <c r="A58">
        <f>ROW(Source!A45)</f>
        <v>45</v>
      </c>
      <c r="B58">
        <v>68990560</v>
      </c>
      <c r="C58">
        <v>68990903</v>
      </c>
      <c r="D58">
        <v>64401718</v>
      </c>
      <c r="E58">
        <v>1</v>
      </c>
      <c r="F58">
        <v>1</v>
      </c>
      <c r="G58">
        <v>1</v>
      </c>
      <c r="H58">
        <v>2</v>
      </c>
      <c r="I58" t="s">
        <v>904</v>
      </c>
      <c r="J58" t="s">
        <v>905</v>
      </c>
      <c r="K58" t="s">
        <v>906</v>
      </c>
      <c r="L58">
        <v>1368</v>
      </c>
      <c r="N58">
        <v>1011</v>
      </c>
      <c r="O58" t="s">
        <v>824</v>
      </c>
      <c r="P58" t="s">
        <v>824</v>
      </c>
      <c r="Q58">
        <v>1</v>
      </c>
      <c r="W58">
        <v>0</v>
      </c>
      <c r="X58">
        <v>-1078985958</v>
      </c>
      <c r="Y58">
        <v>9.4500000000000001E-2</v>
      </c>
      <c r="AA58">
        <v>0</v>
      </c>
      <c r="AB58">
        <v>1006.41</v>
      </c>
      <c r="AC58">
        <v>518.88</v>
      </c>
      <c r="AD58">
        <v>0</v>
      </c>
      <c r="AE58">
        <v>0</v>
      </c>
      <c r="AF58">
        <v>120.24</v>
      </c>
      <c r="AG58">
        <v>15.42</v>
      </c>
      <c r="AH58">
        <v>0</v>
      </c>
      <c r="AI58">
        <v>1</v>
      </c>
      <c r="AJ58">
        <v>8.3699999999999992</v>
      </c>
      <c r="AK58">
        <v>33.65</v>
      </c>
      <c r="AL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3</v>
      </c>
      <c r="AT58">
        <v>0.1</v>
      </c>
      <c r="AU58" t="s">
        <v>48</v>
      </c>
      <c r="AV58">
        <v>0</v>
      </c>
      <c r="AW58">
        <v>2</v>
      </c>
      <c r="AX58">
        <v>68990928</v>
      </c>
      <c r="AY58">
        <v>1</v>
      </c>
      <c r="AZ58">
        <v>0</v>
      </c>
      <c r="BA58">
        <v>63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Y58*Source!I45</f>
        <v>9.4499999999999998E-4</v>
      </c>
      <c r="CY58">
        <f t="shared" ref="CY58:CY63" si="9">AB58</f>
        <v>1006.41</v>
      </c>
      <c r="CZ58">
        <f t="shared" ref="CZ58:CZ63" si="10">AF58</f>
        <v>120.24</v>
      </c>
      <c r="DA58">
        <f t="shared" ref="DA58:DA63" si="11">AJ58</f>
        <v>8.3699999999999992</v>
      </c>
      <c r="DB58">
        <f t="shared" si="7"/>
        <v>11.36</v>
      </c>
      <c r="DC58">
        <f t="shared" si="8"/>
        <v>1.46</v>
      </c>
    </row>
    <row r="59" spans="1:107" x14ac:dyDescent="0.2">
      <c r="A59">
        <f>ROW(Source!A45)</f>
        <v>45</v>
      </c>
      <c r="B59">
        <v>68990560</v>
      </c>
      <c r="C59">
        <v>68990903</v>
      </c>
      <c r="D59">
        <v>64401763</v>
      </c>
      <c r="E59">
        <v>1</v>
      </c>
      <c r="F59">
        <v>1</v>
      </c>
      <c r="G59">
        <v>1</v>
      </c>
      <c r="H59">
        <v>2</v>
      </c>
      <c r="I59" t="s">
        <v>821</v>
      </c>
      <c r="J59" t="s">
        <v>822</v>
      </c>
      <c r="K59" t="s">
        <v>823</v>
      </c>
      <c r="L59">
        <v>1368</v>
      </c>
      <c r="N59">
        <v>1011</v>
      </c>
      <c r="O59" t="s">
        <v>824</v>
      </c>
      <c r="P59" t="s">
        <v>824</v>
      </c>
      <c r="Q59">
        <v>1</v>
      </c>
      <c r="W59">
        <v>0</v>
      </c>
      <c r="X59">
        <v>-1346461524</v>
      </c>
      <c r="Y59">
        <v>3.9028499999999999</v>
      </c>
      <c r="AA59">
        <v>0</v>
      </c>
      <c r="AB59">
        <v>1074.3699999999999</v>
      </c>
      <c r="AC59">
        <v>454.28</v>
      </c>
      <c r="AD59">
        <v>0</v>
      </c>
      <c r="AE59">
        <v>0</v>
      </c>
      <c r="AF59">
        <v>115.4</v>
      </c>
      <c r="AG59">
        <v>13.5</v>
      </c>
      <c r="AH59">
        <v>0</v>
      </c>
      <c r="AI59">
        <v>1</v>
      </c>
      <c r="AJ59">
        <v>9.31</v>
      </c>
      <c r="AK59">
        <v>33.65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3</v>
      </c>
      <c r="AT59">
        <v>4.13</v>
      </c>
      <c r="AU59" t="s">
        <v>48</v>
      </c>
      <c r="AV59">
        <v>0</v>
      </c>
      <c r="AW59">
        <v>2</v>
      </c>
      <c r="AX59">
        <v>68990929</v>
      </c>
      <c r="AY59">
        <v>1</v>
      </c>
      <c r="AZ59">
        <v>2048</v>
      </c>
      <c r="BA59">
        <v>64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Y59*Source!I45</f>
        <v>3.9028500000000001E-2</v>
      </c>
      <c r="CY59">
        <f t="shared" si="9"/>
        <v>1074.3699999999999</v>
      </c>
      <c r="CZ59">
        <f t="shared" si="10"/>
        <v>115.4</v>
      </c>
      <c r="DA59">
        <f t="shared" si="11"/>
        <v>9.31</v>
      </c>
      <c r="DB59">
        <f t="shared" si="7"/>
        <v>450.39</v>
      </c>
      <c r="DC59">
        <f t="shared" si="8"/>
        <v>52.69</v>
      </c>
    </row>
    <row r="60" spans="1:107" x14ac:dyDescent="0.2">
      <c r="A60">
        <f>ROW(Source!A45)</f>
        <v>45</v>
      </c>
      <c r="B60">
        <v>68990560</v>
      </c>
      <c r="C60">
        <v>68990903</v>
      </c>
      <c r="D60">
        <v>64401848</v>
      </c>
      <c r="E60">
        <v>1</v>
      </c>
      <c r="F60">
        <v>1</v>
      </c>
      <c r="G60">
        <v>1</v>
      </c>
      <c r="H60">
        <v>2</v>
      </c>
      <c r="I60" t="s">
        <v>907</v>
      </c>
      <c r="J60" t="s">
        <v>908</v>
      </c>
      <c r="K60" t="s">
        <v>909</v>
      </c>
      <c r="L60">
        <v>1368</v>
      </c>
      <c r="N60">
        <v>1011</v>
      </c>
      <c r="O60" t="s">
        <v>824</v>
      </c>
      <c r="P60" t="s">
        <v>824</v>
      </c>
      <c r="Q60">
        <v>1</v>
      </c>
      <c r="W60">
        <v>0</v>
      </c>
      <c r="X60">
        <v>437962287</v>
      </c>
      <c r="Y60">
        <v>2.9956499999999999</v>
      </c>
      <c r="AA60">
        <v>0</v>
      </c>
      <c r="AB60">
        <v>5.85</v>
      </c>
      <c r="AC60">
        <v>0</v>
      </c>
      <c r="AD60">
        <v>0</v>
      </c>
      <c r="AE60">
        <v>0</v>
      </c>
      <c r="AF60">
        <v>0.9</v>
      </c>
      <c r="AG60">
        <v>0</v>
      </c>
      <c r="AH60">
        <v>0</v>
      </c>
      <c r="AI60">
        <v>1</v>
      </c>
      <c r="AJ60">
        <v>6.5</v>
      </c>
      <c r="AK60">
        <v>33.65</v>
      </c>
      <c r="AL60">
        <v>1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3</v>
      </c>
      <c r="AT60">
        <v>3.17</v>
      </c>
      <c r="AU60" t="s">
        <v>48</v>
      </c>
      <c r="AV60">
        <v>0</v>
      </c>
      <c r="AW60">
        <v>2</v>
      </c>
      <c r="AX60">
        <v>68990930</v>
      </c>
      <c r="AY60">
        <v>1</v>
      </c>
      <c r="AZ60">
        <v>2048</v>
      </c>
      <c r="BA60">
        <v>65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Y60*Source!I45</f>
        <v>2.99565E-2</v>
      </c>
      <c r="CY60">
        <f t="shared" si="9"/>
        <v>5.85</v>
      </c>
      <c r="CZ60">
        <f t="shared" si="10"/>
        <v>0.9</v>
      </c>
      <c r="DA60">
        <f t="shared" si="11"/>
        <v>6.5</v>
      </c>
      <c r="DB60">
        <f t="shared" si="7"/>
        <v>2.69</v>
      </c>
      <c r="DC60">
        <f t="shared" si="8"/>
        <v>0</v>
      </c>
    </row>
    <row r="61" spans="1:107" x14ac:dyDescent="0.2">
      <c r="A61">
        <f>ROW(Source!A45)</f>
        <v>45</v>
      </c>
      <c r="B61">
        <v>68990560</v>
      </c>
      <c r="C61">
        <v>68990903</v>
      </c>
      <c r="D61">
        <v>64402691</v>
      </c>
      <c r="E61">
        <v>1</v>
      </c>
      <c r="F61">
        <v>1</v>
      </c>
      <c r="G61">
        <v>1</v>
      </c>
      <c r="H61">
        <v>2</v>
      </c>
      <c r="I61" t="s">
        <v>825</v>
      </c>
      <c r="J61" t="s">
        <v>826</v>
      </c>
      <c r="K61" t="s">
        <v>827</v>
      </c>
      <c r="L61">
        <v>1368</v>
      </c>
      <c r="N61">
        <v>1011</v>
      </c>
      <c r="O61" t="s">
        <v>824</v>
      </c>
      <c r="P61" t="s">
        <v>824</v>
      </c>
      <c r="Q61">
        <v>1</v>
      </c>
      <c r="W61">
        <v>0</v>
      </c>
      <c r="X61">
        <v>-841254546</v>
      </c>
      <c r="Y61">
        <v>0.17954999999999999</v>
      </c>
      <c r="AA61">
        <v>0</v>
      </c>
      <c r="AB61">
        <v>776.04</v>
      </c>
      <c r="AC61">
        <v>390.34</v>
      </c>
      <c r="AD61">
        <v>0</v>
      </c>
      <c r="AE61">
        <v>0</v>
      </c>
      <c r="AF61">
        <v>65.709999999999994</v>
      </c>
      <c r="AG61">
        <v>11.6</v>
      </c>
      <c r="AH61">
        <v>0</v>
      </c>
      <c r="AI61">
        <v>1</v>
      </c>
      <c r="AJ61">
        <v>11.81</v>
      </c>
      <c r="AK61">
        <v>33.65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3</v>
      </c>
      <c r="AT61">
        <v>0.19</v>
      </c>
      <c r="AU61" t="s">
        <v>48</v>
      </c>
      <c r="AV61">
        <v>0</v>
      </c>
      <c r="AW61">
        <v>2</v>
      </c>
      <c r="AX61">
        <v>68990931</v>
      </c>
      <c r="AY61">
        <v>1</v>
      </c>
      <c r="AZ61">
        <v>0</v>
      </c>
      <c r="BA61">
        <v>66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Y61*Source!I45</f>
        <v>1.7955E-3</v>
      </c>
      <c r="CY61">
        <f t="shared" si="9"/>
        <v>776.04</v>
      </c>
      <c r="CZ61">
        <f t="shared" si="10"/>
        <v>65.709999999999994</v>
      </c>
      <c r="DA61">
        <f t="shared" si="11"/>
        <v>11.81</v>
      </c>
      <c r="DB61">
        <f t="shared" si="7"/>
        <v>11.79</v>
      </c>
      <c r="DC61">
        <f t="shared" si="8"/>
        <v>2.08</v>
      </c>
    </row>
    <row r="62" spans="1:107" x14ac:dyDescent="0.2">
      <c r="A62">
        <f>ROW(Source!A45)</f>
        <v>45</v>
      </c>
      <c r="B62">
        <v>68990560</v>
      </c>
      <c r="C62">
        <v>68990903</v>
      </c>
      <c r="D62">
        <v>64402844</v>
      </c>
      <c r="E62">
        <v>1</v>
      </c>
      <c r="F62">
        <v>1</v>
      </c>
      <c r="G62">
        <v>1</v>
      </c>
      <c r="H62">
        <v>2</v>
      </c>
      <c r="I62" t="s">
        <v>910</v>
      </c>
      <c r="J62" t="s">
        <v>911</v>
      </c>
      <c r="K62" t="s">
        <v>912</v>
      </c>
      <c r="L62">
        <v>1368</v>
      </c>
      <c r="N62">
        <v>1011</v>
      </c>
      <c r="O62" t="s">
        <v>824</v>
      </c>
      <c r="P62" t="s">
        <v>824</v>
      </c>
      <c r="Q62">
        <v>1</v>
      </c>
      <c r="W62">
        <v>0</v>
      </c>
      <c r="X62">
        <v>1927650788</v>
      </c>
      <c r="Y62">
        <v>1.5403500000000001</v>
      </c>
      <c r="AA62">
        <v>0</v>
      </c>
      <c r="AB62">
        <v>4.68</v>
      </c>
      <c r="AC62">
        <v>0</v>
      </c>
      <c r="AD62">
        <v>0</v>
      </c>
      <c r="AE62">
        <v>0</v>
      </c>
      <c r="AF62">
        <v>1.2</v>
      </c>
      <c r="AG62">
        <v>0</v>
      </c>
      <c r="AH62">
        <v>0</v>
      </c>
      <c r="AI62">
        <v>1</v>
      </c>
      <c r="AJ62">
        <v>3.9</v>
      </c>
      <c r="AK62">
        <v>33.65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3</v>
      </c>
      <c r="AT62">
        <v>1.63</v>
      </c>
      <c r="AU62" t="s">
        <v>48</v>
      </c>
      <c r="AV62">
        <v>0</v>
      </c>
      <c r="AW62">
        <v>2</v>
      </c>
      <c r="AX62">
        <v>68990932</v>
      </c>
      <c r="AY62">
        <v>1</v>
      </c>
      <c r="AZ62">
        <v>2048</v>
      </c>
      <c r="BA62">
        <v>67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Y62*Source!I45</f>
        <v>1.5403500000000002E-2</v>
      </c>
      <c r="CY62">
        <f t="shared" si="9"/>
        <v>4.68</v>
      </c>
      <c r="CZ62">
        <f t="shared" si="10"/>
        <v>1.2</v>
      </c>
      <c r="DA62">
        <f t="shared" si="11"/>
        <v>3.9</v>
      </c>
      <c r="DB62">
        <f t="shared" si="7"/>
        <v>1.85</v>
      </c>
      <c r="DC62">
        <f t="shared" si="8"/>
        <v>0</v>
      </c>
    </row>
    <row r="63" spans="1:107" x14ac:dyDescent="0.2">
      <c r="A63">
        <f>ROW(Source!A45)</f>
        <v>45</v>
      </c>
      <c r="B63">
        <v>68990560</v>
      </c>
      <c r="C63">
        <v>68990903</v>
      </c>
      <c r="D63">
        <v>64402887</v>
      </c>
      <c r="E63">
        <v>1</v>
      </c>
      <c r="F63">
        <v>1</v>
      </c>
      <c r="G63">
        <v>1</v>
      </c>
      <c r="H63">
        <v>2</v>
      </c>
      <c r="I63" t="s">
        <v>913</v>
      </c>
      <c r="J63" t="s">
        <v>914</v>
      </c>
      <c r="K63" t="s">
        <v>915</v>
      </c>
      <c r="L63">
        <v>1368</v>
      </c>
      <c r="N63">
        <v>1011</v>
      </c>
      <c r="O63" t="s">
        <v>824</v>
      </c>
      <c r="P63" t="s">
        <v>824</v>
      </c>
      <c r="Q63">
        <v>1</v>
      </c>
      <c r="W63">
        <v>0</v>
      </c>
      <c r="X63">
        <v>1129227731</v>
      </c>
      <c r="Y63">
        <v>5.8212000000000002</v>
      </c>
      <c r="AA63">
        <v>0</v>
      </c>
      <c r="AB63">
        <v>97.86</v>
      </c>
      <c r="AC63">
        <v>0</v>
      </c>
      <c r="AD63">
        <v>0</v>
      </c>
      <c r="AE63">
        <v>0</v>
      </c>
      <c r="AF63">
        <v>12.31</v>
      </c>
      <c r="AG63">
        <v>0</v>
      </c>
      <c r="AH63">
        <v>0</v>
      </c>
      <c r="AI63">
        <v>1</v>
      </c>
      <c r="AJ63">
        <v>7.95</v>
      </c>
      <c r="AK63">
        <v>33.65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3</v>
      </c>
      <c r="AT63">
        <v>6.16</v>
      </c>
      <c r="AU63" t="s">
        <v>48</v>
      </c>
      <c r="AV63">
        <v>0</v>
      </c>
      <c r="AW63">
        <v>2</v>
      </c>
      <c r="AX63">
        <v>68990933</v>
      </c>
      <c r="AY63">
        <v>1</v>
      </c>
      <c r="AZ63">
        <v>0</v>
      </c>
      <c r="BA63">
        <v>68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Y63*Source!I45</f>
        <v>5.8212E-2</v>
      </c>
      <c r="CY63">
        <f t="shared" si="9"/>
        <v>97.86</v>
      </c>
      <c r="CZ63">
        <f t="shared" si="10"/>
        <v>12.31</v>
      </c>
      <c r="DA63">
        <f t="shared" si="11"/>
        <v>7.95</v>
      </c>
      <c r="DB63">
        <f t="shared" si="7"/>
        <v>71.66</v>
      </c>
      <c r="DC63">
        <f t="shared" si="8"/>
        <v>0</v>
      </c>
    </row>
    <row r="64" spans="1:107" x14ac:dyDescent="0.2">
      <c r="A64">
        <f>ROW(Source!A45)</f>
        <v>45</v>
      </c>
      <c r="B64">
        <v>68990560</v>
      </c>
      <c r="C64">
        <v>68990903</v>
      </c>
      <c r="D64">
        <v>64251195</v>
      </c>
      <c r="E64">
        <v>1</v>
      </c>
      <c r="F64">
        <v>1</v>
      </c>
      <c r="G64">
        <v>1</v>
      </c>
      <c r="H64">
        <v>3</v>
      </c>
      <c r="I64" t="s">
        <v>916</v>
      </c>
      <c r="J64" t="s">
        <v>917</v>
      </c>
      <c r="K64" t="s">
        <v>918</v>
      </c>
      <c r="L64">
        <v>1339</v>
      </c>
      <c r="N64">
        <v>1007</v>
      </c>
      <c r="O64" t="s">
        <v>113</v>
      </c>
      <c r="P64" t="s">
        <v>113</v>
      </c>
      <c r="Q64">
        <v>1</v>
      </c>
      <c r="W64">
        <v>0</v>
      </c>
      <c r="X64">
        <v>-2065749550</v>
      </c>
      <c r="Y64">
        <v>0</v>
      </c>
      <c r="AA64">
        <v>60.89</v>
      </c>
      <c r="AB64">
        <v>0</v>
      </c>
      <c r="AC64">
        <v>0</v>
      </c>
      <c r="AD64">
        <v>0</v>
      </c>
      <c r="AE64">
        <v>6.22</v>
      </c>
      <c r="AF64">
        <v>0</v>
      </c>
      <c r="AG64">
        <v>0</v>
      </c>
      <c r="AH64">
        <v>0</v>
      </c>
      <c r="AI64">
        <v>9.7899999999999991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3</v>
      </c>
      <c r="AT64">
        <v>1.37</v>
      </c>
      <c r="AU64" t="s">
        <v>20</v>
      </c>
      <c r="AV64">
        <v>0</v>
      </c>
      <c r="AW64">
        <v>2</v>
      </c>
      <c r="AX64">
        <v>68990934</v>
      </c>
      <c r="AY64">
        <v>1</v>
      </c>
      <c r="AZ64">
        <v>0</v>
      </c>
      <c r="BA64">
        <v>69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Y64*Source!I45</f>
        <v>0</v>
      </c>
      <c r="CY64">
        <f t="shared" ref="CY64:CY75" si="12">AA64</f>
        <v>60.89</v>
      </c>
      <c r="CZ64">
        <f t="shared" ref="CZ64:CZ75" si="13">AE64</f>
        <v>6.22</v>
      </c>
      <c r="DA64">
        <f t="shared" ref="DA64:DA75" si="14">AI64</f>
        <v>9.7899999999999991</v>
      </c>
      <c r="DB64">
        <f t="shared" ref="DB64:DB75" si="15">ROUND((ROUND(AT64*CZ64,2)*0),2)</f>
        <v>0</v>
      </c>
      <c r="DC64">
        <f t="shared" ref="DC64:DC75" si="16">ROUND((ROUND(AT64*AG64,2)*0),2)</f>
        <v>0</v>
      </c>
    </row>
    <row r="65" spans="1:107" x14ac:dyDescent="0.2">
      <c r="A65">
        <f>ROW(Source!A45)</f>
        <v>45</v>
      </c>
      <c r="B65">
        <v>68990560</v>
      </c>
      <c r="C65">
        <v>68990903</v>
      </c>
      <c r="D65">
        <v>64251201</v>
      </c>
      <c r="E65">
        <v>1</v>
      </c>
      <c r="F65">
        <v>1</v>
      </c>
      <c r="G65">
        <v>1</v>
      </c>
      <c r="H65">
        <v>3</v>
      </c>
      <c r="I65" t="s">
        <v>919</v>
      </c>
      <c r="J65" t="s">
        <v>920</v>
      </c>
      <c r="K65" t="s">
        <v>921</v>
      </c>
      <c r="L65">
        <v>1346</v>
      </c>
      <c r="N65">
        <v>1009</v>
      </c>
      <c r="O65" t="s">
        <v>170</v>
      </c>
      <c r="P65" t="s">
        <v>170</v>
      </c>
      <c r="Q65">
        <v>1</v>
      </c>
      <c r="W65">
        <v>0</v>
      </c>
      <c r="X65">
        <v>-21371743</v>
      </c>
      <c r="Y65">
        <v>0</v>
      </c>
      <c r="AA65">
        <v>43.54</v>
      </c>
      <c r="AB65">
        <v>0</v>
      </c>
      <c r="AC65">
        <v>0</v>
      </c>
      <c r="AD65">
        <v>0</v>
      </c>
      <c r="AE65">
        <v>6.09</v>
      </c>
      <c r="AF65">
        <v>0</v>
      </c>
      <c r="AG65">
        <v>0</v>
      </c>
      <c r="AH65">
        <v>0</v>
      </c>
      <c r="AI65">
        <v>7.15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3</v>
      </c>
      <c r="AT65">
        <v>0.41</v>
      </c>
      <c r="AU65" t="s">
        <v>20</v>
      </c>
      <c r="AV65">
        <v>0</v>
      </c>
      <c r="AW65">
        <v>2</v>
      </c>
      <c r="AX65">
        <v>68990935</v>
      </c>
      <c r="AY65">
        <v>1</v>
      </c>
      <c r="AZ65">
        <v>0</v>
      </c>
      <c r="BA65">
        <v>70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Y65*Source!I45</f>
        <v>0</v>
      </c>
      <c r="CY65">
        <f t="shared" si="12"/>
        <v>43.54</v>
      </c>
      <c r="CZ65">
        <f t="shared" si="13"/>
        <v>6.09</v>
      </c>
      <c r="DA65">
        <f t="shared" si="14"/>
        <v>7.15</v>
      </c>
      <c r="DB65">
        <f t="shared" si="15"/>
        <v>0</v>
      </c>
      <c r="DC65">
        <f t="shared" si="16"/>
        <v>0</v>
      </c>
    </row>
    <row r="66" spans="1:107" x14ac:dyDescent="0.2">
      <c r="A66">
        <f>ROW(Source!A45)</f>
        <v>45</v>
      </c>
      <c r="B66">
        <v>68990560</v>
      </c>
      <c r="C66">
        <v>68990903</v>
      </c>
      <c r="D66">
        <v>64253863</v>
      </c>
      <c r="E66">
        <v>1</v>
      </c>
      <c r="F66">
        <v>1</v>
      </c>
      <c r="G66">
        <v>1</v>
      </c>
      <c r="H66">
        <v>3</v>
      </c>
      <c r="I66" t="s">
        <v>922</v>
      </c>
      <c r="J66" t="s">
        <v>923</v>
      </c>
      <c r="K66" t="s">
        <v>924</v>
      </c>
      <c r="L66">
        <v>1346</v>
      </c>
      <c r="N66">
        <v>1009</v>
      </c>
      <c r="O66" t="s">
        <v>170</v>
      </c>
      <c r="P66" t="s">
        <v>170</v>
      </c>
      <c r="Q66">
        <v>1</v>
      </c>
      <c r="W66">
        <v>0</v>
      </c>
      <c r="X66">
        <v>1160504311</v>
      </c>
      <c r="Y66">
        <v>0</v>
      </c>
      <c r="AA66">
        <v>112.02</v>
      </c>
      <c r="AB66">
        <v>0</v>
      </c>
      <c r="AC66">
        <v>0</v>
      </c>
      <c r="AD66">
        <v>0</v>
      </c>
      <c r="AE66">
        <v>10.75</v>
      </c>
      <c r="AF66">
        <v>0</v>
      </c>
      <c r="AG66">
        <v>0</v>
      </c>
      <c r="AH66">
        <v>0</v>
      </c>
      <c r="AI66">
        <v>10.42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3</v>
      </c>
      <c r="AT66">
        <v>4</v>
      </c>
      <c r="AU66" t="s">
        <v>20</v>
      </c>
      <c r="AV66">
        <v>0</v>
      </c>
      <c r="AW66">
        <v>2</v>
      </c>
      <c r="AX66">
        <v>68990936</v>
      </c>
      <c r="AY66">
        <v>1</v>
      </c>
      <c r="AZ66">
        <v>0</v>
      </c>
      <c r="BA66">
        <v>71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Y66*Source!I45</f>
        <v>0</v>
      </c>
      <c r="CY66">
        <f t="shared" si="12"/>
        <v>112.02</v>
      </c>
      <c r="CZ66">
        <f t="shared" si="13"/>
        <v>10.75</v>
      </c>
      <c r="DA66">
        <f t="shared" si="14"/>
        <v>10.42</v>
      </c>
      <c r="DB66">
        <f t="shared" si="15"/>
        <v>0</v>
      </c>
      <c r="DC66">
        <f t="shared" si="16"/>
        <v>0</v>
      </c>
    </row>
    <row r="67" spans="1:107" x14ac:dyDescent="0.2">
      <c r="A67">
        <f>ROW(Source!A45)</f>
        <v>45</v>
      </c>
      <c r="B67">
        <v>68990560</v>
      </c>
      <c r="C67">
        <v>68990903</v>
      </c>
      <c r="D67">
        <v>64255112</v>
      </c>
      <c r="E67">
        <v>1</v>
      </c>
      <c r="F67">
        <v>1</v>
      </c>
      <c r="G67">
        <v>1</v>
      </c>
      <c r="H67">
        <v>3</v>
      </c>
      <c r="I67" t="s">
        <v>925</v>
      </c>
      <c r="J67" t="s">
        <v>926</v>
      </c>
      <c r="K67" t="s">
        <v>927</v>
      </c>
      <c r="L67">
        <v>1348</v>
      </c>
      <c r="N67">
        <v>1009</v>
      </c>
      <c r="O67" t="s">
        <v>71</v>
      </c>
      <c r="P67" t="s">
        <v>71</v>
      </c>
      <c r="Q67">
        <v>1000</v>
      </c>
      <c r="W67">
        <v>0</v>
      </c>
      <c r="X67">
        <v>-2110081257</v>
      </c>
      <c r="Y67">
        <v>0</v>
      </c>
      <c r="AA67">
        <v>102052.56</v>
      </c>
      <c r="AB67">
        <v>0</v>
      </c>
      <c r="AC67">
        <v>0</v>
      </c>
      <c r="AD67">
        <v>0</v>
      </c>
      <c r="AE67">
        <v>11978</v>
      </c>
      <c r="AF67">
        <v>0</v>
      </c>
      <c r="AG67">
        <v>0</v>
      </c>
      <c r="AH67">
        <v>0</v>
      </c>
      <c r="AI67">
        <v>8.52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3</v>
      </c>
      <c r="AT67">
        <v>1.0000000000000001E-5</v>
      </c>
      <c r="AU67" t="s">
        <v>20</v>
      </c>
      <c r="AV67">
        <v>0</v>
      </c>
      <c r="AW67">
        <v>2</v>
      </c>
      <c r="AX67">
        <v>68990938</v>
      </c>
      <c r="AY67">
        <v>1</v>
      </c>
      <c r="AZ67">
        <v>0</v>
      </c>
      <c r="BA67">
        <v>73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Y67*Source!I45</f>
        <v>0</v>
      </c>
      <c r="CY67">
        <f t="shared" si="12"/>
        <v>102052.56</v>
      </c>
      <c r="CZ67">
        <f t="shared" si="13"/>
        <v>11978</v>
      </c>
      <c r="DA67">
        <f t="shared" si="14"/>
        <v>8.52</v>
      </c>
      <c r="DB67">
        <f t="shared" si="15"/>
        <v>0</v>
      </c>
      <c r="DC67">
        <f t="shared" si="16"/>
        <v>0</v>
      </c>
    </row>
    <row r="68" spans="1:107" x14ac:dyDescent="0.2">
      <c r="A68">
        <f>ROW(Source!A45)</f>
        <v>45</v>
      </c>
      <c r="B68">
        <v>68990560</v>
      </c>
      <c r="C68">
        <v>68990903</v>
      </c>
      <c r="D68">
        <v>64256203</v>
      </c>
      <c r="E68">
        <v>1</v>
      </c>
      <c r="F68">
        <v>1</v>
      </c>
      <c r="G68">
        <v>1</v>
      </c>
      <c r="H68">
        <v>3</v>
      </c>
      <c r="I68" t="s">
        <v>928</v>
      </c>
      <c r="J68" t="s">
        <v>929</v>
      </c>
      <c r="K68" t="s">
        <v>930</v>
      </c>
      <c r="L68">
        <v>1348</v>
      </c>
      <c r="N68">
        <v>1009</v>
      </c>
      <c r="O68" t="s">
        <v>71</v>
      </c>
      <c r="P68" t="s">
        <v>71</v>
      </c>
      <c r="Q68">
        <v>1000</v>
      </c>
      <c r="W68">
        <v>0</v>
      </c>
      <c r="X68">
        <v>-1908218251</v>
      </c>
      <c r="Y68">
        <v>0</v>
      </c>
      <c r="AA68">
        <v>169034</v>
      </c>
      <c r="AB68">
        <v>0</v>
      </c>
      <c r="AC68">
        <v>0</v>
      </c>
      <c r="AD68">
        <v>0</v>
      </c>
      <c r="AE68">
        <v>37900</v>
      </c>
      <c r="AF68">
        <v>0</v>
      </c>
      <c r="AG68">
        <v>0</v>
      </c>
      <c r="AH68">
        <v>0</v>
      </c>
      <c r="AI68">
        <v>4.46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3</v>
      </c>
      <c r="AT68">
        <v>1E-4</v>
      </c>
      <c r="AU68" t="s">
        <v>20</v>
      </c>
      <c r="AV68">
        <v>0</v>
      </c>
      <c r="AW68">
        <v>2</v>
      </c>
      <c r="AX68">
        <v>68990939</v>
      </c>
      <c r="AY68">
        <v>1</v>
      </c>
      <c r="AZ68">
        <v>0</v>
      </c>
      <c r="BA68">
        <v>74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Y68*Source!I45</f>
        <v>0</v>
      </c>
      <c r="CY68">
        <f t="shared" si="12"/>
        <v>169034</v>
      </c>
      <c r="CZ68">
        <f t="shared" si="13"/>
        <v>37900</v>
      </c>
      <c r="DA68">
        <f t="shared" si="14"/>
        <v>4.46</v>
      </c>
      <c r="DB68">
        <f t="shared" si="15"/>
        <v>0</v>
      </c>
      <c r="DC68">
        <f t="shared" si="16"/>
        <v>0</v>
      </c>
    </row>
    <row r="69" spans="1:107" x14ac:dyDescent="0.2">
      <c r="A69">
        <f>ROW(Source!A45)</f>
        <v>45</v>
      </c>
      <c r="B69">
        <v>68990560</v>
      </c>
      <c r="C69">
        <v>68990903</v>
      </c>
      <c r="D69">
        <v>64269842</v>
      </c>
      <c r="E69">
        <v>1</v>
      </c>
      <c r="F69">
        <v>1</v>
      </c>
      <c r="G69">
        <v>1</v>
      </c>
      <c r="H69">
        <v>3</v>
      </c>
      <c r="I69" t="s">
        <v>931</v>
      </c>
      <c r="J69" t="s">
        <v>932</v>
      </c>
      <c r="K69" t="s">
        <v>933</v>
      </c>
      <c r="L69">
        <v>1348</v>
      </c>
      <c r="N69">
        <v>1009</v>
      </c>
      <c r="O69" t="s">
        <v>71</v>
      </c>
      <c r="P69" t="s">
        <v>71</v>
      </c>
      <c r="Q69">
        <v>1000</v>
      </c>
      <c r="W69">
        <v>0</v>
      </c>
      <c r="X69">
        <v>1195780435</v>
      </c>
      <c r="Y69">
        <v>0</v>
      </c>
      <c r="AA69">
        <v>66477.440000000002</v>
      </c>
      <c r="AB69">
        <v>0</v>
      </c>
      <c r="AC69">
        <v>0</v>
      </c>
      <c r="AD69">
        <v>0</v>
      </c>
      <c r="AE69">
        <v>7712</v>
      </c>
      <c r="AF69">
        <v>0</v>
      </c>
      <c r="AG69">
        <v>0</v>
      </c>
      <c r="AH69">
        <v>0</v>
      </c>
      <c r="AI69">
        <v>8.6199999999999992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3</v>
      </c>
      <c r="AT69">
        <v>1E-3</v>
      </c>
      <c r="AU69" t="s">
        <v>20</v>
      </c>
      <c r="AV69">
        <v>0</v>
      </c>
      <c r="AW69">
        <v>2</v>
      </c>
      <c r="AX69">
        <v>68990941</v>
      </c>
      <c r="AY69">
        <v>1</v>
      </c>
      <c r="AZ69">
        <v>0</v>
      </c>
      <c r="BA69">
        <v>76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Y69*Source!I45</f>
        <v>0</v>
      </c>
      <c r="CY69">
        <f t="shared" si="12"/>
        <v>66477.440000000002</v>
      </c>
      <c r="CZ69">
        <f t="shared" si="13"/>
        <v>7712</v>
      </c>
      <c r="DA69">
        <f t="shared" si="14"/>
        <v>8.6199999999999992</v>
      </c>
      <c r="DB69">
        <f t="shared" si="15"/>
        <v>0</v>
      </c>
      <c r="DC69">
        <f t="shared" si="16"/>
        <v>0</v>
      </c>
    </row>
    <row r="70" spans="1:107" x14ac:dyDescent="0.2">
      <c r="A70">
        <f>ROW(Source!A45)</f>
        <v>45</v>
      </c>
      <c r="B70">
        <v>68990560</v>
      </c>
      <c r="C70">
        <v>68990903</v>
      </c>
      <c r="D70">
        <v>64271871</v>
      </c>
      <c r="E70">
        <v>1</v>
      </c>
      <c r="F70">
        <v>1</v>
      </c>
      <c r="G70">
        <v>1</v>
      </c>
      <c r="H70">
        <v>3</v>
      </c>
      <c r="I70" t="s">
        <v>934</v>
      </c>
      <c r="J70" t="s">
        <v>935</v>
      </c>
      <c r="K70" t="s">
        <v>936</v>
      </c>
      <c r="L70">
        <v>1302</v>
      </c>
      <c r="N70">
        <v>1003</v>
      </c>
      <c r="O70" t="s">
        <v>395</v>
      </c>
      <c r="P70" t="s">
        <v>395</v>
      </c>
      <c r="Q70">
        <v>10</v>
      </c>
      <c r="W70">
        <v>0</v>
      </c>
      <c r="X70">
        <v>660380256</v>
      </c>
      <c r="Y70">
        <v>0</v>
      </c>
      <c r="AA70">
        <v>278.83</v>
      </c>
      <c r="AB70">
        <v>0</v>
      </c>
      <c r="AC70">
        <v>0</v>
      </c>
      <c r="AD70">
        <v>0</v>
      </c>
      <c r="AE70">
        <v>50.24</v>
      </c>
      <c r="AF70">
        <v>0</v>
      </c>
      <c r="AG70">
        <v>0</v>
      </c>
      <c r="AH70">
        <v>0</v>
      </c>
      <c r="AI70">
        <v>5.55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3</v>
      </c>
      <c r="AT70">
        <v>1.8700000000000001E-2</v>
      </c>
      <c r="AU70" t="s">
        <v>20</v>
      </c>
      <c r="AV70">
        <v>0</v>
      </c>
      <c r="AW70">
        <v>2</v>
      </c>
      <c r="AX70">
        <v>68990942</v>
      </c>
      <c r="AY70">
        <v>1</v>
      </c>
      <c r="AZ70">
        <v>0</v>
      </c>
      <c r="BA70">
        <v>77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Y70*Source!I45</f>
        <v>0</v>
      </c>
      <c r="CY70">
        <f t="shared" si="12"/>
        <v>278.83</v>
      </c>
      <c r="CZ70">
        <f t="shared" si="13"/>
        <v>50.24</v>
      </c>
      <c r="DA70">
        <f t="shared" si="14"/>
        <v>5.55</v>
      </c>
      <c r="DB70">
        <f t="shared" si="15"/>
        <v>0</v>
      </c>
      <c r="DC70">
        <f t="shared" si="16"/>
        <v>0</v>
      </c>
    </row>
    <row r="71" spans="1:107" x14ac:dyDescent="0.2">
      <c r="A71">
        <f>ROW(Source!A45)</f>
        <v>45</v>
      </c>
      <c r="B71">
        <v>68990560</v>
      </c>
      <c r="C71">
        <v>68990903</v>
      </c>
      <c r="D71">
        <v>64272226</v>
      </c>
      <c r="E71">
        <v>1</v>
      </c>
      <c r="F71">
        <v>1</v>
      </c>
      <c r="G71">
        <v>1</v>
      </c>
      <c r="H71">
        <v>3</v>
      </c>
      <c r="I71" t="s">
        <v>937</v>
      </c>
      <c r="J71" t="s">
        <v>938</v>
      </c>
      <c r="K71" t="s">
        <v>939</v>
      </c>
      <c r="L71">
        <v>1348</v>
      </c>
      <c r="N71">
        <v>1009</v>
      </c>
      <c r="O71" t="s">
        <v>71</v>
      </c>
      <c r="P71" t="s">
        <v>71</v>
      </c>
      <c r="Q71">
        <v>1000</v>
      </c>
      <c r="W71">
        <v>0</v>
      </c>
      <c r="X71">
        <v>-1782989208</v>
      </c>
      <c r="Y71">
        <v>0</v>
      </c>
      <c r="AA71">
        <v>40185.9</v>
      </c>
      <c r="AB71">
        <v>0</v>
      </c>
      <c r="AC71">
        <v>0</v>
      </c>
      <c r="AD71">
        <v>0</v>
      </c>
      <c r="AE71">
        <v>4455.2</v>
      </c>
      <c r="AF71">
        <v>0</v>
      </c>
      <c r="AG71">
        <v>0</v>
      </c>
      <c r="AH71">
        <v>0</v>
      </c>
      <c r="AI71">
        <v>9.02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3</v>
      </c>
      <c r="AT71">
        <v>3.0000000000000001E-5</v>
      </c>
      <c r="AU71" t="s">
        <v>20</v>
      </c>
      <c r="AV71">
        <v>0</v>
      </c>
      <c r="AW71">
        <v>2</v>
      </c>
      <c r="AX71">
        <v>68990943</v>
      </c>
      <c r="AY71">
        <v>1</v>
      </c>
      <c r="AZ71">
        <v>0</v>
      </c>
      <c r="BA71">
        <v>78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Y71*Source!I45</f>
        <v>0</v>
      </c>
      <c r="CY71">
        <f t="shared" si="12"/>
        <v>40185.9</v>
      </c>
      <c r="CZ71">
        <f t="shared" si="13"/>
        <v>4455.2</v>
      </c>
      <c r="DA71">
        <f t="shared" si="14"/>
        <v>9.02</v>
      </c>
      <c r="DB71">
        <f t="shared" si="15"/>
        <v>0</v>
      </c>
      <c r="DC71">
        <f t="shared" si="16"/>
        <v>0</v>
      </c>
    </row>
    <row r="72" spans="1:107" x14ac:dyDescent="0.2">
      <c r="A72">
        <f>ROW(Source!A45)</f>
        <v>45</v>
      </c>
      <c r="B72">
        <v>68990560</v>
      </c>
      <c r="C72">
        <v>68990903</v>
      </c>
      <c r="D72">
        <v>64272954</v>
      </c>
      <c r="E72">
        <v>1</v>
      </c>
      <c r="F72">
        <v>1</v>
      </c>
      <c r="G72">
        <v>1</v>
      </c>
      <c r="H72">
        <v>3</v>
      </c>
      <c r="I72" t="s">
        <v>940</v>
      </c>
      <c r="J72" t="s">
        <v>941</v>
      </c>
      <c r="K72" t="s">
        <v>942</v>
      </c>
      <c r="L72">
        <v>1348</v>
      </c>
      <c r="N72">
        <v>1009</v>
      </c>
      <c r="O72" t="s">
        <v>71</v>
      </c>
      <c r="P72" t="s">
        <v>71</v>
      </c>
      <c r="Q72">
        <v>1000</v>
      </c>
      <c r="W72">
        <v>0</v>
      </c>
      <c r="X72">
        <v>-2078930163</v>
      </c>
      <c r="Y72">
        <v>0</v>
      </c>
      <c r="AA72">
        <v>54513.599999999999</v>
      </c>
      <c r="AB72">
        <v>0</v>
      </c>
      <c r="AC72">
        <v>0</v>
      </c>
      <c r="AD72">
        <v>0</v>
      </c>
      <c r="AE72">
        <v>4920</v>
      </c>
      <c r="AF72">
        <v>0</v>
      </c>
      <c r="AG72">
        <v>0</v>
      </c>
      <c r="AH72">
        <v>0</v>
      </c>
      <c r="AI72">
        <v>11.08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3</v>
      </c>
      <c r="AT72">
        <v>1.9400000000000001E-3</v>
      </c>
      <c r="AU72" t="s">
        <v>20</v>
      </c>
      <c r="AV72">
        <v>0</v>
      </c>
      <c r="AW72">
        <v>2</v>
      </c>
      <c r="AX72">
        <v>68990944</v>
      </c>
      <c r="AY72">
        <v>1</v>
      </c>
      <c r="AZ72">
        <v>0</v>
      </c>
      <c r="BA72">
        <v>79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Y72*Source!I45</f>
        <v>0</v>
      </c>
      <c r="CY72">
        <f t="shared" si="12"/>
        <v>54513.599999999999</v>
      </c>
      <c r="CZ72">
        <f t="shared" si="13"/>
        <v>4920</v>
      </c>
      <c r="DA72">
        <f t="shared" si="14"/>
        <v>11.08</v>
      </c>
      <c r="DB72">
        <f t="shared" si="15"/>
        <v>0</v>
      </c>
      <c r="DC72">
        <f t="shared" si="16"/>
        <v>0</v>
      </c>
    </row>
    <row r="73" spans="1:107" x14ac:dyDescent="0.2">
      <c r="A73">
        <f>ROW(Source!A45)</f>
        <v>45</v>
      </c>
      <c r="B73">
        <v>68990560</v>
      </c>
      <c r="C73">
        <v>68990903</v>
      </c>
      <c r="D73">
        <v>64276263</v>
      </c>
      <c r="E73">
        <v>1</v>
      </c>
      <c r="F73">
        <v>1</v>
      </c>
      <c r="G73">
        <v>1</v>
      </c>
      <c r="H73">
        <v>3</v>
      </c>
      <c r="I73" t="s">
        <v>943</v>
      </c>
      <c r="J73" t="s">
        <v>944</v>
      </c>
      <c r="K73" t="s">
        <v>945</v>
      </c>
      <c r="L73">
        <v>1339</v>
      </c>
      <c r="N73">
        <v>1007</v>
      </c>
      <c r="O73" t="s">
        <v>113</v>
      </c>
      <c r="P73" t="s">
        <v>113</v>
      </c>
      <c r="Q73">
        <v>1</v>
      </c>
      <c r="W73">
        <v>0</v>
      </c>
      <c r="X73">
        <v>-130131740</v>
      </c>
      <c r="Y73">
        <v>0</v>
      </c>
      <c r="AA73">
        <v>8721</v>
      </c>
      <c r="AB73">
        <v>0</v>
      </c>
      <c r="AC73">
        <v>0</v>
      </c>
      <c r="AD73">
        <v>0</v>
      </c>
      <c r="AE73">
        <v>1700</v>
      </c>
      <c r="AF73">
        <v>0</v>
      </c>
      <c r="AG73">
        <v>0</v>
      </c>
      <c r="AH73">
        <v>0</v>
      </c>
      <c r="AI73">
        <v>5.13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3</v>
      </c>
      <c r="AT73">
        <v>1.0300000000000001E-3</v>
      </c>
      <c r="AU73" t="s">
        <v>20</v>
      </c>
      <c r="AV73">
        <v>0</v>
      </c>
      <c r="AW73">
        <v>2</v>
      </c>
      <c r="AX73">
        <v>68990945</v>
      </c>
      <c r="AY73">
        <v>1</v>
      </c>
      <c r="AZ73">
        <v>0</v>
      </c>
      <c r="BA73">
        <v>80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Y73*Source!I45</f>
        <v>0</v>
      </c>
      <c r="CY73">
        <f t="shared" si="12"/>
        <v>8721</v>
      </c>
      <c r="CZ73">
        <f t="shared" si="13"/>
        <v>1700</v>
      </c>
      <c r="DA73">
        <f t="shared" si="14"/>
        <v>5.13</v>
      </c>
      <c r="DB73">
        <f t="shared" si="15"/>
        <v>0</v>
      </c>
      <c r="DC73">
        <f t="shared" si="16"/>
        <v>0</v>
      </c>
    </row>
    <row r="74" spans="1:107" x14ac:dyDescent="0.2">
      <c r="A74">
        <f>ROW(Source!A45)</f>
        <v>45</v>
      </c>
      <c r="B74">
        <v>68990560</v>
      </c>
      <c r="C74">
        <v>68990903</v>
      </c>
      <c r="D74">
        <v>64283919</v>
      </c>
      <c r="E74">
        <v>1</v>
      </c>
      <c r="F74">
        <v>1</v>
      </c>
      <c r="G74">
        <v>1</v>
      </c>
      <c r="H74">
        <v>3</v>
      </c>
      <c r="I74" t="s">
        <v>946</v>
      </c>
      <c r="J74" t="s">
        <v>947</v>
      </c>
      <c r="K74" t="s">
        <v>948</v>
      </c>
      <c r="L74">
        <v>1348</v>
      </c>
      <c r="N74">
        <v>1009</v>
      </c>
      <c r="O74" t="s">
        <v>71</v>
      </c>
      <c r="P74" t="s">
        <v>71</v>
      </c>
      <c r="Q74">
        <v>1000</v>
      </c>
      <c r="W74">
        <v>0</v>
      </c>
      <c r="X74">
        <v>-609333436</v>
      </c>
      <c r="Y74">
        <v>0</v>
      </c>
      <c r="AA74">
        <v>88253</v>
      </c>
      <c r="AB74">
        <v>0</v>
      </c>
      <c r="AC74">
        <v>0</v>
      </c>
      <c r="AD74">
        <v>0</v>
      </c>
      <c r="AE74">
        <v>15620</v>
      </c>
      <c r="AF74">
        <v>0</v>
      </c>
      <c r="AG74">
        <v>0</v>
      </c>
      <c r="AH74">
        <v>0</v>
      </c>
      <c r="AI74">
        <v>5.65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3</v>
      </c>
      <c r="AT74">
        <v>3.1E-4</v>
      </c>
      <c r="AU74" t="s">
        <v>20</v>
      </c>
      <c r="AV74">
        <v>0</v>
      </c>
      <c r="AW74">
        <v>2</v>
      </c>
      <c r="AX74">
        <v>68990946</v>
      </c>
      <c r="AY74">
        <v>1</v>
      </c>
      <c r="AZ74">
        <v>0</v>
      </c>
      <c r="BA74">
        <v>81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Y74*Source!I45</f>
        <v>0</v>
      </c>
      <c r="CY74">
        <f t="shared" si="12"/>
        <v>88253</v>
      </c>
      <c r="CZ74">
        <f t="shared" si="13"/>
        <v>15620</v>
      </c>
      <c r="DA74">
        <f t="shared" si="14"/>
        <v>5.65</v>
      </c>
      <c r="DB74">
        <f t="shared" si="15"/>
        <v>0</v>
      </c>
      <c r="DC74">
        <f t="shared" si="16"/>
        <v>0</v>
      </c>
    </row>
    <row r="75" spans="1:107" x14ac:dyDescent="0.2">
      <c r="A75">
        <f>ROW(Source!A45)</f>
        <v>45</v>
      </c>
      <c r="B75">
        <v>68990560</v>
      </c>
      <c r="C75">
        <v>68990903</v>
      </c>
      <c r="D75">
        <v>64285060</v>
      </c>
      <c r="E75">
        <v>1</v>
      </c>
      <c r="F75">
        <v>1</v>
      </c>
      <c r="G75">
        <v>1</v>
      </c>
      <c r="H75">
        <v>3</v>
      </c>
      <c r="I75" t="s">
        <v>949</v>
      </c>
      <c r="J75" t="s">
        <v>950</v>
      </c>
      <c r="K75" t="s">
        <v>951</v>
      </c>
      <c r="L75">
        <v>1346</v>
      </c>
      <c r="N75">
        <v>1009</v>
      </c>
      <c r="O75" t="s">
        <v>170</v>
      </c>
      <c r="P75" t="s">
        <v>170</v>
      </c>
      <c r="Q75">
        <v>1</v>
      </c>
      <c r="W75">
        <v>0</v>
      </c>
      <c r="X75">
        <v>1861960131</v>
      </c>
      <c r="Y75">
        <v>0</v>
      </c>
      <c r="AA75">
        <v>98.34</v>
      </c>
      <c r="AB75">
        <v>0</v>
      </c>
      <c r="AC75">
        <v>0</v>
      </c>
      <c r="AD75">
        <v>0</v>
      </c>
      <c r="AE75">
        <v>9.42</v>
      </c>
      <c r="AF75">
        <v>0</v>
      </c>
      <c r="AG75">
        <v>0</v>
      </c>
      <c r="AH75">
        <v>0</v>
      </c>
      <c r="AI75">
        <v>10.44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3</v>
      </c>
      <c r="AT75">
        <v>0.6</v>
      </c>
      <c r="AU75" t="s">
        <v>20</v>
      </c>
      <c r="AV75">
        <v>0</v>
      </c>
      <c r="AW75">
        <v>2</v>
      </c>
      <c r="AX75">
        <v>68990947</v>
      </c>
      <c r="AY75">
        <v>1</v>
      </c>
      <c r="AZ75">
        <v>0</v>
      </c>
      <c r="BA75">
        <v>82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Y75*Source!I45</f>
        <v>0</v>
      </c>
      <c r="CY75">
        <f t="shared" si="12"/>
        <v>98.34</v>
      </c>
      <c r="CZ75">
        <f t="shared" si="13"/>
        <v>9.42</v>
      </c>
      <c r="DA75">
        <f t="shared" si="14"/>
        <v>10.44</v>
      </c>
      <c r="DB75">
        <f t="shared" si="15"/>
        <v>0</v>
      </c>
      <c r="DC75">
        <f t="shared" si="16"/>
        <v>0</v>
      </c>
    </row>
    <row r="76" spans="1:107" x14ac:dyDescent="0.2">
      <c r="A76">
        <f>ROW(Source!A46)</f>
        <v>46</v>
      </c>
      <c r="B76">
        <v>68990560</v>
      </c>
      <c r="C76">
        <v>68990951</v>
      </c>
      <c r="D76">
        <v>64240975</v>
      </c>
      <c r="E76">
        <v>56</v>
      </c>
      <c r="F76">
        <v>1</v>
      </c>
      <c r="G76">
        <v>1</v>
      </c>
      <c r="H76">
        <v>1</v>
      </c>
      <c r="I76" t="s">
        <v>857</v>
      </c>
      <c r="J76" t="s">
        <v>3</v>
      </c>
      <c r="K76" t="s">
        <v>858</v>
      </c>
      <c r="L76">
        <v>1191</v>
      </c>
      <c r="N76">
        <v>1013</v>
      </c>
      <c r="O76" t="s">
        <v>818</v>
      </c>
      <c r="P76" t="s">
        <v>818</v>
      </c>
      <c r="Q76">
        <v>1</v>
      </c>
      <c r="W76">
        <v>0</v>
      </c>
      <c r="X76">
        <v>-400197608</v>
      </c>
      <c r="Y76">
        <v>1.7766</v>
      </c>
      <c r="AA76">
        <v>0</v>
      </c>
      <c r="AB76">
        <v>0</v>
      </c>
      <c r="AC76">
        <v>0</v>
      </c>
      <c r="AD76">
        <v>8.5299999999999994</v>
      </c>
      <c r="AE76">
        <v>0</v>
      </c>
      <c r="AF76">
        <v>0</v>
      </c>
      <c r="AG76">
        <v>0</v>
      </c>
      <c r="AH76">
        <v>8.5299999999999994</v>
      </c>
      <c r="AI76">
        <v>1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3</v>
      </c>
      <c r="AT76">
        <v>1.88</v>
      </c>
      <c r="AU76" t="s">
        <v>48</v>
      </c>
      <c r="AV76">
        <v>1</v>
      </c>
      <c r="AW76">
        <v>2</v>
      </c>
      <c r="AX76">
        <v>68990952</v>
      </c>
      <c r="AY76">
        <v>1</v>
      </c>
      <c r="AZ76">
        <v>2048</v>
      </c>
      <c r="BA76">
        <v>83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Y76*Source!I46</f>
        <v>1.7766</v>
      </c>
      <c r="CY76">
        <f>AD76</f>
        <v>8.5299999999999994</v>
      </c>
      <c r="CZ76">
        <f>AH76</f>
        <v>8.5299999999999994</v>
      </c>
      <c r="DA76">
        <f>AL76</f>
        <v>1</v>
      </c>
      <c r="DB76">
        <f>ROUND(((ROUND(AT76*CZ76,2)*1.35)*0.7),2)</f>
        <v>15.16</v>
      </c>
      <c r="DC76">
        <f>ROUND(((ROUND(AT76*AG76,2)*1.35)*0.7),2)</f>
        <v>0</v>
      </c>
    </row>
    <row r="77" spans="1:107" x14ac:dyDescent="0.2">
      <c r="A77">
        <f>ROW(Source!A47)</f>
        <v>47</v>
      </c>
      <c r="B77">
        <v>68990560</v>
      </c>
      <c r="C77">
        <v>68990955</v>
      </c>
      <c r="D77">
        <v>64240975</v>
      </c>
      <c r="E77">
        <v>56</v>
      </c>
      <c r="F77">
        <v>1</v>
      </c>
      <c r="G77">
        <v>1</v>
      </c>
      <c r="H77">
        <v>1</v>
      </c>
      <c r="I77" t="s">
        <v>857</v>
      </c>
      <c r="J77" t="s">
        <v>3</v>
      </c>
      <c r="K77" t="s">
        <v>858</v>
      </c>
      <c r="L77">
        <v>1191</v>
      </c>
      <c r="N77">
        <v>1013</v>
      </c>
      <c r="O77" t="s">
        <v>818</v>
      </c>
      <c r="P77" t="s">
        <v>818</v>
      </c>
      <c r="Q77">
        <v>1</v>
      </c>
      <c r="W77">
        <v>0</v>
      </c>
      <c r="X77">
        <v>-400197608</v>
      </c>
      <c r="Y77">
        <v>8.5050000000000001E-2</v>
      </c>
      <c r="AA77">
        <v>0</v>
      </c>
      <c r="AB77">
        <v>0</v>
      </c>
      <c r="AC77">
        <v>0</v>
      </c>
      <c r="AD77">
        <v>8.5299999999999994</v>
      </c>
      <c r="AE77">
        <v>0</v>
      </c>
      <c r="AF77">
        <v>0</v>
      </c>
      <c r="AG77">
        <v>0</v>
      </c>
      <c r="AH77">
        <v>8.5299999999999994</v>
      </c>
      <c r="AI77">
        <v>1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1</v>
      </c>
      <c r="AQ77">
        <v>0</v>
      </c>
      <c r="AR77">
        <v>0</v>
      </c>
      <c r="AS77" t="s">
        <v>3</v>
      </c>
      <c r="AT77">
        <v>0.09</v>
      </c>
      <c r="AU77" t="s">
        <v>48</v>
      </c>
      <c r="AV77">
        <v>1</v>
      </c>
      <c r="AW77">
        <v>2</v>
      </c>
      <c r="AX77">
        <v>68990956</v>
      </c>
      <c r="AY77">
        <v>1</v>
      </c>
      <c r="AZ77">
        <v>2048</v>
      </c>
      <c r="BA77">
        <v>85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Y77*Source!I47</f>
        <v>8.5050000000000001E-2</v>
      </c>
      <c r="CY77">
        <f>AD77</f>
        <v>8.5299999999999994</v>
      </c>
      <c r="CZ77">
        <f>AH77</f>
        <v>8.5299999999999994</v>
      </c>
      <c r="DA77">
        <f>AL77</f>
        <v>1</v>
      </c>
      <c r="DB77">
        <f>ROUND(((ROUND(AT77*CZ77,2)*1.35)*0.7),2)</f>
        <v>0.73</v>
      </c>
      <c r="DC77">
        <f>ROUND(((ROUND(AT77*AG77,2)*1.35)*0.7),2)</f>
        <v>0</v>
      </c>
    </row>
    <row r="78" spans="1:107" x14ac:dyDescent="0.2">
      <c r="A78">
        <f>ROW(Source!A47)</f>
        <v>47</v>
      </c>
      <c r="B78">
        <v>68990560</v>
      </c>
      <c r="C78">
        <v>68990955</v>
      </c>
      <c r="D78">
        <v>64255552</v>
      </c>
      <c r="E78">
        <v>1</v>
      </c>
      <c r="F78">
        <v>1</v>
      </c>
      <c r="G78">
        <v>1</v>
      </c>
      <c r="H78">
        <v>3</v>
      </c>
      <c r="I78" t="s">
        <v>952</v>
      </c>
      <c r="J78" t="s">
        <v>953</v>
      </c>
      <c r="K78" t="s">
        <v>954</v>
      </c>
      <c r="L78">
        <v>1348</v>
      </c>
      <c r="N78">
        <v>1009</v>
      </c>
      <c r="O78" t="s">
        <v>71</v>
      </c>
      <c r="P78" t="s">
        <v>71</v>
      </c>
      <c r="Q78">
        <v>1000</v>
      </c>
      <c r="W78">
        <v>0</v>
      </c>
      <c r="X78">
        <v>1979000843</v>
      </c>
      <c r="Y78">
        <v>0</v>
      </c>
      <c r="AA78">
        <v>116617.5</v>
      </c>
      <c r="AB78">
        <v>0</v>
      </c>
      <c r="AC78">
        <v>0</v>
      </c>
      <c r="AD78">
        <v>0</v>
      </c>
      <c r="AE78">
        <v>20974.37</v>
      </c>
      <c r="AF78">
        <v>0</v>
      </c>
      <c r="AG78">
        <v>0</v>
      </c>
      <c r="AH78">
        <v>0</v>
      </c>
      <c r="AI78">
        <v>5.56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3</v>
      </c>
      <c r="AT78">
        <v>1.0000000000000001E-5</v>
      </c>
      <c r="AU78" t="s">
        <v>20</v>
      </c>
      <c r="AV78">
        <v>0</v>
      </c>
      <c r="AW78">
        <v>2</v>
      </c>
      <c r="AX78">
        <v>68990957</v>
      </c>
      <c r="AY78">
        <v>1</v>
      </c>
      <c r="AZ78">
        <v>0</v>
      </c>
      <c r="BA78">
        <v>86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Y78*Source!I47</f>
        <v>0</v>
      </c>
      <c r="CY78">
        <f>AA78</f>
        <v>116617.5</v>
      </c>
      <c r="CZ78">
        <f>AE78</f>
        <v>20974.37</v>
      </c>
      <c r="DA78">
        <f>AI78</f>
        <v>5.56</v>
      </c>
      <c r="DB78">
        <f>ROUND((ROUND(AT78*CZ78,2)*0),2)</f>
        <v>0</v>
      </c>
      <c r="DC78">
        <f>ROUND((ROUND(AT78*AG78,2)*0),2)</f>
        <v>0</v>
      </c>
    </row>
    <row r="79" spans="1:107" x14ac:dyDescent="0.2">
      <c r="A79">
        <f>ROW(Source!A48)</f>
        <v>48</v>
      </c>
      <c r="B79">
        <v>68990560</v>
      </c>
      <c r="C79">
        <v>68990961</v>
      </c>
      <c r="D79">
        <v>64241007</v>
      </c>
      <c r="E79">
        <v>56</v>
      </c>
      <c r="F79">
        <v>1</v>
      </c>
      <c r="G79">
        <v>1</v>
      </c>
      <c r="H79">
        <v>1</v>
      </c>
      <c r="I79" t="s">
        <v>955</v>
      </c>
      <c r="J79" t="s">
        <v>3</v>
      </c>
      <c r="K79" t="s">
        <v>956</v>
      </c>
      <c r="L79">
        <v>1191</v>
      </c>
      <c r="N79">
        <v>1013</v>
      </c>
      <c r="O79" t="s">
        <v>818</v>
      </c>
      <c r="P79" t="s">
        <v>818</v>
      </c>
      <c r="Q79">
        <v>1</v>
      </c>
      <c r="W79">
        <v>0</v>
      </c>
      <c r="X79">
        <v>-1081351934</v>
      </c>
      <c r="Y79">
        <v>16.348500000000001</v>
      </c>
      <c r="AA79">
        <v>0</v>
      </c>
      <c r="AB79">
        <v>0</v>
      </c>
      <c r="AC79">
        <v>0</v>
      </c>
      <c r="AD79">
        <v>9.4</v>
      </c>
      <c r="AE79">
        <v>0</v>
      </c>
      <c r="AF79">
        <v>0</v>
      </c>
      <c r="AG79">
        <v>0</v>
      </c>
      <c r="AH79">
        <v>9.4</v>
      </c>
      <c r="AI79">
        <v>1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3</v>
      </c>
      <c r="AT79">
        <v>17.3</v>
      </c>
      <c r="AU79" t="s">
        <v>48</v>
      </c>
      <c r="AV79">
        <v>1</v>
      </c>
      <c r="AW79">
        <v>2</v>
      </c>
      <c r="AX79">
        <v>68990962</v>
      </c>
      <c r="AY79">
        <v>1</v>
      </c>
      <c r="AZ79">
        <v>0</v>
      </c>
      <c r="BA79">
        <v>88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Y79*Source!I48</f>
        <v>0.11443950000000001</v>
      </c>
      <c r="CY79">
        <f>AD79</f>
        <v>9.4</v>
      </c>
      <c r="CZ79">
        <f>AH79</f>
        <v>9.4</v>
      </c>
      <c r="DA79">
        <f>AL79</f>
        <v>1</v>
      </c>
      <c r="DB79">
        <f t="shared" ref="DB79:DB87" si="17">ROUND(((ROUND(AT79*CZ79,2)*1.35)*0.7),2)</f>
        <v>153.68</v>
      </c>
      <c r="DC79">
        <f t="shared" ref="DC79:DC87" si="18">ROUND(((ROUND(AT79*AG79,2)*1.35)*0.7),2)</f>
        <v>0</v>
      </c>
    </row>
    <row r="80" spans="1:107" x14ac:dyDescent="0.2">
      <c r="A80">
        <f>ROW(Source!A48)</f>
        <v>48</v>
      </c>
      <c r="B80">
        <v>68990560</v>
      </c>
      <c r="C80">
        <v>68990961</v>
      </c>
      <c r="D80">
        <v>64241154</v>
      </c>
      <c r="E80">
        <v>56</v>
      </c>
      <c r="F80">
        <v>1</v>
      </c>
      <c r="G80">
        <v>1</v>
      </c>
      <c r="H80">
        <v>1</v>
      </c>
      <c r="I80" t="s">
        <v>819</v>
      </c>
      <c r="J80" t="s">
        <v>3</v>
      </c>
      <c r="K80" t="s">
        <v>820</v>
      </c>
      <c r="L80">
        <v>1191</v>
      </c>
      <c r="N80">
        <v>1013</v>
      </c>
      <c r="O80" t="s">
        <v>818</v>
      </c>
      <c r="P80" t="s">
        <v>818</v>
      </c>
      <c r="Q80">
        <v>1</v>
      </c>
      <c r="W80">
        <v>0</v>
      </c>
      <c r="X80">
        <v>-1417349443</v>
      </c>
      <c r="Y80">
        <v>1.3891500000000001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1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3</v>
      </c>
      <c r="AT80">
        <v>1.47</v>
      </c>
      <c r="AU80" t="s">
        <v>48</v>
      </c>
      <c r="AV80">
        <v>2</v>
      </c>
      <c r="AW80">
        <v>2</v>
      </c>
      <c r="AX80">
        <v>68990963</v>
      </c>
      <c r="AY80">
        <v>1</v>
      </c>
      <c r="AZ80">
        <v>0</v>
      </c>
      <c r="BA80">
        <v>89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Y80*Source!I48</f>
        <v>9.7240500000000014E-3</v>
      </c>
      <c r="CY80">
        <f>AD80</f>
        <v>0</v>
      </c>
      <c r="CZ80">
        <f>AH80</f>
        <v>0</v>
      </c>
      <c r="DA80">
        <f>AL80</f>
        <v>1</v>
      </c>
      <c r="DB80">
        <f t="shared" si="17"/>
        <v>0</v>
      </c>
      <c r="DC80">
        <f t="shared" si="18"/>
        <v>0</v>
      </c>
    </row>
    <row r="81" spans="1:107" x14ac:dyDescent="0.2">
      <c r="A81">
        <f>ROW(Source!A48)</f>
        <v>48</v>
      </c>
      <c r="B81">
        <v>68990560</v>
      </c>
      <c r="C81">
        <v>68990961</v>
      </c>
      <c r="D81">
        <v>64401718</v>
      </c>
      <c r="E81">
        <v>1</v>
      </c>
      <c r="F81">
        <v>1</v>
      </c>
      <c r="G81">
        <v>1</v>
      </c>
      <c r="H81">
        <v>2</v>
      </c>
      <c r="I81" t="s">
        <v>904</v>
      </c>
      <c r="J81" t="s">
        <v>905</v>
      </c>
      <c r="K81" t="s">
        <v>906</v>
      </c>
      <c r="L81">
        <v>1368</v>
      </c>
      <c r="N81">
        <v>1011</v>
      </c>
      <c r="O81" t="s">
        <v>824</v>
      </c>
      <c r="P81" t="s">
        <v>824</v>
      </c>
      <c r="Q81">
        <v>1</v>
      </c>
      <c r="W81">
        <v>0</v>
      </c>
      <c r="X81">
        <v>-1078985958</v>
      </c>
      <c r="Y81">
        <v>9.4500000000000001E-2</v>
      </c>
      <c r="AA81">
        <v>0</v>
      </c>
      <c r="AB81">
        <v>1006.41</v>
      </c>
      <c r="AC81">
        <v>518.88</v>
      </c>
      <c r="AD81">
        <v>0</v>
      </c>
      <c r="AE81">
        <v>0</v>
      </c>
      <c r="AF81">
        <v>120.24</v>
      </c>
      <c r="AG81">
        <v>15.42</v>
      </c>
      <c r="AH81">
        <v>0</v>
      </c>
      <c r="AI81">
        <v>1</v>
      </c>
      <c r="AJ81">
        <v>8.3699999999999992</v>
      </c>
      <c r="AK81">
        <v>33.65</v>
      </c>
      <c r="AL81">
        <v>1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3</v>
      </c>
      <c r="AT81">
        <v>0.1</v>
      </c>
      <c r="AU81" t="s">
        <v>48</v>
      </c>
      <c r="AV81">
        <v>0</v>
      </c>
      <c r="AW81">
        <v>2</v>
      </c>
      <c r="AX81">
        <v>68990964</v>
      </c>
      <c r="AY81">
        <v>1</v>
      </c>
      <c r="AZ81">
        <v>0</v>
      </c>
      <c r="BA81">
        <v>90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Y81*Source!I48</f>
        <v>6.6149999999999998E-4</v>
      </c>
      <c r="CY81">
        <f t="shared" ref="CY81:CY87" si="19">AB81</f>
        <v>1006.41</v>
      </c>
      <c r="CZ81">
        <f t="shared" ref="CZ81:CZ87" si="20">AF81</f>
        <v>120.24</v>
      </c>
      <c r="DA81">
        <f t="shared" ref="DA81:DA87" si="21">AJ81</f>
        <v>8.3699999999999992</v>
      </c>
      <c r="DB81">
        <f t="shared" si="17"/>
        <v>11.36</v>
      </c>
      <c r="DC81">
        <f t="shared" si="18"/>
        <v>1.46</v>
      </c>
    </row>
    <row r="82" spans="1:107" x14ac:dyDescent="0.2">
      <c r="A82">
        <f>ROW(Source!A48)</f>
        <v>48</v>
      </c>
      <c r="B82">
        <v>68990560</v>
      </c>
      <c r="C82">
        <v>68990961</v>
      </c>
      <c r="D82">
        <v>64401763</v>
      </c>
      <c r="E82">
        <v>1</v>
      </c>
      <c r="F82">
        <v>1</v>
      </c>
      <c r="G82">
        <v>1</v>
      </c>
      <c r="H82">
        <v>2</v>
      </c>
      <c r="I82" t="s">
        <v>821</v>
      </c>
      <c r="J82" t="s">
        <v>822</v>
      </c>
      <c r="K82" t="s">
        <v>823</v>
      </c>
      <c r="L82">
        <v>1368</v>
      </c>
      <c r="N82">
        <v>1011</v>
      </c>
      <c r="O82" t="s">
        <v>824</v>
      </c>
      <c r="P82" t="s">
        <v>824</v>
      </c>
      <c r="Q82">
        <v>1</v>
      </c>
      <c r="W82">
        <v>0</v>
      </c>
      <c r="X82">
        <v>-1346461524</v>
      </c>
      <c r="Y82">
        <v>0.1134</v>
      </c>
      <c r="AA82">
        <v>0</v>
      </c>
      <c r="AB82">
        <v>1074.3699999999999</v>
      </c>
      <c r="AC82">
        <v>454.28</v>
      </c>
      <c r="AD82">
        <v>0</v>
      </c>
      <c r="AE82">
        <v>0</v>
      </c>
      <c r="AF82">
        <v>115.4</v>
      </c>
      <c r="AG82">
        <v>13.5</v>
      </c>
      <c r="AH82">
        <v>0</v>
      </c>
      <c r="AI82">
        <v>1</v>
      </c>
      <c r="AJ82">
        <v>9.31</v>
      </c>
      <c r="AK82">
        <v>33.65</v>
      </c>
      <c r="AL82">
        <v>1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3</v>
      </c>
      <c r="AT82">
        <v>0.12</v>
      </c>
      <c r="AU82" t="s">
        <v>48</v>
      </c>
      <c r="AV82">
        <v>0</v>
      </c>
      <c r="AW82">
        <v>2</v>
      </c>
      <c r="AX82">
        <v>68990965</v>
      </c>
      <c r="AY82">
        <v>1</v>
      </c>
      <c r="AZ82">
        <v>0</v>
      </c>
      <c r="BA82">
        <v>91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Y82*Source!I48</f>
        <v>7.938E-4</v>
      </c>
      <c r="CY82">
        <f t="shared" si="19"/>
        <v>1074.3699999999999</v>
      </c>
      <c r="CZ82">
        <f t="shared" si="20"/>
        <v>115.4</v>
      </c>
      <c r="DA82">
        <f t="shared" si="21"/>
        <v>9.31</v>
      </c>
      <c r="DB82">
        <f t="shared" si="17"/>
        <v>13.09</v>
      </c>
      <c r="DC82">
        <f t="shared" si="18"/>
        <v>1.53</v>
      </c>
    </row>
    <row r="83" spans="1:107" x14ac:dyDescent="0.2">
      <c r="A83">
        <f>ROW(Source!A48)</f>
        <v>48</v>
      </c>
      <c r="B83">
        <v>68990560</v>
      </c>
      <c r="C83">
        <v>68990961</v>
      </c>
      <c r="D83">
        <v>64401769</v>
      </c>
      <c r="E83">
        <v>1</v>
      </c>
      <c r="F83">
        <v>1</v>
      </c>
      <c r="G83">
        <v>1</v>
      </c>
      <c r="H83">
        <v>2</v>
      </c>
      <c r="I83" t="s">
        <v>957</v>
      </c>
      <c r="J83" t="s">
        <v>958</v>
      </c>
      <c r="K83" t="s">
        <v>959</v>
      </c>
      <c r="L83">
        <v>1368</v>
      </c>
      <c r="N83">
        <v>1011</v>
      </c>
      <c r="O83" t="s">
        <v>824</v>
      </c>
      <c r="P83" t="s">
        <v>824</v>
      </c>
      <c r="Q83">
        <v>1</v>
      </c>
      <c r="W83">
        <v>0</v>
      </c>
      <c r="X83">
        <v>1787894935</v>
      </c>
      <c r="Y83">
        <v>1.0017</v>
      </c>
      <c r="AA83">
        <v>0</v>
      </c>
      <c r="AB83">
        <v>1167.99</v>
      </c>
      <c r="AC83">
        <v>454.28</v>
      </c>
      <c r="AD83">
        <v>0</v>
      </c>
      <c r="AE83">
        <v>0</v>
      </c>
      <c r="AF83">
        <v>120.04</v>
      </c>
      <c r="AG83">
        <v>13.5</v>
      </c>
      <c r="AH83">
        <v>0</v>
      </c>
      <c r="AI83">
        <v>1</v>
      </c>
      <c r="AJ83">
        <v>9.73</v>
      </c>
      <c r="AK83">
        <v>33.65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3</v>
      </c>
      <c r="AT83">
        <v>1.06</v>
      </c>
      <c r="AU83" t="s">
        <v>48</v>
      </c>
      <c r="AV83">
        <v>0</v>
      </c>
      <c r="AW83">
        <v>2</v>
      </c>
      <c r="AX83">
        <v>68990966</v>
      </c>
      <c r="AY83">
        <v>1</v>
      </c>
      <c r="AZ83">
        <v>0</v>
      </c>
      <c r="BA83">
        <v>92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Y83*Source!I48</f>
        <v>7.0119000000000006E-3</v>
      </c>
      <c r="CY83">
        <f t="shared" si="19"/>
        <v>1167.99</v>
      </c>
      <c r="CZ83">
        <f t="shared" si="20"/>
        <v>120.04</v>
      </c>
      <c r="DA83">
        <f t="shared" si="21"/>
        <v>9.73</v>
      </c>
      <c r="DB83">
        <f t="shared" si="17"/>
        <v>120.24</v>
      </c>
      <c r="DC83">
        <f t="shared" si="18"/>
        <v>13.52</v>
      </c>
    </row>
    <row r="84" spans="1:107" x14ac:dyDescent="0.2">
      <c r="A84">
        <f>ROW(Source!A48)</f>
        <v>48</v>
      </c>
      <c r="B84">
        <v>68990560</v>
      </c>
      <c r="C84">
        <v>68990961</v>
      </c>
      <c r="D84">
        <v>64401904</v>
      </c>
      <c r="E84">
        <v>1</v>
      </c>
      <c r="F84">
        <v>1</v>
      </c>
      <c r="G84">
        <v>1</v>
      </c>
      <c r="H84">
        <v>2</v>
      </c>
      <c r="I84" t="s">
        <v>960</v>
      </c>
      <c r="J84" t="s">
        <v>961</v>
      </c>
      <c r="K84" t="s">
        <v>962</v>
      </c>
      <c r="L84">
        <v>1368</v>
      </c>
      <c r="N84">
        <v>1011</v>
      </c>
      <c r="O84" t="s">
        <v>824</v>
      </c>
      <c r="P84" t="s">
        <v>824</v>
      </c>
      <c r="Q84">
        <v>1</v>
      </c>
      <c r="W84">
        <v>0</v>
      </c>
      <c r="X84">
        <v>-1595939894</v>
      </c>
      <c r="Y84">
        <v>0.81269999999999998</v>
      </c>
      <c r="AA84">
        <v>0</v>
      </c>
      <c r="AB84">
        <v>31.19</v>
      </c>
      <c r="AC84">
        <v>0</v>
      </c>
      <c r="AD84">
        <v>0</v>
      </c>
      <c r="AE84">
        <v>0</v>
      </c>
      <c r="AF84">
        <v>6.9</v>
      </c>
      <c r="AG84">
        <v>0</v>
      </c>
      <c r="AH84">
        <v>0</v>
      </c>
      <c r="AI84">
        <v>1</v>
      </c>
      <c r="AJ84">
        <v>4.5199999999999996</v>
      </c>
      <c r="AK84">
        <v>33.65</v>
      </c>
      <c r="AL84">
        <v>1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3</v>
      </c>
      <c r="AT84">
        <v>0.86</v>
      </c>
      <c r="AU84" t="s">
        <v>48</v>
      </c>
      <c r="AV84">
        <v>0</v>
      </c>
      <c r="AW84">
        <v>2</v>
      </c>
      <c r="AX84">
        <v>68990967</v>
      </c>
      <c r="AY84">
        <v>1</v>
      </c>
      <c r="AZ84">
        <v>0</v>
      </c>
      <c r="BA84">
        <v>93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Y84*Source!I48</f>
        <v>5.6889000000000002E-3</v>
      </c>
      <c r="CY84">
        <f t="shared" si="19"/>
        <v>31.19</v>
      </c>
      <c r="CZ84">
        <f t="shared" si="20"/>
        <v>6.9</v>
      </c>
      <c r="DA84">
        <f t="shared" si="21"/>
        <v>4.5199999999999996</v>
      </c>
      <c r="DB84">
        <f t="shared" si="17"/>
        <v>5.6</v>
      </c>
      <c r="DC84">
        <f t="shared" si="18"/>
        <v>0</v>
      </c>
    </row>
    <row r="85" spans="1:107" x14ac:dyDescent="0.2">
      <c r="A85">
        <f>ROW(Source!A48)</f>
        <v>48</v>
      </c>
      <c r="B85">
        <v>68990560</v>
      </c>
      <c r="C85">
        <v>68990961</v>
      </c>
      <c r="D85">
        <v>64402691</v>
      </c>
      <c r="E85">
        <v>1</v>
      </c>
      <c r="F85">
        <v>1</v>
      </c>
      <c r="G85">
        <v>1</v>
      </c>
      <c r="H85">
        <v>2</v>
      </c>
      <c r="I85" t="s">
        <v>825</v>
      </c>
      <c r="J85" t="s">
        <v>826</v>
      </c>
      <c r="K85" t="s">
        <v>827</v>
      </c>
      <c r="L85">
        <v>1368</v>
      </c>
      <c r="N85">
        <v>1011</v>
      </c>
      <c r="O85" t="s">
        <v>824</v>
      </c>
      <c r="P85" t="s">
        <v>824</v>
      </c>
      <c r="Q85">
        <v>1</v>
      </c>
      <c r="W85">
        <v>0</v>
      </c>
      <c r="X85">
        <v>-841254546</v>
      </c>
      <c r="Y85">
        <v>0.17954999999999999</v>
      </c>
      <c r="AA85">
        <v>0</v>
      </c>
      <c r="AB85">
        <v>776.04</v>
      </c>
      <c r="AC85">
        <v>390.34</v>
      </c>
      <c r="AD85">
        <v>0</v>
      </c>
      <c r="AE85">
        <v>0</v>
      </c>
      <c r="AF85">
        <v>65.709999999999994</v>
      </c>
      <c r="AG85">
        <v>11.6</v>
      </c>
      <c r="AH85">
        <v>0</v>
      </c>
      <c r="AI85">
        <v>1</v>
      </c>
      <c r="AJ85">
        <v>11.81</v>
      </c>
      <c r="AK85">
        <v>33.65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3</v>
      </c>
      <c r="AT85">
        <v>0.19</v>
      </c>
      <c r="AU85" t="s">
        <v>48</v>
      </c>
      <c r="AV85">
        <v>0</v>
      </c>
      <c r="AW85">
        <v>2</v>
      </c>
      <c r="AX85">
        <v>68990968</v>
      </c>
      <c r="AY85">
        <v>1</v>
      </c>
      <c r="AZ85">
        <v>0</v>
      </c>
      <c r="BA85">
        <v>94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Y85*Source!I48</f>
        <v>1.2568499999999999E-3</v>
      </c>
      <c r="CY85">
        <f t="shared" si="19"/>
        <v>776.04</v>
      </c>
      <c r="CZ85">
        <f t="shared" si="20"/>
        <v>65.709999999999994</v>
      </c>
      <c r="DA85">
        <f t="shared" si="21"/>
        <v>11.81</v>
      </c>
      <c r="DB85">
        <f t="shared" si="17"/>
        <v>11.79</v>
      </c>
      <c r="DC85">
        <f t="shared" si="18"/>
        <v>2.08</v>
      </c>
    </row>
    <row r="86" spans="1:107" x14ac:dyDescent="0.2">
      <c r="A86">
        <f>ROW(Source!A48)</f>
        <v>48</v>
      </c>
      <c r="B86">
        <v>68990560</v>
      </c>
      <c r="C86">
        <v>68990961</v>
      </c>
      <c r="D86">
        <v>64402844</v>
      </c>
      <c r="E86">
        <v>1</v>
      </c>
      <c r="F86">
        <v>1</v>
      </c>
      <c r="G86">
        <v>1</v>
      </c>
      <c r="H86">
        <v>2</v>
      </c>
      <c r="I86" t="s">
        <v>910</v>
      </c>
      <c r="J86" t="s">
        <v>911</v>
      </c>
      <c r="K86" t="s">
        <v>912</v>
      </c>
      <c r="L86">
        <v>1368</v>
      </c>
      <c r="N86">
        <v>1011</v>
      </c>
      <c r="O86" t="s">
        <v>824</v>
      </c>
      <c r="P86" t="s">
        <v>824</v>
      </c>
      <c r="Q86">
        <v>1</v>
      </c>
      <c r="W86">
        <v>0</v>
      </c>
      <c r="X86">
        <v>1927650788</v>
      </c>
      <c r="Y86">
        <v>2.1168</v>
      </c>
      <c r="AA86">
        <v>0</v>
      </c>
      <c r="AB86">
        <v>4.68</v>
      </c>
      <c r="AC86">
        <v>0</v>
      </c>
      <c r="AD86">
        <v>0</v>
      </c>
      <c r="AE86">
        <v>0</v>
      </c>
      <c r="AF86">
        <v>1.2</v>
      </c>
      <c r="AG86">
        <v>0</v>
      </c>
      <c r="AH86">
        <v>0</v>
      </c>
      <c r="AI86">
        <v>1</v>
      </c>
      <c r="AJ86">
        <v>3.9</v>
      </c>
      <c r="AK86">
        <v>33.65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3</v>
      </c>
      <c r="AT86">
        <v>2.2400000000000002</v>
      </c>
      <c r="AU86" t="s">
        <v>48</v>
      </c>
      <c r="AV86">
        <v>0</v>
      </c>
      <c r="AW86">
        <v>2</v>
      </c>
      <c r="AX86">
        <v>68990969</v>
      </c>
      <c r="AY86">
        <v>1</v>
      </c>
      <c r="AZ86">
        <v>0</v>
      </c>
      <c r="BA86">
        <v>95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Y86*Source!I48</f>
        <v>1.48176E-2</v>
      </c>
      <c r="CY86">
        <f t="shared" si="19"/>
        <v>4.68</v>
      </c>
      <c r="CZ86">
        <f t="shared" si="20"/>
        <v>1.2</v>
      </c>
      <c r="DA86">
        <f t="shared" si="21"/>
        <v>3.9</v>
      </c>
      <c r="DB86">
        <f t="shared" si="17"/>
        <v>2.54</v>
      </c>
      <c r="DC86">
        <f t="shared" si="18"/>
        <v>0</v>
      </c>
    </row>
    <row r="87" spans="1:107" x14ac:dyDescent="0.2">
      <c r="A87">
        <f>ROW(Source!A48)</f>
        <v>48</v>
      </c>
      <c r="B87">
        <v>68990560</v>
      </c>
      <c r="C87">
        <v>68990961</v>
      </c>
      <c r="D87">
        <v>64402887</v>
      </c>
      <c r="E87">
        <v>1</v>
      </c>
      <c r="F87">
        <v>1</v>
      </c>
      <c r="G87">
        <v>1</v>
      </c>
      <c r="H87">
        <v>2</v>
      </c>
      <c r="I87" t="s">
        <v>913</v>
      </c>
      <c r="J87" t="s">
        <v>914</v>
      </c>
      <c r="K87" t="s">
        <v>915</v>
      </c>
      <c r="L87">
        <v>1368</v>
      </c>
      <c r="N87">
        <v>1011</v>
      </c>
      <c r="O87" t="s">
        <v>824</v>
      </c>
      <c r="P87" t="s">
        <v>824</v>
      </c>
      <c r="Q87">
        <v>1</v>
      </c>
      <c r="W87">
        <v>0</v>
      </c>
      <c r="X87">
        <v>1129227731</v>
      </c>
      <c r="Y87">
        <v>4.2052500000000004</v>
      </c>
      <c r="AA87">
        <v>0</v>
      </c>
      <c r="AB87">
        <v>97.86</v>
      </c>
      <c r="AC87">
        <v>0</v>
      </c>
      <c r="AD87">
        <v>0</v>
      </c>
      <c r="AE87">
        <v>0</v>
      </c>
      <c r="AF87">
        <v>12.31</v>
      </c>
      <c r="AG87">
        <v>0</v>
      </c>
      <c r="AH87">
        <v>0</v>
      </c>
      <c r="AI87">
        <v>1</v>
      </c>
      <c r="AJ87">
        <v>7.95</v>
      </c>
      <c r="AK87">
        <v>33.65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3</v>
      </c>
      <c r="AT87">
        <v>4.45</v>
      </c>
      <c r="AU87" t="s">
        <v>48</v>
      </c>
      <c r="AV87">
        <v>0</v>
      </c>
      <c r="AW87">
        <v>2</v>
      </c>
      <c r="AX87">
        <v>68990970</v>
      </c>
      <c r="AY87">
        <v>1</v>
      </c>
      <c r="AZ87">
        <v>2048</v>
      </c>
      <c r="BA87">
        <v>96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Y87*Source!I48</f>
        <v>2.9436750000000005E-2</v>
      </c>
      <c r="CY87">
        <f t="shared" si="19"/>
        <v>97.86</v>
      </c>
      <c r="CZ87">
        <f t="shared" si="20"/>
        <v>12.31</v>
      </c>
      <c r="DA87">
        <f t="shared" si="21"/>
        <v>7.95</v>
      </c>
      <c r="DB87">
        <f t="shared" si="17"/>
        <v>51.77</v>
      </c>
      <c r="DC87">
        <f t="shared" si="18"/>
        <v>0</v>
      </c>
    </row>
    <row r="88" spans="1:107" x14ac:dyDescent="0.2">
      <c r="A88">
        <f>ROW(Source!A48)</f>
        <v>48</v>
      </c>
      <c r="B88">
        <v>68990560</v>
      </c>
      <c r="C88">
        <v>68990961</v>
      </c>
      <c r="D88">
        <v>64251195</v>
      </c>
      <c r="E88">
        <v>1</v>
      </c>
      <c r="F88">
        <v>1</v>
      </c>
      <c r="G88">
        <v>1</v>
      </c>
      <c r="H88">
        <v>3</v>
      </c>
      <c r="I88" t="s">
        <v>916</v>
      </c>
      <c r="J88" t="s">
        <v>917</v>
      </c>
      <c r="K88" t="s">
        <v>918</v>
      </c>
      <c r="L88">
        <v>1339</v>
      </c>
      <c r="N88">
        <v>1007</v>
      </c>
      <c r="O88" t="s">
        <v>113</v>
      </c>
      <c r="P88" t="s">
        <v>113</v>
      </c>
      <c r="Q88">
        <v>1</v>
      </c>
      <c r="W88">
        <v>0</v>
      </c>
      <c r="X88">
        <v>-2065749550</v>
      </c>
      <c r="Y88">
        <v>0</v>
      </c>
      <c r="AA88">
        <v>60.89</v>
      </c>
      <c r="AB88">
        <v>0</v>
      </c>
      <c r="AC88">
        <v>0</v>
      </c>
      <c r="AD88">
        <v>0</v>
      </c>
      <c r="AE88">
        <v>6.22</v>
      </c>
      <c r="AF88">
        <v>0</v>
      </c>
      <c r="AG88">
        <v>0</v>
      </c>
      <c r="AH88">
        <v>0</v>
      </c>
      <c r="AI88">
        <v>9.7899999999999991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1</v>
      </c>
      <c r="AQ88">
        <v>0</v>
      </c>
      <c r="AR88">
        <v>0</v>
      </c>
      <c r="AS88" t="s">
        <v>3</v>
      </c>
      <c r="AT88">
        <v>1.95</v>
      </c>
      <c r="AU88" t="s">
        <v>20</v>
      </c>
      <c r="AV88">
        <v>0</v>
      </c>
      <c r="AW88">
        <v>2</v>
      </c>
      <c r="AX88">
        <v>68990971</v>
      </c>
      <c r="AY88">
        <v>1</v>
      </c>
      <c r="AZ88">
        <v>0</v>
      </c>
      <c r="BA88">
        <v>97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Y88*Source!I48</f>
        <v>0</v>
      </c>
      <c r="CY88">
        <f t="shared" ref="CY88:CY100" si="22">AA88</f>
        <v>60.89</v>
      </c>
      <c r="CZ88">
        <f t="shared" ref="CZ88:CZ100" si="23">AE88</f>
        <v>6.22</v>
      </c>
      <c r="DA88">
        <f t="shared" ref="DA88:DA100" si="24">AI88</f>
        <v>9.7899999999999991</v>
      </c>
      <c r="DB88">
        <f t="shared" ref="DB88:DB100" si="25">ROUND((ROUND(AT88*CZ88,2)*0),2)</f>
        <v>0</v>
      </c>
      <c r="DC88">
        <f t="shared" ref="DC88:DC100" si="26">ROUND((ROUND(AT88*AG88,2)*0),2)</f>
        <v>0</v>
      </c>
    </row>
    <row r="89" spans="1:107" x14ac:dyDescent="0.2">
      <c r="A89">
        <f>ROW(Source!A48)</f>
        <v>48</v>
      </c>
      <c r="B89">
        <v>68990560</v>
      </c>
      <c r="C89">
        <v>68990961</v>
      </c>
      <c r="D89">
        <v>64251201</v>
      </c>
      <c r="E89">
        <v>1</v>
      </c>
      <c r="F89">
        <v>1</v>
      </c>
      <c r="G89">
        <v>1</v>
      </c>
      <c r="H89">
        <v>3</v>
      </c>
      <c r="I89" t="s">
        <v>919</v>
      </c>
      <c r="J89" t="s">
        <v>920</v>
      </c>
      <c r="K89" t="s">
        <v>921</v>
      </c>
      <c r="L89">
        <v>1346</v>
      </c>
      <c r="N89">
        <v>1009</v>
      </c>
      <c r="O89" t="s">
        <v>170</v>
      </c>
      <c r="P89" t="s">
        <v>170</v>
      </c>
      <c r="Q89">
        <v>1</v>
      </c>
      <c r="W89">
        <v>0</v>
      </c>
      <c r="X89">
        <v>-21371743</v>
      </c>
      <c r="Y89">
        <v>0</v>
      </c>
      <c r="AA89">
        <v>43.54</v>
      </c>
      <c r="AB89">
        <v>0</v>
      </c>
      <c r="AC89">
        <v>0</v>
      </c>
      <c r="AD89">
        <v>0</v>
      </c>
      <c r="AE89">
        <v>6.09</v>
      </c>
      <c r="AF89">
        <v>0</v>
      </c>
      <c r="AG89">
        <v>0</v>
      </c>
      <c r="AH89">
        <v>0</v>
      </c>
      <c r="AI89">
        <v>7.15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3</v>
      </c>
      <c r="AT89">
        <v>0.59</v>
      </c>
      <c r="AU89" t="s">
        <v>20</v>
      </c>
      <c r="AV89">
        <v>0</v>
      </c>
      <c r="AW89">
        <v>2</v>
      </c>
      <c r="AX89">
        <v>68990972</v>
      </c>
      <c r="AY89">
        <v>1</v>
      </c>
      <c r="AZ89">
        <v>0</v>
      </c>
      <c r="BA89">
        <v>98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Y89*Source!I48</f>
        <v>0</v>
      </c>
      <c r="CY89">
        <f t="shared" si="22"/>
        <v>43.54</v>
      </c>
      <c r="CZ89">
        <f t="shared" si="23"/>
        <v>6.09</v>
      </c>
      <c r="DA89">
        <f t="shared" si="24"/>
        <v>7.15</v>
      </c>
      <c r="DB89">
        <f t="shared" si="25"/>
        <v>0</v>
      </c>
      <c r="DC89">
        <f t="shared" si="26"/>
        <v>0</v>
      </c>
    </row>
    <row r="90" spans="1:107" x14ac:dyDescent="0.2">
      <c r="A90">
        <f>ROW(Source!A48)</f>
        <v>48</v>
      </c>
      <c r="B90">
        <v>68990560</v>
      </c>
      <c r="C90">
        <v>68990961</v>
      </c>
      <c r="D90">
        <v>64253863</v>
      </c>
      <c r="E90">
        <v>1</v>
      </c>
      <c r="F90">
        <v>1</v>
      </c>
      <c r="G90">
        <v>1</v>
      </c>
      <c r="H90">
        <v>3</v>
      </c>
      <c r="I90" t="s">
        <v>922</v>
      </c>
      <c r="J90" t="s">
        <v>923</v>
      </c>
      <c r="K90" t="s">
        <v>924</v>
      </c>
      <c r="L90">
        <v>1346</v>
      </c>
      <c r="N90">
        <v>1009</v>
      </c>
      <c r="O90" t="s">
        <v>170</v>
      </c>
      <c r="P90" t="s">
        <v>170</v>
      </c>
      <c r="Q90">
        <v>1</v>
      </c>
      <c r="W90">
        <v>0</v>
      </c>
      <c r="X90">
        <v>1160504311</v>
      </c>
      <c r="Y90">
        <v>0</v>
      </c>
      <c r="AA90">
        <v>112.02</v>
      </c>
      <c r="AB90">
        <v>0</v>
      </c>
      <c r="AC90">
        <v>0</v>
      </c>
      <c r="AD90">
        <v>0</v>
      </c>
      <c r="AE90">
        <v>10.75</v>
      </c>
      <c r="AF90">
        <v>0</v>
      </c>
      <c r="AG90">
        <v>0</v>
      </c>
      <c r="AH90">
        <v>0</v>
      </c>
      <c r="AI90">
        <v>10.42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3</v>
      </c>
      <c r="AT90">
        <v>31</v>
      </c>
      <c r="AU90" t="s">
        <v>20</v>
      </c>
      <c r="AV90">
        <v>0</v>
      </c>
      <c r="AW90">
        <v>2</v>
      </c>
      <c r="AX90">
        <v>68990973</v>
      </c>
      <c r="AY90">
        <v>1</v>
      </c>
      <c r="AZ90">
        <v>0</v>
      </c>
      <c r="BA90">
        <v>99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Y90*Source!I48</f>
        <v>0</v>
      </c>
      <c r="CY90">
        <f t="shared" si="22"/>
        <v>112.02</v>
      </c>
      <c r="CZ90">
        <f t="shared" si="23"/>
        <v>10.75</v>
      </c>
      <c r="DA90">
        <f t="shared" si="24"/>
        <v>10.42</v>
      </c>
      <c r="DB90">
        <f t="shared" si="25"/>
        <v>0</v>
      </c>
      <c r="DC90">
        <f t="shared" si="26"/>
        <v>0</v>
      </c>
    </row>
    <row r="91" spans="1:107" x14ac:dyDescent="0.2">
      <c r="A91">
        <f>ROW(Source!A48)</f>
        <v>48</v>
      </c>
      <c r="B91">
        <v>68990560</v>
      </c>
      <c r="C91">
        <v>68990961</v>
      </c>
      <c r="D91">
        <v>64255009</v>
      </c>
      <c r="E91">
        <v>1</v>
      </c>
      <c r="F91">
        <v>1</v>
      </c>
      <c r="G91">
        <v>1</v>
      </c>
      <c r="H91">
        <v>3</v>
      </c>
      <c r="I91" t="s">
        <v>963</v>
      </c>
      <c r="J91" t="s">
        <v>964</v>
      </c>
      <c r="K91" t="s">
        <v>965</v>
      </c>
      <c r="L91">
        <v>1346</v>
      </c>
      <c r="N91">
        <v>1009</v>
      </c>
      <c r="O91" t="s">
        <v>170</v>
      </c>
      <c r="P91" t="s">
        <v>170</v>
      </c>
      <c r="Q91">
        <v>1</v>
      </c>
      <c r="W91">
        <v>0</v>
      </c>
      <c r="X91">
        <v>-584220791</v>
      </c>
      <c r="Y91">
        <v>0</v>
      </c>
      <c r="AA91">
        <v>93.93</v>
      </c>
      <c r="AB91">
        <v>0</v>
      </c>
      <c r="AC91">
        <v>0</v>
      </c>
      <c r="AD91">
        <v>0</v>
      </c>
      <c r="AE91">
        <v>9.0399999999999991</v>
      </c>
      <c r="AF91">
        <v>0</v>
      </c>
      <c r="AG91">
        <v>0</v>
      </c>
      <c r="AH91">
        <v>0</v>
      </c>
      <c r="AI91">
        <v>10.39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1</v>
      </c>
      <c r="AQ91">
        <v>0</v>
      </c>
      <c r="AR91">
        <v>0</v>
      </c>
      <c r="AS91" t="s">
        <v>3</v>
      </c>
      <c r="AT91">
        <v>4</v>
      </c>
      <c r="AU91" t="s">
        <v>20</v>
      </c>
      <c r="AV91">
        <v>0</v>
      </c>
      <c r="AW91">
        <v>2</v>
      </c>
      <c r="AX91">
        <v>68990974</v>
      </c>
      <c r="AY91">
        <v>1</v>
      </c>
      <c r="AZ91">
        <v>0</v>
      </c>
      <c r="BA91">
        <v>100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Y91*Source!I48</f>
        <v>0</v>
      </c>
      <c r="CY91">
        <f t="shared" si="22"/>
        <v>93.93</v>
      </c>
      <c r="CZ91">
        <f t="shared" si="23"/>
        <v>9.0399999999999991</v>
      </c>
      <c r="DA91">
        <f t="shared" si="24"/>
        <v>10.39</v>
      </c>
      <c r="DB91">
        <f t="shared" si="25"/>
        <v>0</v>
      </c>
      <c r="DC91">
        <f t="shared" si="26"/>
        <v>0</v>
      </c>
    </row>
    <row r="92" spans="1:107" x14ac:dyDescent="0.2">
      <c r="A92">
        <f>ROW(Source!A48)</f>
        <v>48</v>
      </c>
      <c r="B92">
        <v>68990560</v>
      </c>
      <c r="C92">
        <v>68990961</v>
      </c>
      <c r="D92">
        <v>64255112</v>
      </c>
      <c r="E92">
        <v>1</v>
      </c>
      <c r="F92">
        <v>1</v>
      </c>
      <c r="G92">
        <v>1</v>
      </c>
      <c r="H92">
        <v>3</v>
      </c>
      <c r="I92" t="s">
        <v>925</v>
      </c>
      <c r="J92" t="s">
        <v>926</v>
      </c>
      <c r="K92" t="s">
        <v>927</v>
      </c>
      <c r="L92">
        <v>1348</v>
      </c>
      <c r="N92">
        <v>1009</v>
      </c>
      <c r="O92" t="s">
        <v>71</v>
      </c>
      <c r="P92" t="s">
        <v>71</v>
      </c>
      <c r="Q92">
        <v>1000</v>
      </c>
      <c r="W92">
        <v>0</v>
      </c>
      <c r="X92">
        <v>-2110081257</v>
      </c>
      <c r="Y92">
        <v>0</v>
      </c>
      <c r="AA92">
        <v>102052.56</v>
      </c>
      <c r="AB92">
        <v>0</v>
      </c>
      <c r="AC92">
        <v>0</v>
      </c>
      <c r="AD92">
        <v>0</v>
      </c>
      <c r="AE92">
        <v>11978</v>
      </c>
      <c r="AF92">
        <v>0</v>
      </c>
      <c r="AG92">
        <v>0</v>
      </c>
      <c r="AH92">
        <v>0</v>
      </c>
      <c r="AI92">
        <v>8.52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1</v>
      </c>
      <c r="AQ92">
        <v>0</v>
      </c>
      <c r="AR92">
        <v>0</v>
      </c>
      <c r="AS92" t="s">
        <v>3</v>
      </c>
      <c r="AT92">
        <v>1.0000000000000001E-5</v>
      </c>
      <c r="AU92" t="s">
        <v>20</v>
      </c>
      <c r="AV92">
        <v>0</v>
      </c>
      <c r="AW92">
        <v>2</v>
      </c>
      <c r="AX92">
        <v>68990975</v>
      </c>
      <c r="AY92">
        <v>1</v>
      </c>
      <c r="AZ92">
        <v>0</v>
      </c>
      <c r="BA92">
        <v>101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Y92*Source!I48</f>
        <v>0</v>
      </c>
      <c r="CY92">
        <f t="shared" si="22"/>
        <v>102052.56</v>
      </c>
      <c r="CZ92">
        <f t="shared" si="23"/>
        <v>11978</v>
      </c>
      <c r="DA92">
        <f t="shared" si="24"/>
        <v>8.52</v>
      </c>
      <c r="DB92">
        <f t="shared" si="25"/>
        <v>0</v>
      </c>
      <c r="DC92">
        <f t="shared" si="26"/>
        <v>0</v>
      </c>
    </row>
    <row r="93" spans="1:107" x14ac:dyDescent="0.2">
      <c r="A93">
        <f>ROW(Source!A48)</f>
        <v>48</v>
      </c>
      <c r="B93">
        <v>68990560</v>
      </c>
      <c r="C93">
        <v>68990961</v>
      </c>
      <c r="D93">
        <v>64256203</v>
      </c>
      <c r="E93">
        <v>1</v>
      </c>
      <c r="F93">
        <v>1</v>
      </c>
      <c r="G93">
        <v>1</v>
      </c>
      <c r="H93">
        <v>3</v>
      </c>
      <c r="I93" t="s">
        <v>928</v>
      </c>
      <c r="J93" t="s">
        <v>929</v>
      </c>
      <c r="K93" t="s">
        <v>930</v>
      </c>
      <c r="L93">
        <v>1348</v>
      </c>
      <c r="N93">
        <v>1009</v>
      </c>
      <c r="O93" t="s">
        <v>71</v>
      </c>
      <c r="P93" t="s">
        <v>71</v>
      </c>
      <c r="Q93">
        <v>1000</v>
      </c>
      <c r="W93">
        <v>0</v>
      </c>
      <c r="X93">
        <v>-1908218251</v>
      </c>
      <c r="Y93">
        <v>0</v>
      </c>
      <c r="AA93">
        <v>169034</v>
      </c>
      <c r="AB93">
        <v>0</v>
      </c>
      <c r="AC93">
        <v>0</v>
      </c>
      <c r="AD93">
        <v>0</v>
      </c>
      <c r="AE93">
        <v>37900</v>
      </c>
      <c r="AF93">
        <v>0</v>
      </c>
      <c r="AG93">
        <v>0</v>
      </c>
      <c r="AH93">
        <v>0</v>
      </c>
      <c r="AI93">
        <v>4.46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3</v>
      </c>
      <c r="AT93">
        <v>1E-4</v>
      </c>
      <c r="AU93" t="s">
        <v>20</v>
      </c>
      <c r="AV93">
        <v>0</v>
      </c>
      <c r="AW93">
        <v>2</v>
      </c>
      <c r="AX93">
        <v>68990976</v>
      </c>
      <c r="AY93">
        <v>1</v>
      </c>
      <c r="AZ93">
        <v>0</v>
      </c>
      <c r="BA93">
        <v>102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Y93*Source!I48</f>
        <v>0</v>
      </c>
      <c r="CY93">
        <f t="shared" si="22"/>
        <v>169034</v>
      </c>
      <c r="CZ93">
        <f t="shared" si="23"/>
        <v>37900</v>
      </c>
      <c r="DA93">
        <f t="shared" si="24"/>
        <v>4.46</v>
      </c>
      <c r="DB93">
        <f t="shared" si="25"/>
        <v>0</v>
      </c>
      <c r="DC93">
        <f t="shared" si="26"/>
        <v>0</v>
      </c>
    </row>
    <row r="94" spans="1:107" x14ac:dyDescent="0.2">
      <c r="A94">
        <f>ROW(Source!A48)</f>
        <v>48</v>
      </c>
      <c r="B94">
        <v>68990560</v>
      </c>
      <c r="C94">
        <v>68990961</v>
      </c>
      <c r="D94">
        <v>64269842</v>
      </c>
      <c r="E94">
        <v>1</v>
      </c>
      <c r="F94">
        <v>1</v>
      </c>
      <c r="G94">
        <v>1</v>
      </c>
      <c r="H94">
        <v>3</v>
      </c>
      <c r="I94" t="s">
        <v>931</v>
      </c>
      <c r="J94" t="s">
        <v>932</v>
      </c>
      <c r="K94" t="s">
        <v>933</v>
      </c>
      <c r="L94">
        <v>1348</v>
      </c>
      <c r="N94">
        <v>1009</v>
      </c>
      <c r="O94" t="s">
        <v>71</v>
      </c>
      <c r="P94" t="s">
        <v>71</v>
      </c>
      <c r="Q94">
        <v>1000</v>
      </c>
      <c r="W94">
        <v>0</v>
      </c>
      <c r="X94">
        <v>1195780435</v>
      </c>
      <c r="Y94">
        <v>0</v>
      </c>
      <c r="AA94">
        <v>66477.440000000002</v>
      </c>
      <c r="AB94">
        <v>0</v>
      </c>
      <c r="AC94">
        <v>0</v>
      </c>
      <c r="AD94">
        <v>0</v>
      </c>
      <c r="AE94">
        <v>7712</v>
      </c>
      <c r="AF94">
        <v>0</v>
      </c>
      <c r="AG94">
        <v>0</v>
      </c>
      <c r="AH94">
        <v>0</v>
      </c>
      <c r="AI94">
        <v>8.6199999999999992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3</v>
      </c>
      <c r="AT94">
        <v>5.0000000000000001E-3</v>
      </c>
      <c r="AU94" t="s">
        <v>20</v>
      </c>
      <c r="AV94">
        <v>0</v>
      </c>
      <c r="AW94">
        <v>2</v>
      </c>
      <c r="AX94">
        <v>68990978</v>
      </c>
      <c r="AY94">
        <v>1</v>
      </c>
      <c r="AZ94">
        <v>0</v>
      </c>
      <c r="BA94">
        <v>104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Y94*Source!I48</f>
        <v>0</v>
      </c>
      <c r="CY94">
        <f t="shared" si="22"/>
        <v>66477.440000000002</v>
      </c>
      <c r="CZ94">
        <f t="shared" si="23"/>
        <v>7712</v>
      </c>
      <c r="DA94">
        <f t="shared" si="24"/>
        <v>8.6199999999999992</v>
      </c>
      <c r="DB94">
        <f t="shared" si="25"/>
        <v>0</v>
      </c>
      <c r="DC94">
        <f t="shared" si="26"/>
        <v>0</v>
      </c>
    </row>
    <row r="95" spans="1:107" x14ac:dyDescent="0.2">
      <c r="A95">
        <f>ROW(Source!A48)</f>
        <v>48</v>
      </c>
      <c r="B95">
        <v>68990560</v>
      </c>
      <c r="C95">
        <v>68990961</v>
      </c>
      <c r="D95">
        <v>64271871</v>
      </c>
      <c r="E95">
        <v>1</v>
      </c>
      <c r="F95">
        <v>1</v>
      </c>
      <c r="G95">
        <v>1</v>
      </c>
      <c r="H95">
        <v>3</v>
      </c>
      <c r="I95" t="s">
        <v>934</v>
      </c>
      <c r="J95" t="s">
        <v>935</v>
      </c>
      <c r="K95" t="s">
        <v>936</v>
      </c>
      <c r="L95">
        <v>1302</v>
      </c>
      <c r="N95">
        <v>1003</v>
      </c>
      <c r="O95" t="s">
        <v>395</v>
      </c>
      <c r="P95" t="s">
        <v>395</v>
      </c>
      <c r="Q95">
        <v>10</v>
      </c>
      <c r="W95">
        <v>0</v>
      </c>
      <c r="X95">
        <v>660380256</v>
      </c>
      <c r="Y95">
        <v>0</v>
      </c>
      <c r="AA95">
        <v>278.83</v>
      </c>
      <c r="AB95">
        <v>0</v>
      </c>
      <c r="AC95">
        <v>0</v>
      </c>
      <c r="AD95">
        <v>0</v>
      </c>
      <c r="AE95">
        <v>50.24</v>
      </c>
      <c r="AF95">
        <v>0</v>
      </c>
      <c r="AG95">
        <v>0</v>
      </c>
      <c r="AH95">
        <v>0</v>
      </c>
      <c r="AI95">
        <v>5.55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3</v>
      </c>
      <c r="AT95">
        <v>1.8700000000000001E-2</v>
      </c>
      <c r="AU95" t="s">
        <v>20</v>
      </c>
      <c r="AV95">
        <v>0</v>
      </c>
      <c r="AW95">
        <v>2</v>
      </c>
      <c r="AX95">
        <v>68990979</v>
      </c>
      <c r="AY95">
        <v>1</v>
      </c>
      <c r="AZ95">
        <v>0</v>
      </c>
      <c r="BA95">
        <v>105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Y95*Source!I48</f>
        <v>0</v>
      </c>
      <c r="CY95">
        <f t="shared" si="22"/>
        <v>278.83</v>
      </c>
      <c r="CZ95">
        <f t="shared" si="23"/>
        <v>50.24</v>
      </c>
      <c r="DA95">
        <f t="shared" si="24"/>
        <v>5.55</v>
      </c>
      <c r="DB95">
        <f t="shared" si="25"/>
        <v>0</v>
      </c>
      <c r="DC95">
        <f t="shared" si="26"/>
        <v>0</v>
      </c>
    </row>
    <row r="96" spans="1:107" x14ac:dyDescent="0.2">
      <c r="A96">
        <f>ROW(Source!A48)</f>
        <v>48</v>
      </c>
      <c r="B96">
        <v>68990560</v>
      </c>
      <c r="C96">
        <v>68990961</v>
      </c>
      <c r="D96">
        <v>64272226</v>
      </c>
      <c r="E96">
        <v>1</v>
      </c>
      <c r="F96">
        <v>1</v>
      </c>
      <c r="G96">
        <v>1</v>
      </c>
      <c r="H96">
        <v>3</v>
      </c>
      <c r="I96" t="s">
        <v>937</v>
      </c>
      <c r="J96" t="s">
        <v>938</v>
      </c>
      <c r="K96" t="s">
        <v>939</v>
      </c>
      <c r="L96">
        <v>1348</v>
      </c>
      <c r="N96">
        <v>1009</v>
      </c>
      <c r="O96" t="s">
        <v>71</v>
      </c>
      <c r="P96" t="s">
        <v>71</v>
      </c>
      <c r="Q96">
        <v>1000</v>
      </c>
      <c r="W96">
        <v>0</v>
      </c>
      <c r="X96">
        <v>-1782989208</v>
      </c>
      <c r="Y96">
        <v>0</v>
      </c>
      <c r="AA96">
        <v>40185.9</v>
      </c>
      <c r="AB96">
        <v>0</v>
      </c>
      <c r="AC96">
        <v>0</v>
      </c>
      <c r="AD96">
        <v>0</v>
      </c>
      <c r="AE96">
        <v>4455.2</v>
      </c>
      <c r="AF96">
        <v>0</v>
      </c>
      <c r="AG96">
        <v>0</v>
      </c>
      <c r="AH96">
        <v>0</v>
      </c>
      <c r="AI96">
        <v>9.02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3</v>
      </c>
      <c r="AT96">
        <v>3.0000000000000001E-5</v>
      </c>
      <c r="AU96" t="s">
        <v>20</v>
      </c>
      <c r="AV96">
        <v>0</v>
      </c>
      <c r="AW96">
        <v>2</v>
      </c>
      <c r="AX96">
        <v>68990980</v>
      </c>
      <c r="AY96">
        <v>1</v>
      </c>
      <c r="AZ96">
        <v>0</v>
      </c>
      <c r="BA96">
        <v>106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Y96*Source!I48</f>
        <v>0</v>
      </c>
      <c r="CY96">
        <f t="shared" si="22"/>
        <v>40185.9</v>
      </c>
      <c r="CZ96">
        <f t="shared" si="23"/>
        <v>4455.2</v>
      </c>
      <c r="DA96">
        <f t="shared" si="24"/>
        <v>9.02</v>
      </c>
      <c r="DB96">
        <f t="shared" si="25"/>
        <v>0</v>
      </c>
      <c r="DC96">
        <f t="shared" si="26"/>
        <v>0</v>
      </c>
    </row>
    <row r="97" spans="1:107" x14ac:dyDescent="0.2">
      <c r="A97">
        <f>ROW(Source!A48)</f>
        <v>48</v>
      </c>
      <c r="B97">
        <v>68990560</v>
      </c>
      <c r="C97">
        <v>68990961</v>
      </c>
      <c r="D97">
        <v>64272954</v>
      </c>
      <c r="E97">
        <v>1</v>
      </c>
      <c r="F97">
        <v>1</v>
      </c>
      <c r="G97">
        <v>1</v>
      </c>
      <c r="H97">
        <v>3</v>
      </c>
      <c r="I97" t="s">
        <v>940</v>
      </c>
      <c r="J97" t="s">
        <v>941</v>
      </c>
      <c r="K97" t="s">
        <v>942</v>
      </c>
      <c r="L97">
        <v>1348</v>
      </c>
      <c r="N97">
        <v>1009</v>
      </c>
      <c r="O97" t="s">
        <v>71</v>
      </c>
      <c r="P97" t="s">
        <v>71</v>
      </c>
      <c r="Q97">
        <v>1000</v>
      </c>
      <c r="W97">
        <v>0</v>
      </c>
      <c r="X97">
        <v>-2078930163</v>
      </c>
      <c r="Y97">
        <v>0</v>
      </c>
      <c r="AA97">
        <v>54513.599999999999</v>
      </c>
      <c r="AB97">
        <v>0</v>
      </c>
      <c r="AC97">
        <v>0</v>
      </c>
      <c r="AD97">
        <v>0</v>
      </c>
      <c r="AE97">
        <v>4920</v>
      </c>
      <c r="AF97">
        <v>0</v>
      </c>
      <c r="AG97">
        <v>0</v>
      </c>
      <c r="AH97">
        <v>0</v>
      </c>
      <c r="AI97">
        <v>11.08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3</v>
      </c>
      <c r="AT97">
        <v>1.9400000000000001E-3</v>
      </c>
      <c r="AU97" t="s">
        <v>20</v>
      </c>
      <c r="AV97">
        <v>0</v>
      </c>
      <c r="AW97">
        <v>2</v>
      </c>
      <c r="AX97">
        <v>68990981</v>
      </c>
      <c r="AY97">
        <v>1</v>
      </c>
      <c r="AZ97">
        <v>0</v>
      </c>
      <c r="BA97">
        <v>107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Y97*Source!I48</f>
        <v>0</v>
      </c>
      <c r="CY97">
        <f t="shared" si="22"/>
        <v>54513.599999999999</v>
      </c>
      <c r="CZ97">
        <f t="shared" si="23"/>
        <v>4920</v>
      </c>
      <c r="DA97">
        <f t="shared" si="24"/>
        <v>11.08</v>
      </c>
      <c r="DB97">
        <f t="shared" si="25"/>
        <v>0</v>
      </c>
      <c r="DC97">
        <f t="shared" si="26"/>
        <v>0</v>
      </c>
    </row>
    <row r="98" spans="1:107" x14ac:dyDescent="0.2">
      <c r="A98">
        <f>ROW(Source!A48)</f>
        <v>48</v>
      </c>
      <c r="B98">
        <v>68990560</v>
      </c>
      <c r="C98">
        <v>68990961</v>
      </c>
      <c r="D98">
        <v>64276263</v>
      </c>
      <c r="E98">
        <v>1</v>
      </c>
      <c r="F98">
        <v>1</v>
      </c>
      <c r="G98">
        <v>1</v>
      </c>
      <c r="H98">
        <v>3</v>
      </c>
      <c r="I98" t="s">
        <v>943</v>
      </c>
      <c r="J98" t="s">
        <v>944</v>
      </c>
      <c r="K98" t="s">
        <v>945</v>
      </c>
      <c r="L98">
        <v>1339</v>
      </c>
      <c r="N98">
        <v>1007</v>
      </c>
      <c r="O98" t="s">
        <v>113</v>
      </c>
      <c r="P98" t="s">
        <v>113</v>
      </c>
      <c r="Q98">
        <v>1</v>
      </c>
      <c r="W98">
        <v>0</v>
      </c>
      <c r="X98">
        <v>-130131740</v>
      </c>
      <c r="Y98">
        <v>0</v>
      </c>
      <c r="AA98">
        <v>8721</v>
      </c>
      <c r="AB98">
        <v>0</v>
      </c>
      <c r="AC98">
        <v>0</v>
      </c>
      <c r="AD98">
        <v>0</v>
      </c>
      <c r="AE98">
        <v>1700</v>
      </c>
      <c r="AF98">
        <v>0</v>
      </c>
      <c r="AG98">
        <v>0</v>
      </c>
      <c r="AH98">
        <v>0</v>
      </c>
      <c r="AI98">
        <v>5.13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3</v>
      </c>
      <c r="AT98">
        <v>1.0300000000000001E-3</v>
      </c>
      <c r="AU98" t="s">
        <v>20</v>
      </c>
      <c r="AV98">
        <v>0</v>
      </c>
      <c r="AW98">
        <v>2</v>
      </c>
      <c r="AX98">
        <v>68990982</v>
      </c>
      <c r="AY98">
        <v>1</v>
      </c>
      <c r="AZ98">
        <v>0</v>
      </c>
      <c r="BA98">
        <v>108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Y98*Source!I48</f>
        <v>0</v>
      </c>
      <c r="CY98">
        <f t="shared" si="22"/>
        <v>8721</v>
      </c>
      <c r="CZ98">
        <f t="shared" si="23"/>
        <v>1700</v>
      </c>
      <c r="DA98">
        <f t="shared" si="24"/>
        <v>5.13</v>
      </c>
      <c r="DB98">
        <f t="shared" si="25"/>
        <v>0</v>
      </c>
      <c r="DC98">
        <f t="shared" si="26"/>
        <v>0</v>
      </c>
    </row>
    <row r="99" spans="1:107" x14ac:dyDescent="0.2">
      <c r="A99">
        <f>ROW(Source!A48)</f>
        <v>48</v>
      </c>
      <c r="B99">
        <v>68990560</v>
      </c>
      <c r="C99">
        <v>68990961</v>
      </c>
      <c r="D99">
        <v>64283919</v>
      </c>
      <c r="E99">
        <v>1</v>
      </c>
      <c r="F99">
        <v>1</v>
      </c>
      <c r="G99">
        <v>1</v>
      </c>
      <c r="H99">
        <v>3</v>
      </c>
      <c r="I99" t="s">
        <v>946</v>
      </c>
      <c r="J99" t="s">
        <v>947</v>
      </c>
      <c r="K99" t="s">
        <v>948</v>
      </c>
      <c r="L99">
        <v>1348</v>
      </c>
      <c r="N99">
        <v>1009</v>
      </c>
      <c r="O99" t="s">
        <v>71</v>
      </c>
      <c r="P99" t="s">
        <v>71</v>
      </c>
      <c r="Q99">
        <v>1000</v>
      </c>
      <c r="W99">
        <v>0</v>
      </c>
      <c r="X99">
        <v>-609333436</v>
      </c>
      <c r="Y99">
        <v>0</v>
      </c>
      <c r="AA99">
        <v>88253</v>
      </c>
      <c r="AB99">
        <v>0</v>
      </c>
      <c r="AC99">
        <v>0</v>
      </c>
      <c r="AD99">
        <v>0</v>
      </c>
      <c r="AE99">
        <v>15620</v>
      </c>
      <c r="AF99">
        <v>0</v>
      </c>
      <c r="AG99">
        <v>0</v>
      </c>
      <c r="AH99">
        <v>0</v>
      </c>
      <c r="AI99">
        <v>5.65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3</v>
      </c>
      <c r="AT99">
        <v>3.1E-4</v>
      </c>
      <c r="AU99" t="s">
        <v>20</v>
      </c>
      <c r="AV99">
        <v>0</v>
      </c>
      <c r="AW99">
        <v>2</v>
      </c>
      <c r="AX99">
        <v>68990983</v>
      </c>
      <c r="AY99">
        <v>1</v>
      </c>
      <c r="AZ99">
        <v>0</v>
      </c>
      <c r="BA99">
        <v>109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Y99*Source!I48</f>
        <v>0</v>
      </c>
      <c r="CY99">
        <f t="shared" si="22"/>
        <v>88253</v>
      </c>
      <c r="CZ99">
        <f t="shared" si="23"/>
        <v>15620</v>
      </c>
      <c r="DA99">
        <f t="shared" si="24"/>
        <v>5.65</v>
      </c>
      <c r="DB99">
        <f t="shared" si="25"/>
        <v>0</v>
      </c>
      <c r="DC99">
        <f t="shared" si="26"/>
        <v>0</v>
      </c>
    </row>
    <row r="100" spans="1:107" x14ac:dyDescent="0.2">
      <c r="A100">
        <f>ROW(Source!A48)</f>
        <v>48</v>
      </c>
      <c r="B100">
        <v>68990560</v>
      </c>
      <c r="C100">
        <v>68990961</v>
      </c>
      <c r="D100">
        <v>64285060</v>
      </c>
      <c r="E100">
        <v>1</v>
      </c>
      <c r="F100">
        <v>1</v>
      </c>
      <c r="G100">
        <v>1</v>
      </c>
      <c r="H100">
        <v>3</v>
      </c>
      <c r="I100" t="s">
        <v>949</v>
      </c>
      <c r="J100" t="s">
        <v>950</v>
      </c>
      <c r="K100" t="s">
        <v>951</v>
      </c>
      <c r="L100">
        <v>1346</v>
      </c>
      <c r="N100">
        <v>1009</v>
      </c>
      <c r="O100" t="s">
        <v>170</v>
      </c>
      <c r="P100" t="s">
        <v>170</v>
      </c>
      <c r="Q100">
        <v>1</v>
      </c>
      <c r="W100">
        <v>0</v>
      </c>
      <c r="X100">
        <v>1861960131</v>
      </c>
      <c r="Y100">
        <v>0</v>
      </c>
      <c r="AA100">
        <v>98.34</v>
      </c>
      <c r="AB100">
        <v>0</v>
      </c>
      <c r="AC100">
        <v>0</v>
      </c>
      <c r="AD100">
        <v>0</v>
      </c>
      <c r="AE100">
        <v>9.42</v>
      </c>
      <c r="AF100">
        <v>0</v>
      </c>
      <c r="AG100">
        <v>0</v>
      </c>
      <c r="AH100">
        <v>0</v>
      </c>
      <c r="AI100">
        <v>10.44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1</v>
      </c>
      <c r="AQ100">
        <v>0</v>
      </c>
      <c r="AR100">
        <v>0</v>
      </c>
      <c r="AS100" t="s">
        <v>3</v>
      </c>
      <c r="AT100">
        <v>0.6</v>
      </c>
      <c r="AU100" t="s">
        <v>20</v>
      </c>
      <c r="AV100">
        <v>0</v>
      </c>
      <c r="AW100">
        <v>2</v>
      </c>
      <c r="AX100">
        <v>68990984</v>
      </c>
      <c r="AY100">
        <v>1</v>
      </c>
      <c r="AZ100">
        <v>0</v>
      </c>
      <c r="BA100">
        <v>110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Y100*Source!I48</f>
        <v>0</v>
      </c>
      <c r="CY100">
        <f t="shared" si="22"/>
        <v>98.34</v>
      </c>
      <c r="CZ100">
        <f t="shared" si="23"/>
        <v>9.42</v>
      </c>
      <c r="DA100">
        <f t="shared" si="24"/>
        <v>10.44</v>
      </c>
      <c r="DB100">
        <f t="shared" si="25"/>
        <v>0</v>
      </c>
      <c r="DC100">
        <f t="shared" si="26"/>
        <v>0</v>
      </c>
    </row>
    <row r="101" spans="1:107" x14ac:dyDescent="0.2">
      <c r="A101">
        <f>ROW(Source!A49)</f>
        <v>49</v>
      </c>
      <c r="B101">
        <v>68990560</v>
      </c>
      <c r="C101">
        <v>68990986</v>
      </c>
      <c r="D101">
        <v>64241025</v>
      </c>
      <c r="E101">
        <v>56</v>
      </c>
      <c r="F101">
        <v>1</v>
      </c>
      <c r="G101">
        <v>1</v>
      </c>
      <c r="H101">
        <v>1</v>
      </c>
      <c r="I101" t="s">
        <v>816</v>
      </c>
      <c r="J101" t="s">
        <v>3</v>
      </c>
      <c r="K101" t="s">
        <v>817</v>
      </c>
      <c r="L101">
        <v>1191</v>
      </c>
      <c r="N101">
        <v>1013</v>
      </c>
      <c r="O101" t="s">
        <v>818</v>
      </c>
      <c r="P101" t="s">
        <v>818</v>
      </c>
      <c r="Q101">
        <v>1</v>
      </c>
      <c r="W101">
        <v>0</v>
      </c>
      <c r="X101">
        <v>912892513</v>
      </c>
      <c r="Y101">
        <v>1.04895</v>
      </c>
      <c r="AA101">
        <v>0</v>
      </c>
      <c r="AB101">
        <v>0</v>
      </c>
      <c r="AC101">
        <v>0</v>
      </c>
      <c r="AD101">
        <v>9.92</v>
      </c>
      <c r="AE101">
        <v>0</v>
      </c>
      <c r="AF101">
        <v>0</v>
      </c>
      <c r="AG101">
        <v>0</v>
      </c>
      <c r="AH101">
        <v>9.92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3</v>
      </c>
      <c r="AT101">
        <v>1.1100000000000001</v>
      </c>
      <c r="AU101" t="s">
        <v>48</v>
      </c>
      <c r="AV101">
        <v>1</v>
      </c>
      <c r="AW101">
        <v>2</v>
      </c>
      <c r="AX101">
        <v>68990987</v>
      </c>
      <c r="AY101">
        <v>1</v>
      </c>
      <c r="AZ101">
        <v>0</v>
      </c>
      <c r="BA101">
        <v>111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Y101*Source!I49</f>
        <v>2.0979000000000001</v>
      </c>
      <c r="CY101">
        <f>AD101</f>
        <v>9.92</v>
      </c>
      <c r="CZ101">
        <f>AH101</f>
        <v>9.92</v>
      </c>
      <c r="DA101">
        <f>AL101</f>
        <v>1</v>
      </c>
      <c r="DB101">
        <f>ROUND(((ROUND(AT101*CZ101,2)*1.35)*0.7),2)</f>
        <v>10.4</v>
      </c>
      <c r="DC101">
        <f>ROUND(((ROUND(AT101*AG101,2)*1.35)*0.7),2)</f>
        <v>0</v>
      </c>
    </row>
    <row r="102" spans="1:107" x14ac:dyDescent="0.2">
      <c r="A102">
        <f>ROW(Source!A49)</f>
        <v>49</v>
      </c>
      <c r="B102">
        <v>68990560</v>
      </c>
      <c r="C102">
        <v>68990986</v>
      </c>
      <c r="D102">
        <v>64402901</v>
      </c>
      <c r="E102">
        <v>1</v>
      </c>
      <c r="F102">
        <v>1</v>
      </c>
      <c r="G102">
        <v>1</v>
      </c>
      <c r="H102">
        <v>2</v>
      </c>
      <c r="I102" t="s">
        <v>862</v>
      </c>
      <c r="J102" t="s">
        <v>863</v>
      </c>
      <c r="K102" t="s">
        <v>864</v>
      </c>
      <c r="L102">
        <v>1368</v>
      </c>
      <c r="N102">
        <v>1011</v>
      </c>
      <c r="O102" t="s">
        <v>824</v>
      </c>
      <c r="P102" t="s">
        <v>824</v>
      </c>
      <c r="Q102">
        <v>1</v>
      </c>
      <c r="W102">
        <v>0</v>
      </c>
      <c r="X102">
        <v>900652632</v>
      </c>
      <c r="Y102">
        <v>0.2457</v>
      </c>
      <c r="AA102">
        <v>0</v>
      </c>
      <c r="AB102">
        <v>40.18</v>
      </c>
      <c r="AC102">
        <v>0</v>
      </c>
      <c r="AD102">
        <v>0</v>
      </c>
      <c r="AE102">
        <v>0</v>
      </c>
      <c r="AF102">
        <v>8.1</v>
      </c>
      <c r="AG102">
        <v>0</v>
      </c>
      <c r="AH102">
        <v>0</v>
      </c>
      <c r="AI102">
        <v>1</v>
      </c>
      <c r="AJ102">
        <v>4.96</v>
      </c>
      <c r="AK102">
        <v>33.65</v>
      </c>
      <c r="AL102">
        <v>1</v>
      </c>
      <c r="AN102">
        <v>0</v>
      </c>
      <c r="AO102">
        <v>1</v>
      </c>
      <c r="AP102">
        <v>1</v>
      </c>
      <c r="AQ102">
        <v>0</v>
      </c>
      <c r="AR102">
        <v>0</v>
      </c>
      <c r="AS102" t="s">
        <v>3</v>
      </c>
      <c r="AT102">
        <v>0.26</v>
      </c>
      <c r="AU102" t="s">
        <v>48</v>
      </c>
      <c r="AV102">
        <v>0</v>
      </c>
      <c r="AW102">
        <v>2</v>
      </c>
      <c r="AX102">
        <v>68990988</v>
      </c>
      <c r="AY102">
        <v>1</v>
      </c>
      <c r="AZ102">
        <v>0</v>
      </c>
      <c r="BA102">
        <v>112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Y102*Source!I49</f>
        <v>0.4914</v>
      </c>
      <c r="CY102">
        <f>AB102</f>
        <v>40.18</v>
      </c>
      <c r="CZ102">
        <f>AF102</f>
        <v>8.1</v>
      </c>
      <c r="DA102">
        <f>AJ102</f>
        <v>4.96</v>
      </c>
      <c r="DB102">
        <f>ROUND(((ROUND(AT102*CZ102,2)*1.35)*0.7),2)</f>
        <v>1.99</v>
      </c>
      <c r="DC102">
        <f>ROUND(((ROUND(AT102*AG102,2)*1.35)*0.7),2)</f>
        <v>0</v>
      </c>
    </row>
    <row r="103" spans="1:107" x14ac:dyDescent="0.2">
      <c r="A103">
        <f>ROW(Source!A49)</f>
        <v>49</v>
      </c>
      <c r="B103">
        <v>68990560</v>
      </c>
      <c r="C103">
        <v>68990986</v>
      </c>
      <c r="D103">
        <v>64253859</v>
      </c>
      <c r="E103">
        <v>1</v>
      </c>
      <c r="F103">
        <v>1</v>
      </c>
      <c r="G103">
        <v>1</v>
      </c>
      <c r="H103">
        <v>3</v>
      </c>
      <c r="I103" t="s">
        <v>865</v>
      </c>
      <c r="J103" t="s">
        <v>866</v>
      </c>
      <c r="K103" t="s">
        <v>867</v>
      </c>
      <c r="L103">
        <v>1348</v>
      </c>
      <c r="N103">
        <v>1009</v>
      </c>
      <c r="O103" t="s">
        <v>71</v>
      </c>
      <c r="P103" t="s">
        <v>71</v>
      </c>
      <c r="Q103">
        <v>1000</v>
      </c>
      <c r="W103">
        <v>0</v>
      </c>
      <c r="X103">
        <v>1467298708</v>
      </c>
      <c r="Y103">
        <v>0</v>
      </c>
      <c r="AA103">
        <v>96135.89</v>
      </c>
      <c r="AB103">
        <v>0</v>
      </c>
      <c r="AC103">
        <v>0</v>
      </c>
      <c r="AD103">
        <v>0</v>
      </c>
      <c r="AE103">
        <v>10315.01</v>
      </c>
      <c r="AF103">
        <v>0</v>
      </c>
      <c r="AG103">
        <v>0</v>
      </c>
      <c r="AH103">
        <v>0</v>
      </c>
      <c r="AI103">
        <v>9.32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1</v>
      </c>
      <c r="AQ103">
        <v>0</v>
      </c>
      <c r="AR103">
        <v>0</v>
      </c>
      <c r="AS103" t="s">
        <v>3</v>
      </c>
      <c r="AT103">
        <v>6.9999999999999994E-5</v>
      </c>
      <c r="AU103" t="s">
        <v>20</v>
      </c>
      <c r="AV103">
        <v>0</v>
      </c>
      <c r="AW103">
        <v>2</v>
      </c>
      <c r="AX103">
        <v>68990990</v>
      </c>
      <c r="AY103">
        <v>1</v>
      </c>
      <c r="AZ103">
        <v>0</v>
      </c>
      <c r="BA103">
        <v>114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Y103*Source!I49</f>
        <v>0</v>
      </c>
      <c r="CY103">
        <f>AA103</f>
        <v>96135.89</v>
      </c>
      <c r="CZ103">
        <f>AE103</f>
        <v>10315.01</v>
      </c>
      <c r="DA103">
        <f>AI103</f>
        <v>9.32</v>
      </c>
      <c r="DB103">
        <f>ROUND((ROUND(AT103*CZ103,2)*0),2)</f>
        <v>0</v>
      </c>
      <c r="DC103">
        <f>ROUND((ROUND(AT103*AG103,2)*0),2)</f>
        <v>0</v>
      </c>
    </row>
    <row r="104" spans="1:107" x14ac:dyDescent="0.2">
      <c r="A104">
        <f>ROW(Source!A49)</f>
        <v>49</v>
      </c>
      <c r="B104">
        <v>68990560</v>
      </c>
      <c r="C104">
        <v>68990986</v>
      </c>
      <c r="D104">
        <v>64255051</v>
      </c>
      <c r="E104">
        <v>1</v>
      </c>
      <c r="F104">
        <v>1</v>
      </c>
      <c r="G104">
        <v>1</v>
      </c>
      <c r="H104">
        <v>3</v>
      </c>
      <c r="I104" t="s">
        <v>966</v>
      </c>
      <c r="J104" t="s">
        <v>967</v>
      </c>
      <c r="K104" t="s">
        <v>968</v>
      </c>
      <c r="L104">
        <v>1425</v>
      </c>
      <c r="N104">
        <v>1013</v>
      </c>
      <c r="O104" t="s">
        <v>18</v>
      </c>
      <c r="P104" t="s">
        <v>18</v>
      </c>
      <c r="Q104">
        <v>1</v>
      </c>
      <c r="W104">
        <v>0</v>
      </c>
      <c r="X104">
        <v>-792001340</v>
      </c>
      <c r="Y104">
        <v>0</v>
      </c>
      <c r="AA104">
        <v>78</v>
      </c>
      <c r="AB104">
        <v>0</v>
      </c>
      <c r="AC104">
        <v>0</v>
      </c>
      <c r="AD104">
        <v>0</v>
      </c>
      <c r="AE104">
        <v>20</v>
      </c>
      <c r="AF104">
        <v>0</v>
      </c>
      <c r="AG104">
        <v>0</v>
      </c>
      <c r="AH104">
        <v>0</v>
      </c>
      <c r="AI104">
        <v>3.9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3</v>
      </c>
      <c r="AT104">
        <v>0.08</v>
      </c>
      <c r="AU104" t="s">
        <v>20</v>
      </c>
      <c r="AV104">
        <v>0</v>
      </c>
      <c r="AW104">
        <v>2</v>
      </c>
      <c r="AX104">
        <v>68990991</v>
      </c>
      <c r="AY104">
        <v>1</v>
      </c>
      <c r="AZ104">
        <v>0</v>
      </c>
      <c r="BA104">
        <v>115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Y104*Source!I49</f>
        <v>0</v>
      </c>
      <c r="CY104">
        <f>AA104</f>
        <v>78</v>
      </c>
      <c r="CZ104">
        <f>AE104</f>
        <v>20</v>
      </c>
      <c r="DA104">
        <f>AI104</f>
        <v>3.9</v>
      </c>
      <c r="DB104">
        <f>ROUND((ROUND(AT104*CZ104,2)*0),2)</f>
        <v>0</v>
      </c>
      <c r="DC104">
        <f>ROUND((ROUND(AT104*AG104,2)*0),2)</f>
        <v>0</v>
      </c>
    </row>
    <row r="105" spans="1:107" x14ac:dyDescent="0.2">
      <c r="A105">
        <f>ROW(Source!A50)</f>
        <v>50</v>
      </c>
      <c r="B105">
        <v>68990560</v>
      </c>
      <c r="C105">
        <v>68990835</v>
      </c>
      <c r="D105">
        <v>37066837</v>
      </c>
      <c r="E105">
        <v>56</v>
      </c>
      <c r="F105">
        <v>1</v>
      </c>
      <c r="G105">
        <v>1</v>
      </c>
      <c r="H105">
        <v>1</v>
      </c>
      <c r="I105" t="s">
        <v>969</v>
      </c>
      <c r="J105" t="s">
        <v>3</v>
      </c>
      <c r="K105" t="s">
        <v>970</v>
      </c>
      <c r="L105">
        <v>1191</v>
      </c>
      <c r="N105">
        <v>1013</v>
      </c>
      <c r="O105" t="s">
        <v>818</v>
      </c>
      <c r="P105" t="s">
        <v>818</v>
      </c>
      <c r="Q105">
        <v>1</v>
      </c>
      <c r="W105">
        <v>0</v>
      </c>
      <c r="X105">
        <v>1850719656</v>
      </c>
      <c r="Y105">
        <v>178.25</v>
      </c>
      <c r="AA105">
        <v>0</v>
      </c>
      <c r="AB105">
        <v>0</v>
      </c>
      <c r="AC105">
        <v>0</v>
      </c>
      <c r="AD105">
        <v>8.31</v>
      </c>
      <c r="AE105">
        <v>0</v>
      </c>
      <c r="AF105">
        <v>0</v>
      </c>
      <c r="AG105">
        <v>0</v>
      </c>
      <c r="AH105">
        <v>8.31</v>
      </c>
      <c r="AI105">
        <v>1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3</v>
      </c>
      <c r="AT105">
        <v>155</v>
      </c>
      <c r="AU105" t="s">
        <v>38</v>
      </c>
      <c r="AV105">
        <v>1</v>
      </c>
      <c r="AW105">
        <v>2</v>
      </c>
      <c r="AX105">
        <v>68990842</v>
      </c>
      <c r="AY105">
        <v>1</v>
      </c>
      <c r="AZ105">
        <v>0</v>
      </c>
      <c r="BA105">
        <v>116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Y105*Source!I50</f>
        <v>0.37432499999999996</v>
      </c>
      <c r="CY105">
        <f>AD105</f>
        <v>8.31</v>
      </c>
      <c r="CZ105">
        <f>AH105</f>
        <v>8.31</v>
      </c>
      <c r="DA105">
        <f>AL105</f>
        <v>1</v>
      </c>
      <c r="DB105">
        <f t="shared" ref="DB105:DB110" si="27">ROUND((ROUND(AT105*CZ105,2)*1.15),2)</f>
        <v>1481.26</v>
      </c>
      <c r="DC105">
        <f t="shared" ref="DC105:DC110" si="28">ROUND((ROUND(AT105*AG105,2)*1.15),2)</f>
        <v>0</v>
      </c>
    </row>
    <row r="106" spans="1:107" x14ac:dyDescent="0.2">
      <c r="A106">
        <f>ROW(Source!A50)</f>
        <v>50</v>
      </c>
      <c r="B106">
        <v>68990560</v>
      </c>
      <c r="C106">
        <v>68990835</v>
      </c>
      <c r="D106">
        <v>37064876</v>
      </c>
      <c r="E106">
        <v>56</v>
      </c>
      <c r="F106">
        <v>1</v>
      </c>
      <c r="G106">
        <v>1</v>
      </c>
      <c r="H106">
        <v>1</v>
      </c>
      <c r="I106" t="s">
        <v>819</v>
      </c>
      <c r="J106" t="s">
        <v>3</v>
      </c>
      <c r="K106" t="s">
        <v>820</v>
      </c>
      <c r="L106">
        <v>1191</v>
      </c>
      <c r="N106">
        <v>1013</v>
      </c>
      <c r="O106" t="s">
        <v>818</v>
      </c>
      <c r="P106" t="s">
        <v>818</v>
      </c>
      <c r="Q106">
        <v>1</v>
      </c>
      <c r="W106">
        <v>0</v>
      </c>
      <c r="X106">
        <v>-1417349443</v>
      </c>
      <c r="Y106">
        <v>44.907499999999999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1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3</v>
      </c>
      <c r="AT106">
        <v>39.049999999999997</v>
      </c>
      <c r="AU106" t="s">
        <v>38</v>
      </c>
      <c r="AV106">
        <v>2</v>
      </c>
      <c r="AW106">
        <v>2</v>
      </c>
      <c r="AX106">
        <v>68990843</v>
      </c>
      <c r="AY106">
        <v>1</v>
      </c>
      <c r="AZ106">
        <v>2048</v>
      </c>
      <c r="BA106">
        <v>117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Y106*Source!I50</f>
        <v>9.4305749999999994E-2</v>
      </c>
      <c r="CY106">
        <f>AD106</f>
        <v>0</v>
      </c>
      <c r="CZ106">
        <f>AH106</f>
        <v>0</v>
      </c>
      <c r="DA106">
        <f>AL106</f>
        <v>1</v>
      </c>
      <c r="DB106">
        <f t="shared" si="27"/>
        <v>0</v>
      </c>
      <c r="DC106">
        <f t="shared" si="28"/>
        <v>0</v>
      </c>
    </row>
    <row r="107" spans="1:107" x14ac:dyDescent="0.2">
      <c r="A107">
        <f>ROW(Source!A50)</f>
        <v>50</v>
      </c>
      <c r="B107">
        <v>68990560</v>
      </c>
      <c r="C107">
        <v>68990835</v>
      </c>
      <c r="D107">
        <v>64401227</v>
      </c>
      <c r="E107">
        <v>1</v>
      </c>
      <c r="F107">
        <v>1</v>
      </c>
      <c r="G107">
        <v>1</v>
      </c>
      <c r="H107">
        <v>2</v>
      </c>
      <c r="I107" t="s">
        <v>971</v>
      </c>
      <c r="J107" t="s">
        <v>972</v>
      </c>
      <c r="K107" t="s">
        <v>973</v>
      </c>
      <c r="L107">
        <v>1368</v>
      </c>
      <c r="N107">
        <v>1011</v>
      </c>
      <c r="O107" t="s">
        <v>824</v>
      </c>
      <c r="P107" t="s">
        <v>824</v>
      </c>
      <c r="Q107">
        <v>1</v>
      </c>
      <c r="W107">
        <v>0</v>
      </c>
      <c r="X107">
        <v>523150352</v>
      </c>
      <c r="Y107">
        <v>1.7825</v>
      </c>
      <c r="AA107">
        <v>0</v>
      </c>
      <c r="AB107">
        <v>1394.82</v>
      </c>
      <c r="AC107">
        <v>454.28</v>
      </c>
      <c r="AD107">
        <v>0</v>
      </c>
      <c r="AE107">
        <v>0</v>
      </c>
      <c r="AF107">
        <v>123</v>
      </c>
      <c r="AG107">
        <v>13.5</v>
      </c>
      <c r="AH107">
        <v>0</v>
      </c>
      <c r="AI107">
        <v>1</v>
      </c>
      <c r="AJ107">
        <v>11.34</v>
      </c>
      <c r="AK107">
        <v>33.65</v>
      </c>
      <c r="AL107">
        <v>1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3</v>
      </c>
      <c r="AT107">
        <v>1.55</v>
      </c>
      <c r="AU107" t="s">
        <v>38</v>
      </c>
      <c r="AV107">
        <v>0</v>
      </c>
      <c r="AW107">
        <v>2</v>
      </c>
      <c r="AX107">
        <v>68990844</v>
      </c>
      <c r="AY107">
        <v>1</v>
      </c>
      <c r="AZ107">
        <v>0</v>
      </c>
      <c r="BA107">
        <v>118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Y107*Source!I50</f>
        <v>3.7432499999999996E-3</v>
      </c>
      <c r="CY107">
        <f>AB107</f>
        <v>1394.82</v>
      </c>
      <c r="CZ107">
        <f>AF107</f>
        <v>123</v>
      </c>
      <c r="DA107">
        <f>AJ107</f>
        <v>11.34</v>
      </c>
      <c r="DB107">
        <f t="shared" si="27"/>
        <v>219.25</v>
      </c>
      <c r="DC107">
        <f t="shared" si="28"/>
        <v>24.07</v>
      </c>
    </row>
    <row r="108" spans="1:107" x14ac:dyDescent="0.2">
      <c r="A108">
        <f>ROW(Source!A50)</f>
        <v>50</v>
      </c>
      <c r="B108">
        <v>68990560</v>
      </c>
      <c r="C108">
        <v>68990835</v>
      </c>
      <c r="D108">
        <v>64402586</v>
      </c>
      <c r="E108">
        <v>1</v>
      </c>
      <c r="F108">
        <v>1</v>
      </c>
      <c r="G108">
        <v>1</v>
      </c>
      <c r="H108">
        <v>2</v>
      </c>
      <c r="I108" t="s">
        <v>974</v>
      </c>
      <c r="J108" t="s">
        <v>975</v>
      </c>
      <c r="K108" t="s">
        <v>976</v>
      </c>
      <c r="L108">
        <v>1368</v>
      </c>
      <c r="N108">
        <v>1011</v>
      </c>
      <c r="O108" t="s">
        <v>824</v>
      </c>
      <c r="P108" t="s">
        <v>824</v>
      </c>
      <c r="Q108">
        <v>1</v>
      </c>
      <c r="W108">
        <v>0</v>
      </c>
      <c r="X108">
        <v>1186630576</v>
      </c>
      <c r="Y108">
        <v>1.4835</v>
      </c>
      <c r="AA108">
        <v>0</v>
      </c>
      <c r="AB108">
        <v>36.880000000000003</v>
      </c>
      <c r="AC108">
        <v>0</v>
      </c>
      <c r="AD108">
        <v>0</v>
      </c>
      <c r="AE108">
        <v>0</v>
      </c>
      <c r="AF108">
        <v>8</v>
      </c>
      <c r="AG108">
        <v>0</v>
      </c>
      <c r="AH108">
        <v>0</v>
      </c>
      <c r="AI108">
        <v>1</v>
      </c>
      <c r="AJ108">
        <v>4.6100000000000003</v>
      </c>
      <c r="AK108">
        <v>33.65</v>
      </c>
      <c r="AL108">
        <v>1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3</v>
      </c>
      <c r="AT108">
        <v>1.29</v>
      </c>
      <c r="AU108" t="s">
        <v>38</v>
      </c>
      <c r="AV108">
        <v>0</v>
      </c>
      <c r="AW108">
        <v>2</v>
      </c>
      <c r="AX108">
        <v>68990845</v>
      </c>
      <c r="AY108">
        <v>1</v>
      </c>
      <c r="AZ108">
        <v>2048</v>
      </c>
      <c r="BA108">
        <v>119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Y108*Source!I50</f>
        <v>3.1153499999999998E-3</v>
      </c>
      <c r="CY108">
        <f>AB108</f>
        <v>36.880000000000003</v>
      </c>
      <c r="CZ108">
        <f>AF108</f>
        <v>8</v>
      </c>
      <c r="DA108">
        <f>AJ108</f>
        <v>4.6100000000000003</v>
      </c>
      <c r="DB108">
        <f t="shared" si="27"/>
        <v>11.87</v>
      </c>
      <c r="DC108">
        <f t="shared" si="28"/>
        <v>0</v>
      </c>
    </row>
    <row r="109" spans="1:107" x14ac:dyDescent="0.2">
      <c r="A109">
        <f>ROW(Source!A50)</f>
        <v>50</v>
      </c>
      <c r="B109">
        <v>68990560</v>
      </c>
      <c r="C109">
        <v>68990835</v>
      </c>
      <c r="D109">
        <v>64402914</v>
      </c>
      <c r="E109">
        <v>1</v>
      </c>
      <c r="F109">
        <v>1</v>
      </c>
      <c r="G109">
        <v>1</v>
      </c>
      <c r="H109">
        <v>2</v>
      </c>
      <c r="I109" t="s">
        <v>977</v>
      </c>
      <c r="J109" t="s">
        <v>978</v>
      </c>
      <c r="K109" t="s">
        <v>979</v>
      </c>
      <c r="L109">
        <v>1368</v>
      </c>
      <c r="N109">
        <v>1011</v>
      </c>
      <c r="O109" t="s">
        <v>824</v>
      </c>
      <c r="P109" t="s">
        <v>824</v>
      </c>
      <c r="Q109">
        <v>1</v>
      </c>
      <c r="W109">
        <v>0</v>
      </c>
      <c r="X109">
        <v>-1182904986</v>
      </c>
      <c r="Y109">
        <v>43.125</v>
      </c>
      <c r="AA109">
        <v>0</v>
      </c>
      <c r="AB109">
        <v>733.5</v>
      </c>
      <c r="AC109">
        <v>338.52</v>
      </c>
      <c r="AD109">
        <v>0</v>
      </c>
      <c r="AE109">
        <v>0</v>
      </c>
      <c r="AF109">
        <v>90</v>
      </c>
      <c r="AG109">
        <v>10.06</v>
      </c>
      <c r="AH109">
        <v>0</v>
      </c>
      <c r="AI109">
        <v>1</v>
      </c>
      <c r="AJ109">
        <v>8.15</v>
      </c>
      <c r="AK109">
        <v>33.65</v>
      </c>
      <c r="AL109">
        <v>1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3</v>
      </c>
      <c r="AT109">
        <v>37.5</v>
      </c>
      <c r="AU109" t="s">
        <v>38</v>
      </c>
      <c r="AV109">
        <v>0</v>
      </c>
      <c r="AW109">
        <v>2</v>
      </c>
      <c r="AX109">
        <v>68990846</v>
      </c>
      <c r="AY109">
        <v>1</v>
      </c>
      <c r="AZ109">
        <v>0</v>
      </c>
      <c r="BA109">
        <v>120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Y109*Source!I50</f>
        <v>9.056249999999999E-2</v>
      </c>
      <c r="CY109">
        <f>AB109</f>
        <v>733.5</v>
      </c>
      <c r="CZ109">
        <f>AF109</f>
        <v>90</v>
      </c>
      <c r="DA109">
        <f>AJ109</f>
        <v>8.15</v>
      </c>
      <c r="DB109">
        <f t="shared" si="27"/>
        <v>3881.25</v>
      </c>
      <c r="DC109">
        <f t="shared" si="28"/>
        <v>433.84</v>
      </c>
    </row>
    <row r="110" spans="1:107" x14ac:dyDescent="0.2">
      <c r="A110">
        <f>ROW(Source!A50)</f>
        <v>50</v>
      </c>
      <c r="B110">
        <v>68990560</v>
      </c>
      <c r="C110">
        <v>68990835</v>
      </c>
      <c r="D110">
        <v>64403375</v>
      </c>
      <c r="E110">
        <v>1</v>
      </c>
      <c r="F110">
        <v>1</v>
      </c>
      <c r="G110">
        <v>1</v>
      </c>
      <c r="H110">
        <v>2</v>
      </c>
      <c r="I110" t="s">
        <v>889</v>
      </c>
      <c r="J110" t="s">
        <v>890</v>
      </c>
      <c r="K110" t="s">
        <v>891</v>
      </c>
      <c r="L110">
        <v>1368</v>
      </c>
      <c r="N110">
        <v>1011</v>
      </c>
      <c r="O110" t="s">
        <v>824</v>
      </c>
      <c r="P110" t="s">
        <v>824</v>
      </c>
      <c r="Q110">
        <v>1</v>
      </c>
      <c r="W110">
        <v>0</v>
      </c>
      <c r="X110">
        <v>1943608298</v>
      </c>
      <c r="Y110">
        <v>86.25</v>
      </c>
      <c r="AA110">
        <v>0</v>
      </c>
      <c r="AB110">
        <v>5.75</v>
      </c>
      <c r="AC110">
        <v>0</v>
      </c>
      <c r="AD110">
        <v>0</v>
      </c>
      <c r="AE110">
        <v>0</v>
      </c>
      <c r="AF110">
        <v>1.53</v>
      </c>
      <c r="AG110">
        <v>0</v>
      </c>
      <c r="AH110">
        <v>0</v>
      </c>
      <c r="AI110">
        <v>1</v>
      </c>
      <c r="AJ110">
        <v>3.76</v>
      </c>
      <c r="AK110">
        <v>33.65</v>
      </c>
      <c r="AL110">
        <v>1</v>
      </c>
      <c r="AN110">
        <v>0</v>
      </c>
      <c r="AO110">
        <v>1</v>
      </c>
      <c r="AP110">
        <v>1</v>
      </c>
      <c r="AQ110">
        <v>0</v>
      </c>
      <c r="AR110">
        <v>0</v>
      </c>
      <c r="AS110" t="s">
        <v>3</v>
      </c>
      <c r="AT110">
        <v>75</v>
      </c>
      <c r="AU110" t="s">
        <v>38</v>
      </c>
      <c r="AV110">
        <v>0</v>
      </c>
      <c r="AW110">
        <v>2</v>
      </c>
      <c r="AX110">
        <v>68990847</v>
      </c>
      <c r="AY110">
        <v>1</v>
      </c>
      <c r="AZ110">
        <v>0</v>
      </c>
      <c r="BA110">
        <v>121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Y110*Source!I50</f>
        <v>0.18112499999999998</v>
      </c>
      <c r="CY110">
        <f>AB110</f>
        <v>5.75</v>
      </c>
      <c r="CZ110">
        <f>AF110</f>
        <v>1.53</v>
      </c>
      <c r="DA110">
        <f>AJ110</f>
        <v>3.76</v>
      </c>
      <c r="DB110">
        <f t="shared" si="27"/>
        <v>131.96</v>
      </c>
      <c r="DC110">
        <f t="shared" si="28"/>
        <v>0</v>
      </c>
    </row>
    <row r="111" spans="1:107" x14ac:dyDescent="0.2">
      <c r="A111">
        <f>ROW(Source!A52)</f>
        <v>52</v>
      </c>
      <c r="B111">
        <v>68990560</v>
      </c>
      <c r="C111">
        <v>68991082</v>
      </c>
      <c r="D111">
        <v>64240937</v>
      </c>
      <c r="E111">
        <v>56</v>
      </c>
      <c r="F111">
        <v>1</v>
      </c>
      <c r="G111">
        <v>1</v>
      </c>
      <c r="H111">
        <v>1</v>
      </c>
      <c r="I111" t="s">
        <v>892</v>
      </c>
      <c r="J111" t="s">
        <v>3</v>
      </c>
      <c r="K111" t="s">
        <v>893</v>
      </c>
      <c r="L111">
        <v>1191</v>
      </c>
      <c r="N111">
        <v>1013</v>
      </c>
      <c r="O111" t="s">
        <v>818</v>
      </c>
      <c r="P111" t="s">
        <v>818</v>
      </c>
      <c r="Q111">
        <v>1</v>
      </c>
      <c r="W111">
        <v>0</v>
      </c>
      <c r="X111">
        <v>735429535</v>
      </c>
      <c r="Y111">
        <v>239.08500000000001</v>
      </c>
      <c r="AA111">
        <v>0</v>
      </c>
      <c r="AB111">
        <v>0</v>
      </c>
      <c r="AC111">
        <v>0</v>
      </c>
      <c r="AD111">
        <v>7.8</v>
      </c>
      <c r="AE111">
        <v>0</v>
      </c>
      <c r="AF111">
        <v>0</v>
      </c>
      <c r="AG111">
        <v>0</v>
      </c>
      <c r="AH111">
        <v>7.8</v>
      </c>
      <c r="AI111">
        <v>1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3</v>
      </c>
      <c r="AT111">
        <v>154</v>
      </c>
      <c r="AU111" t="s">
        <v>147</v>
      </c>
      <c r="AV111">
        <v>1</v>
      </c>
      <c r="AW111">
        <v>2</v>
      </c>
      <c r="AX111">
        <v>68991083</v>
      </c>
      <c r="AY111">
        <v>1</v>
      </c>
      <c r="AZ111">
        <v>0</v>
      </c>
      <c r="BA111">
        <v>122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Y111*Source!I52</f>
        <v>1.004157</v>
      </c>
      <c r="CY111">
        <f>AD111</f>
        <v>7.8</v>
      </c>
      <c r="CZ111">
        <f>AH111</f>
        <v>7.8</v>
      </c>
      <c r="DA111">
        <f>AL111</f>
        <v>1</v>
      </c>
      <c r="DB111">
        <f>ROUND(((ROUND(AT111*CZ111,2)*1.15)*1.35),2)</f>
        <v>1864.86</v>
      </c>
      <c r="DC111">
        <f>ROUND(((ROUND(AT111*AG111,2)*1.15)*1.35),2)</f>
        <v>0</v>
      </c>
    </row>
    <row r="112" spans="1:107" x14ac:dyDescent="0.2">
      <c r="A112">
        <f>ROW(Source!A53)</f>
        <v>53</v>
      </c>
      <c r="B112">
        <v>68990560</v>
      </c>
      <c r="C112">
        <v>68991084</v>
      </c>
      <c r="D112">
        <v>64240991</v>
      </c>
      <c r="E112">
        <v>56</v>
      </c>
      <c r="F112">
        <v>1</v>
      </c>
      <c r="G112">
        <v>1</v>
      </c>
      <c r="H112">
        <v>1</v>
      </c>
      <c r="I112" t="s">
        <v>980</v>
      </c>
      <c r="J112" t="s">
        <v>3</v>
      </c>
      <c r="K112" t="s">
        <v>981</v>
      </c>
      <c r="L112">
        <v>1191</v>
      </c>
      <c r="N112">
        <v>1013</v>
      </c>
      <c r="O112" t="s">
        <v>818</v>
      </c>
      <c r="P112" t="s">
        <v>818</v>
      </c>
      <c r="Q112">
        <v>1</v>
      </c>
      <c r="W112">
        <v>0</v>
      </c>
      <c r="X112">
        <v>145020957</v>
      </c>
      <c r="Y112">
        <v>223.56</v>
      </c>
      <c r="AA112">
        <v>0</v>
      </c>
      <c r="AB112">
        <v>0</v>
      </c>
      <c r="AC112">
        <v>0</v>
      </c>
      <c r="AD112">
        <v>9.07</v>
      </c>
      <c r="AE112">
        <v>0</v>
      </c>
      <c r="AF112">
        <v>0</v>
      </c>
      <c r="AG112">
        <v>0</v>
      </c>
      <c r="AH112">
        <v>9.07</v>
      </c>
      <c r="AI112">
        <v>1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1</v>
      </c>
      <c r="AQ112">
        <v>0</v>
      </c>
      <c r="AR112">
        <v>0</v>
      </c>
      <c r="AS112" t="s">
        <v>3</v>
      </c>
      <c r="AT112">
        <v>144</v>
      </c>
      <c r="AU112" t="s">
        <v>147</v>
      </c>
      <c r="AV112">
        <v>1</v>
      </c>
      <c r="AW112">
        <v>2</v>
      </c>
      <c r="AX112">
        <v>68991120</v>
      </c>
      <c r="AY112">
        <v>1</v>
      </c>
      <c r="AZ112">
        <v>0</v>
      </c>
      <c r="BA112">
        <v>123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Y112*Source!I53</f>
        <v>46.947600000000001</v>
      </c>
      <c r="CY112">
        <f>AD112</f>
        <v>9.07</v>
      </c>
      <c r="CZ112">
        <f>AH112</f>
        <v>9.07</v>
      </c>
      <c r="DA112">
        <f>AL112</f>
        <v>1</v>
      </c>
      <c r="DB112">
        <f>ROUND(((ROUND(AT112*CZ112,2)*1.15)*1.35),2)</f>
        <v>2027.69</v>
      </c>
      <c r="DC112">
        <f>ROUND(((ROUND(AT112*AG112,2)*1.15)*1.35),2)</f>
        <v>0</v>
      </c>
    </row>
    <row r="113" spans="1:107" x14ac:dyDescent="0.2">
      <c r="A113">
        <f>ROW(Source!A53)</f>
        <v>53</v>
      </c>
      <c r="B113">
        <v>68990560</v>
      </c>
      <c r="C113">
        <v>68991084</v>
      </c>
      <c r="D113">
        <v>64241154</v>
      </c>
      <c r="E113">
        <v>56</v>
      </c>
      <c r="F113">
        <v>1</v>
      </c>
      <c r="G113">
        <v>1</v>
      </c>
      <c r="H113">
        <v>1</v>
      </c>
      <c r="I113" t="s">
        <v>819</v>
      </c>
      <c r="J113" t="s">
        <v>3</v>
      </c>
      <c r="K113" t="s">
        <v>820</v>
      </c>
      <c r="L113">
        <v>1191</v>
      </c>
      <c r="N113">
        <v>1013</v>
      </c>
      <c r="O113" t="s">
        <v>818</v>
      </c>
      <c r="P113" t="s">
        <v>818</v>
      </c>
      <c r="Q113">
        <v>1</v>
      </c>
      <c r="W113">
        <v>0</v>
      </c>
      <c r="X113">
        <v>-1417349443</v>
      </c>
      <c r="Y113">
        <v>2.26125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1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3</v>
      </c>
      <c r="AT113">
        <v>1.34</v>
      </c>
      <c r="AU113" t="s">
        <v>146</v>
      </c>
      <c r="AV113">
        <v>2</v>
      </c>
      <c r="AW113">
        <v>2</v>
      </c>
      <c r="AX113">
        <v>68991121</v>
      </c>
      <c r="AY113">
        <v>1</v>
      </c>
      <c r="AZ113">
        <v>2048</v>
      </c>
      <c r="BA113">
        <v>124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Y113*Source!I53</f>
        <v>0.47486249999999997</v>
      </c>
      <c r="CY113">
        <f>AD113</f>
        <v>0</v>
      </c>
      <c r="CZ113">
        <f>AH113</f>
        <v>0</v>
      </c>
      <c r="DA113">
        <f>AL113</f>
        <v>1</v>
      </c>
      <c r="DB113">
        <f>ROUND(((ROUND(AT113*CZ113,2)*1.25)*1.35),2)</f>
        <v>0</v>
      </c>
      <c r="DC113">
        <f>ROUND(((ROUND(AT113*AG113,2)*1.25)*1.35),2)</f>
        <v>0</v>
      </c>
    </row>
    <row r="114" spans="1:107" x14ac:dyDescent="0.2">
      <c r="A114">
        <f>ROW(Source!A53)</f>
        <v>53</v>
      </c>
      <c r="B114">
        <v>68990560</v>
      </c>
      <c r="C114">
        <v>68991084</v>
      </c>
      <c r="D114">
        <v>64401763</v>
      </c>
      <c r="E114">
        <v>1</v>
      </c>
      <c r="F114">
        <v>1</v>
      </c>
      <c r="G114">
        <v>1</v>
      </c>
      <c r="H114">
        <v>2</v>
      </c>
      <c r="I114" t="s">
        <v>821</v>
      </c>
      <c r="J114" t="s">
        <v>822</v>
      </c>
      <c r="K114" t="s">
        <v>823</v>
      </c>
      <c r="L114">
        <v>1368</v>
      </c>
      <c r="N114">
        <v>1011</v>
      </c>
      <c r="O114" t="s">
        <v>824</v>
      </c>
      <c r="P114" t="s">
        <v>824</v>
      </c>
      <c r="Q114">
        <v>1</v>
      </c>
      <c r="W114">
        <v>0</v>
      </c>
      <c r="X114">
        <v>-1346461524</v>
      </c>
      <c r="Y114">
        <v>1.6031249999999999</v>
      </c>
      <c r="AA114">
        <v>0</v>
      </c>
      <c r="AB114">
        <v>1074.3699999999999</v>
      </c>
      <c r="AC114">
        <v>454.28</v>
      </c>
      <c r="AD114">
        <v>0</v>
      </c>
      <c r="AE114">
        <v>0</v>
      </c>
      <c r="AF114">
        <v>115.4</v>
      </c>
      <c r="AG114">
        <v>13.5</v>
      </c>
      <c r="AH114">
        <v>0</v>
      </c>
      <c r="AI114">
        <v>1</v>
      </c>
      <c r="AJ114">
        <v>9.31</v>
      </c>
      <c r="AK114">
        <v>33.65</v>
      </c>
      <c r="AL114">
        <v>1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3</v>
      </c>
      <c r="AT114">
        <v>0.95</v>
      </c>
      <c r="AU114" t="s">
        <v>146</v>
      </c>
      <c r="AV114">
        <v>0</v>
      </c>
      <c r="AW114">
        <v>2</v>
      </c>
      <c r="AX114">
        <v>68991122</v>
      </c>
      <c r="AY114">
        <v>1</v>
      </c>
      <c r="AZ114">
        <v>2048</v>
      </c>
      <c r="BA114">
        <v>125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Y114*Source!I53</f>
        <v>0.33665624999999999</v>
      </c>
      <c r="CY114">
        <f>AB114</f>
        <v>1074.3699999999999</v>
      </c>
      <c r="CZ114">
        <f>AF114</f>
        <v>115.4</v>
      </c>
      <c r="DA114">
        <f>AJ114</f>
        <v>9.31</v>
      </c>
      <c r="DB114">
        <f>ROUND(((ROUND(AT114*CZ114,2)*1.25)*1.35),2)</f>
        <v>185</v>
      </c>
      <c r="DC114">
        <f>ROUND(((ROUND(AT114*AG114,2)*1.25)*1.35),2)</f>
        <v>21.65</v>
      </c>
    </row>
    <row r="115" spans="1:107" x14ac:dyDescent="0.2">
      <c r="A115">
        <f>ROW(Source!A53)</f>
        <v>53</v>
      </c>
      <c r="B115">
        <v>68990560</v>
      </c>
      <c r="C115">
        <v>68991084</v>
      </c>
      <c r="D115">
        <v>64402691</v>
      </c>
      <c r="E115">
        <v>1</v>
      </c>
      <c r="F115">
        <v>1</v>
      </c>
      <c r="G115">
        <v>1</v>
      </c>
      <c r="H115">
        <v>2</v>
      </c>
      <c r="I115" t="s">
        <v>825</v>
      </c>
      <c r="J115" t="s">
        <v>826</v>
      </c>
      <c r="K115" t="s">
        <v>827</v>
      </c>
      <c r="L115">
        <v>1368</v>
      </c>
      <c r="N115">
        <v>1011</v>
      </c>
      <c r="O115" t="s">
        <v>824</v>
      </c>
      <c r="P115" t="s">
        <v>824</v>
      </c>
      <c r="Q115">
        <v>1</v>
      </c>
      <c r="W115">
        <v>0</v>
      </c>
      <c r="X115">
        <v>-841254546</v>
      </c>
      <c r="Y115">
        <v>0.65812499999999996</v>
      </c>
      <c r="AA115">
        <v>0</v>
      </c>
      <c r="AB115">
        <v>776.04</v>
      </c>
      <c r="AC115">
        <v>390.34</v>
      </c>
      <c r="AD115">
        <v>0</v>
      </c>
      <c r="AE115">
        <v>0</v>
      </c>
      <c r="AF115">
        <v>65.709999999999994</v>
      </c>
      <c r="AG115">
        <v>11.6</v>
      </c>
      <c r="AH115">
        <v>0</v>
      </c>
      <c r="AI115">
        <v>1</v>
      </c>
      <c r="AJ115">
        <v>11.81</v>
      </c>
      <c r="AK115">
        <v>33.65</v>
      </c>
      <c r="AL115">
        <v>1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3</v>
      </c>
      <c r="AT115">
        <v>0.39</v>
      </c>
      <c r="AU115" t="s">
        <v>146</v>
      </c>
      <c r="AV115">
        <v>0</v>
      </c>
      <c r="AW115">
        <v>2</v>
      </c>
      <c r="AX115">
        <v>68991123</v>
      </c>
      <c r="AY115">
        <v>1</v>
      </c>
      <c r="AZ115">
        <v>2048</v>
      </c>
      <c r="BA115">
        <v>126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Y115*Source!I53</f>
        <v>0.13820624999999997</v>
      </c>
      <c r="CY115">
        <f>AB115</f>
        <v>776.04</v>
      </c>
      <c r="CZ115">
        <f>AF115</f>
        <v>65.709999999999994</v>
      </c>
      <c r="DA115">
        <f>AJ115</f>
        <v>11.81</v>
      </c>
      <c r="DB115">
        <f>ROUND(((ROUND(AT115*CZ115,2)*1.25)*1.35),2)</f>
        <v>43.25</v>
      </c>
      <c r="DC115">
        <f>ROUND(((ROUND(AT115*AG115,2)*1.25)*1.35),2)</f>
        <v>7.63</v>
      </c>
    </row>
    <row r="116" spans="1:107" x14ac:dyDescent="0.2">
      <c r="A116">
        <f>ROW(Source!A53)</f>
        <v>53</v>
      </c>
      <c r="B116">
        <v>68990560</v>
      </c>
      <c r="C116">
        <v>68991084</v>
      </c>
      <c r="D116">
        <v>64403389</v>
      </c>
      <c r="E116">
        <v>1</v>
      </c>
      <c r="F116">
        <v>1</v>
      </c>
      <c r="G116">
        <v>1</v>
      </c>
      <c r="H116">
        <v>2</v>
      </c>
      <c r="I116" t="s">
        <v>982</v>
      </c>
      <c r="J116" t="s">
        <v>983</v>
      </c>
      <c r="K116" t="s">
        <v>984</v>
      </c>
      <c r="L116">
        <v>1368</v>
      </c>
      <c r="N116">
        <v>1011</v>
      </c>
      <c r="O116" t="s">
        <v>824</v>
      </c>
      <c r="P116" t="s">
        <v>824</v>
      </c>
      <c r="Q116">
        <v>1</v>
      </c>
      <c r="W116">
        <v>0</v>
      </c>
      <c r="X116">
        <v>92773774</v>
      </c>
      <c r="Y116">
        <v>0.16875000000000001</v>
      </c>
      <c r="AA116">
        <v>0</v>
      </c>
      <c r="AB116">
        <v>18.47</v>
      </c>
      <c r="AC116">
        <v>0</v>
      </c>
      <c r="AD116">
        <v>0</v>
      </c>
      <c r="AE116">
        <v>0</v>
      </c>
      <c r="AF116">
        <v>33.590000000000003</v>
      </c>
      <c r="AG116">
        <v>0</v>
      </c>
      <c r="AH116">
        <v>0</v>
      </c>
      <c r="AI116">
        <v>1</v>
      </c>
      <c r="AJ116">
        <v>0.55000000000000004</v>
      </c>
      <c r="AK116">
        <v>33.65</v>
      </c>
      <c r="AL116">
        <v>1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3</v>
      </c>
      <c r="AT116">
        <v>0.1</v>
      </c>
      <c r="AU116" t="s">
        <v>146</v>
      </c>
      <c r="AV116">
        <v>0</v>
      </c>
      <c r="AW116">
        <v>2</v>
      </c>
      <c r="AX116">
        <v>68991124</v>
      </c>
      <c r="AY116">
        <v>1</v>
      </c>
      <c r="AZ116">
        <v>0</v>
      </c>
      <c r="BA116">
        <v>127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Y116*Source!I53</f>
        <v>3.5437500000000004E-2</v>
      </c>
      <c r="CY116">
        <f>AB116</f>
        <v>18.47</v>
      </c>
      <c r="CZ116">
        <f>AF116</f>
        <v>33.590000000000003</v>
      </c>
      <c r="DA116">
        <f>AJ116</f>
        <v>0.55000000000000004</v>
      </c>
      <c r="DB116">
        <f>ROUND(((ROUND(AT116*CZ116,2)*1.25)*1.35),2)</f>
        <v>5.67</v>
      </c>
      <c r="DC116">
        <f>ROUND(((ROUND(AT116*AG116,2)*1.25)*1.35),2)</f>
        <v>0</v>
      </c>
    </row>
    <row r="117" spans="1:107" x14ac:dyDescent="0.2">
      <c r="A117">
        <f>ROW(Source!A53)</f>
        <v>53</v>
      </c>
      <c r="B117">
        <v>68990560</v>
      </c>
      <c r="C117">
        <v>68991084</v>
      </c>
      <c r="D117">
        <v>64252235</v>
      </c>
      <c r="E117">
        <v>1</v>
      </c>
      <c r="F117">
        <v>1</v>
      </c>
      <c r="G117">
        <v>1</v>
      </c>
      <c r="H117">
        <v>3</v>
      </c>
      <c r="I117" t="s">
        <v>985</v>
      </c>
      <c r="J117" t="s">
        <v>986</v>
      </c>
      <c r="K117" t="s">
        <v>987</v>
      </c>
      <c r="L117">
        <v>1327</v>
      </c>
      <c r="N117">
        <v>1005</v>
      </c>
      <c r="O117" t="s">
        <v>46</v>
      </c>
      <c r="P117" t="s">
        <v>46</v>
      </c>
      <c r="Q117">
        <v>1</v>
      </c>
      <c r="W117">
        <v>0</v>
      </c>
      <c r="X117">
        <v>-758334591</v>
      </c>
      <c r="Y117">
        <v>421</v>
      </c>
      <c r="AA117">
        <v>151.94</v>
      </c>
      <c r="AB117">
        <v>0</v>
      </c>
      <c r="AC117">
        <v>0</v>
      </c>
      <c r="AD117">
        <v>0</v>
      </c>
      <c r="AE117">
        <v>23.52</v>
      </c>
      <c r="AF117">
        <v>0</v>
      </c>
      <c r="AG117">
        <v>0</v>
      </c>
      <c r="AH117">
        <v>0</v>
      </c>
      <c r="AI117">
        <v>6.46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3</v>
      </c>
      <c r="AT117">
        <v>421</v>
      </c>
      <c r="AU117" t="s">
        <v>3</v>
      </c>
      <c r="AV117">
        <v>0</v>
      </c>
      <c r="AW117">
        <v>2</v>
      </c>
      <c r="AX117">
        <v>68991125</v>
      </c>
      <c r="AY117">
        <v>1</v>
      </c>
      <c r="AZ117">
        <v>0</v>
      </c>
      <c r="BA117">
        <v>128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Y117*Source!I53</f>
        <v>88.41</v>
      </c>
      <c r="CY117">
        <f t="shared" ref="CY117:CY129" si="29">AA117</f>
        <v>151.94</v>
      </c>
      <c r="CZ117">
        <f t="shared" ref="CZ117:CZ129" si="30">AE117</f>
        <v>23.52</v>
      </c>
      <c r="DA117">
        <f t="shared" ref="DA117:DA129" si="31">AI117</f>
        <v>6.46</v>
      </c>
      <c r="DB117">
        <f t="shared" ref="DB117:DB129" si="32">ROUND(ROUND(AT117*CZ117,2),2)</f>
        <v>9901.92</v>
      </c>
      <c r="DC117">
        <f t="shared" ref="DC117:DC129" si="33">ROUND(ROUND(AT117*AG117,2),2)</f>
        <v>0</v>
      </c>
    </row>
    <row r="118" spans="1:107" x14ac:dyDescent="0.2">
      <c r="A118">
        <f>ROW(Source!A53)</f>
        <v>53</v>
      </c>
      <c r="B118">
        <v>68990560</v>
      </c>
      <c r="C118">
        <v>68991084</v>
      </c>
      <c r="D118">
        <v>64252759</v>
      </c>
      <c r="E118">
        <v>1</v>
      </c>
      <c r="F118">
        <v>1</v>
      </c>
      <c r="G118">
        <v>1</v>
      </c>
      <c r="H118">
        <v>3</v>
      </c>
      <c r="I118" t="s">
        <v>988</v>
      </c>
      <c r="J118" t="s">
        <v>989</v>
      </c>
      <c r="K118" t="s">
        <v>990</v>
      </c>
      <c r="L118">
        <v>1339</v>
      </c>
      <c r="N118">
        <v>1007</v>
      </c>
      <c r="O118" t="s">
        <v>113</v>
      </c>
      <c r="P118" t="s">
        <v>113</v>
      </c>
      <c r="Q118">
        <v>1</v>
      </c>
      <c r="W118">
        <v>0</v>
      </c>
      <c r="X118">
        <v>-1161832183</v>
      </c>
      <c r="Y118">
        <v>0.14299999999999999</v>
      </c>
      <c r="AA118">
        <v>31.18</v>
      </c>
      <c r="AB118">
        <v>0</v>
      </c>
      <c r="AC118">
        <v>0</v>
      </c>
      <c r="AD118">
        <v>0</v>
      </c>
      <c r="AE118">
        <v>2.44</v>
      </c>
      <c r="AF118">
        <v>0</v>
      </c>
      <c r="AG118">
        <v>0</v>
      </c>
      <c r="AH118">
        <v>0</v>
      </c>
      <c r="AI118">
        <v>12.78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3</v>
      </c>
      <c r="AT118">
        <v>0.14299999999999999</v>
      </c>
      <c r="AU118" t="s">
        <v>3</v>
      </c>
      <c r="AV118">
        <v>0</v>
      </c>
      <c r="AW118">
        <v>2</v>
      </c>
      <c r="AX118">
        <v>68991126</v>
      </c>
      <c r="AY118">
        <v>1</v>
      </c>
      <c r="AZ118">
        <v>0</v>
      </c>
      <c r="BA118">
        <v>129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Y118*Source!I53</f>
        <v>3.0029999999999998E-2</v>
      </c>
      <c r="CY118">
        <f t="shared" si="29"/>
        <v>31.18</v>
      </c>
      <c r="CZ118">
        <f t="shared" si="30"/>
        <v>2.44</v>
      </c>
      <c r="DA118">
        <f t="shared" si="31"/>
        <v>12.78</v>
      </c>
      <c r="DB118">
        <f t="shared" si="32"/>
        <v>0.35</v>
      </c>
      <c r="DC118">
        <f t="shared" si="33"/>
        <v>0</v>
      </c>
    </row>
    <row r="119" spans="1:107" x14ac:dyDescent="0.2">
      <c r="A119">
        <f>ROW(Source!A53)</f>
        <v>53</v>
      </c>
      <c r="B119">
        <v>68990560</v>
      </c>
      <c r="C119">
        <v>68991084</v>
      </c>
      <c r="D119">
        <v>64253001</v>
      </c>
      <c r="E119">
        <v>1</v>
      </c>
      <c r="F119">
        <v>1</v>
      </c>
      <c r="G119">
        <v>1</v>
      </c>
      <c r="H119">
        <v>3</v>
      </c>
      <c r="I119" t="s">
        <v>991</v>
      </c>
      <c r="J119" t="s">
        <v>992</v>
      </c>
      <c r="K119" t="s">
        <v>993</v>
      </c>
      <c r="L119">
        <v>1301</v>
      </c>
      <c r="N119">
        <v>1003</v>
      </c>
      <c r="O119" t="s">
        <v>379</v>
      </c>
      <c r="P119" t="s">
        <v>379</v>
      </c>
      <c r="Q119">
        <v>1</v>
      </c>
      <c r="W119">
        <v>0</v>
      </c>
      <c r="X119">
        <v>912015211</v>
      </c>
      <c r="Y119">
        <v>126</v>
      </c>
      <c r="AA119">
        <v>6.02</v>
      </c>
      <c r="AB119">
        <v>0</v>
      </c>
      <c r="AC119">
        <v>0</v>
      </c>
      <c r="AD119">
        <v>0</v>
      </c>
      <c r="AE119">
        <v>0.6</v>
      </c>
      <c r="AF119">
        <v>0</v>
      </c>
      <c r="AG119">
        <v>0</v>
      </c>
      <c r="AH119">
        <v>0</v>
      </c>
      <c r="AI119">
        <v>10.029999999999999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3</v>
      </c>
      <c r="AT119">
        <v>126</v>
      </c>
      <c r="AU119" t="s">
        <v>3</v>
      </c>
      <c r="AV119">
        <v>0</v>
      </c>
      <c r="AW119">
        <v>2</v>
      </c>
      <c r="AX119">
        <v>68991127</v>
      </c>
      <c r="AY119">
        <v>1</v>
      </c>
      <c r="AZ119">
        <v>0</v>
      </c>
      <c r="BA119">
        <v>130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Y119*Source!I53</f>
        <v>26.459999999999997</v>
      </c>
      <c r="CY119">
        <f t="shared" si="29"/>
        <v>6.02</v>
      </c>
      <c r="CZ119">
        <f t="shared" si="30"/>
        <v>0.6</v>
      </c>
      <c r="DA119">
        <f t="shared" si="31"/>
        <v>10.029999999999999</v>
      </c>
      <c r="DB119">
        <f t="shared" si="32"/>
        <v>75.599999999999994</v>
      </c>
      <c r="DC119">
        <f t="shared" si="33"/>
        <v>0</v>
      </c>
    </row>
    <row r="120" spans="1:107" x14ac:dyDescent="0.2">
      <c r="A120">
        <f>ROW(Source!A53)</f>
        <v>53</v>
      </c>
      <c r="B120">
        <v>68990560</v>
      </c>
      <c r="C120">
        <v>68991084</v>
      </c>
      <c r="D120">
        <v>64253029</v>
      </c>
      <c r="E120">
        <v>1</v>
      </c>
      <c r="F120">
        <v>1</v>
      </c>
      <c r="G120">
        <v>1</v>
      </c>
      <c r="H120">
        <v>3</v>
      </c>
      <c r="I120" t="s">
        <v>994</v>
      </c>
      <c r="J120" t="s">
        <v>995</v>
      </c>
      <c r="K120" t="s">
        <v>996</v>
      </c>
      <c r="L120">
        <v>1301</v>
      </c>
      <c r="N120">
        <v>1003</v>
      </c>
      <c r="O120" t="s">
        <v>379</v>
      </c>
      <c r="P120" t="s">
        <v>379</v>
      </c>
      <c r="Q120">
        <v>1</v>
      </c>
      <c r="W120">
        <v>0</v>
      </c>
      <c r="X120">
        <v>-401185543</v>
      </c>
      <c r="Y120">
        <v>227</v>
      </c>
      <c r="AA120">
        <v>1.2</v>
      </c>
      <c r="AB120">
        <v>0</v>
      </c>
      <c r="AC120">
        <v>0</v>
      </c>
      <c r="AD120">
        <v>0</v>
      </c>
      <c r="AE120">
        <v>0.17</v>
      </c>
      <c r="AF120">
        <v>0</v>
      </c>
      <c r="AG120">
        <v>0</v>
      </c>
      <c r="AH120">
        <v>0</v>
      </c>
      <c r="AI120">
        <v>7.06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3</v>
      </c>
      <c r="AT120">
        <v>227</v>
      </c>
      <c r="AU120" t="s">
        <v>3</v>
      </c>
      <c r="AV120">
        <v>0</v>
      </c>
      <c r="AW120">
        <v>2</v>
      </c>
      <c r="AX120">
        <v>68991128</v>
      </c>
      <c r="AY120">
        <v>1</v>
      </c>
      <c r="AZ120">
        <v>0</v>
      </c>
      <c r="BA120">
        <v>131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Y120*Source!I53</f>
        <v>47.67</v>
      </c>
      <c r="CY120">
        <f t="shared" si="29"/>
        <v>1.2</v>
      </c>
      <c r="CZ120">
        <f t="shared" si="30"/>
        <v>0.17</v>
      </c>
      <c r="DA120">
        <f t="shared" si="31"/>
        <v>7.06</v>
      </c>
      <c r="DB120">
        <f t="shared" si="32"/>
        <v>38.590000000000003</v>
      </c>
      <c r="DC120">
        <f t="shared" si="33"/>
        <v>0</v>
      </c>
    </row>
    <row r="121" spans="1:107" x14ac:dyDescent="0.2">
      <c r="A121">
        <f>ROW(Source!A53)</f>
        <v>53</v>
      </c>
      <c r="B121">
        <v>68990560</v>
      </c>
      <c r="C121">
        <v>68991084</v>
      </c>
      <c r="D121">
        <v>64253034</v>
      </c>
      <c r="E121">
        <v>1</v>
      </c>
      <c r="F121">
        <v>1</v>
      </c>
      <c r="G121">
        <v>1</v>
      </c>
      <c r="H121">
        <v>3</v>
      </c>
      <c r="I121" t="s">
        <v>997</v>
      </c>
      <c r="J121" t="s">
        <v>998</v>
      </c>
      <c r="K121" t="s">
        <v>999</v>
      </c>
      <c r="L121">
        <v>1308</v>
      </c>
      <c r="N121">
        <v>1003</v>
      </c>
      <c r="O121" t="s">
        <v>90</v>
      </c>
      <c r="P121" t="s">
        <v>90</v>
      </c>
      <c r="Q121">
        <v>100</v>
      </c>
      <c r="W121">
        <v>0</v>
      </c>
      <c r="X121">
        <v>1006155004</v>
      </c>
      <c r="Y121">
        <v>1.77</v>
      </c>
      <c r="AA121">
        <v>1314.8</v>
      </c>
      <c r="AB121">
        <v>0</v>
      </c>
      <c r="AC121">
        <v>0</v>
      </c>
      <c r="AD121">
        <v>0</v>
      </c>
      <c r="AE121">
        <v>173</v>
      </c>
      <c r="AF121">
        <v>0</v>
      </c>
      <c r="AG121">
        <v>0</v>
      </c>
      <c r="AH121">
        <v>0</v>
      </c>
      <c r="AI121">
        <v>7.6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3</v>
      </c>
      <c r="AT121">
        <v>1.77</v>
      </c>
      <c r="AU121" t="s">
        <v>3</v>
      </c>
      <c r="AV121">
        <v>0</v>
      </c>
      <c r="AW121">
        <v>2</v>
      </c>
      <c r="AX121">
        <v>68991129</v>
      </c>
      <c r="AY121">
        <v>1</v>
      </c>
      <c r="AZ121">
        <v>0</v>
      </c>
      <c r="BA121">
        <v>132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Y121*Source!I53</f>
        <v>0.37169999999999997</v>
      </c>
      <c r="CY121">
        <f t="shared" si="29"/>
        <v>1314.8</v>
      </c>
      <c r="CZ121">
        <f t="shared" si="30"/>
        <v>173</v>
      </c>
      <c r="DA121">
        <f t="shared" si="31"/>
        <v>7.6</v>
      </c>
      <c r="DB121">
        <f t="shared" si="32"/>
        <v>306.20999999999998</v>
      </c>
      <c r="DC121">
        <f t="shared" si="33"/>
        <v>0</v>
      </c>
    </row>
    <row r="122" spans="1:107" x14ac:dyDescent="0.2">
      <c r="A122">
        <f>ROW(Source!A53)</f>
        <v>53</v>
      </c>
      <c r="B122">
        <v>68990560</v>
      </c>
      <c r="C122">
        <v>68991084</v>
      </c>
      <c r="D122">
        <v>64255223</v>
      </c>
      <c r="E122">
        <v>1</v>
      </c>
      <c r="F122">
        <v>1</v>
      </c>
      <c r="G122">
        <v>1</v>
      </c>
      <c r="H122">
        <v>3</v>
      </c>
      <c r="I122" t="s">
        <v>1000</v>
      </c>
      <c r="J122" t="s">
        <v>1001</v>
      </c>
      <c r="K122" t="s">
        <v>1002</v>
      </c>
      <c r="L122">
        <v>1425</v>
      </c>
      <c r="N122">
        <v>1013</v>
      </c>
      <c r="O122" t="s">
        <v>18</v>
      </c>
      <c r="P122" t="s">
        <v>18</v>
      </c>
      <c r="Q122">
        <v>1</v>
      </c>
      <c r="W122">
        <v>0</v>
      </c>
      <c r="X122">
        <v>1110583994</v>
      </c>
      <c r="Y122">
        <v>1.69</v>
      </c>
      <c r="AA122">
        <v>104</v>
      </c>
      <c r="AB122">
        <v>0</v>
      </c>
      <c r="AC122">
        <v>0</v>
      </c>
      <c r="AD122">
        <v>0</v>
      </c>
      <c r="AE122">
        <v>8</v>
      </c>
      <c r="AF122">
        <v>0</v>
      </c>
      <c r="AG122">
        <v>0</v>
      </c>
      <c r="AH122">
        <v>0</v>
      </c>
      <c r="AI122">
        <v>13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3</v>
      </c>
      <c r="AT122">
        <v>1.69</v>
      </c>
      <c r="AU122" t="s">
        <v>3</v>
      </c>
      <c r="AV122">
        <v>0</v>
      </c>
      <c r="AW122">
        <v>2</v>
      </c>
      <c r="AX122">
        <v>68991130</v>
      </c>
      <c r="AY122">
        <v>1</v>
      </c>
      <c r="AZ122">
        <v>0</v>
      </c>
      <c r="BA122">
        <v>133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Y122*Source!I53</f>
        <v>0.35489999999999999</v>
      </c>
      <c r="CY122">
        <f t="shared" si="29"/>
        <v>104</v>
      </c>
      <c r="CZ122">
        <f t="shared" si="30"/>
        <v>8</v>
      </c>
      <c r="DA122">
        <f t="shared" si="31"/>
        <v>13</v>
      </c>
      <c r="DB122">
        <f t="shared" si="32"/>
        <v>13.52</v>
      </c>
      <c r="DC122">
        <f t="shared" si="33"/>
        <v>0</v>
      </c>
    </row>
    <row r="123" spans="1:107" x14ac:dyDescent="0.2">
      <c r="A123">
        <f>ROW(Source!A53)</f>
        <v>53</v>
      </c>
      <c r="B123">
        <v>68990560</v>
      </c>
      <c r="C123">
        <v>68991084</v>
      </c>
      <c r="D123">
        <v>64255460</v>
      </c>
      <c r="E123">
        <v>1</v>
      </c>
      <c r="F123">
        <v>1</v>
      </c>
      <c r="G123">
        <v>1</v>
      </c>
      <c r="H123">
        <v>3</v>
      </c>
      <c r="I123" t="s">
        <v>1003</v>
      </c>
      <c r="J123" t="s">
        <v>1004</v>
      </c>
      <c r="K123" t="s">
        <v>1005</v>
      </c>
      <c r="L123">
        <v>1425</v>
      </c>
      <c r="N123">
        <v>1013</v>
      </c>
      <c r="O123" t="s">
        <v>18</v>
      </c>
      <c r="P123" t="s">
        <v>18</v>
      </c>
      <c r="Q123">
        <v>1</v>
      </c>
      <c r="W123">
        <v>0</v>
      </c>
      <c r="X123">
        <v>1603161023</v>
      </c>
      <c r="Y123">
        <v>13.53</v>
      </c>
      <c r="AA123">
        <v>57</v>
      </c>
      <c r="AB123">
        <v>0</v>
      </c>
      <c r="AC123">
        <v>0</v>
      </c>
      <c r="AD123">
        <v>0</v>
      </c>
      <c r="AE123">
        <v>4</v>
      </c>
      <c r="AF123">
        <v>0</v>
      </c>
      <c r="AG123">
        <v>0</v>
      </c>
      <c r="AH123">
        <v>0</v>
      </c>
      <c r="AI123">
        <v>14.25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3</v>
      </c>
      <c r="AT123">
        <v>13.53</v>
      </c>
      <c r="AU123" t="s">
        <v>3</v>
      </c>
      <c r="AV123">
        <v>0</v>
      </c>
      <c r="AW123">
        <v>2</v>
      </c>
      <c r="AX123">
        <v>68991131</v>
      </c>
      <c r="AY123">
        <v>1</v>
      </c>
      <c r="AZ123">
        <v>0</v>
      </c>
      <c r="BA123">
        <v>134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Y123*Source!I53</f>
        <v>2.8412999999999999</v>
      </c>
      <c r="CY123">
        <f t="shared" si="29"/>
        <v>57</v>
      </c>
      <c r="CZ123">
        <f t="shared" si="30"/>
        <v>4</v>
      </c>
      <c r="DA123">
        <f t="shared" si="31"/>
        <v>14.25</v>
      </c>
      <c r="DB123">
        <f t="shared" si="32"/>
        <v>54.12</v>
      </c>
      <c r="DC123">
        <f t="shared" si="33"/>
        <v>0</v>
      </c>
    </row>
    <row r="124" spans="1:107" x14ac:dyDescent="0.2">
      <c r="A124">
        <f>ROW(Source!A53)</f>
        <v>53</v>
      </c>
      <c r="B124">
        <v>68990560</v>
      </c>
      <c r="C124">
        <v>68991084</v>
      </c>
      <c r="D124">
        <v>64255461</v>
      </c>
      <c r="E124">
        <v>1</v>
      </c>
      <c r="F124">
        <v>1</v>
      </c>
      <c r="G124">
        <v>1</v>
      </c>
      <c r="H124">
        <v>3</v>
      </c>
      <c r="I124" t="s">
        <v>1006</v>
      </c>
      <c r="J124" t="s">
        <v>1007</v>
      </c>
      <c r="K124" t="s">
        <v>1008</v>
      </c>
      <c r="L124">
        <v>1425</v>
      </c>
      <c r="N124">
        <v>1013</v>
      </c>
      <c r="O124" t="s">
        <v>18</v>
      </c>
      <c r="P124" t="s">
        <v>18</v>
      </c>
      <c r="Q124">
        <v>1</v>
      </c>
      <c r="W124">
        <v>0</v>
      </c>
      <c r="X124">
        <v>-1875045947</v>
      </c>
      <c r="Y124">
        <v>35.33</v>
      </c>
      <c r="AA124">
        <v>71</v>
      </c>
      <c r="AB124">
        <v>0</v>
      </c>
      <c r="AC124">
        <v>0</v>
      </c>
      <c r="AD124">
        <v>0</v>
      </c>
      <c r="AE124">
        <v>5</v>
      </c>
      <c r="AF124">
        <v>0</v>
      </c>
      <c r="AG124">
        <v>0</v>
      </c>
      <c r="AH124">
        <v>0</v>
      </c>
      <c r="AI124">
        <v>14.2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3</v>
      </c>
      <c r="AT124">
        <v>35.33</v>
      </c>
      <c r="AU124" t="s">
        <v>3</v>
      </c>
      <c r="AV124">
        <v>0</v>
      </c>
      <c r="AW124">
        <v>2</v>
      </c>
      <c r="AX124">
        <v>68991132</v>
      </c>
      <c r="AY124">
        <v>1</v>
      </c>
      <c r="AZ124">
        <v>0</v>
      </c>
      <c r="BA124">
        <v>135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Y124*Source!I53</f>
        <v>7.4192999999999998</v>
      </c>
      <c r="CY124">
        <f t="shared" si="29"/>
        <v>71</v>
      </c>
      <c r="CZ124">
        <f t="shared" si="30"/>
        <v>5</v>
      </c>
      <c r="DA124">
        <f t="shared" si="31"/>
        <v>14.2</v>
      </c>
      <c r="DB124">
        <f t="shared" si="32"/>
        <v>176.65</v>
      </c>
      <c r="DC124">
        <f t="shared" si="33"/>
        <v>0</v>
      </c>
    </row>
    <row r="125" spans="1:107" x14ac:dyDescent="0.2">
      <c r="A125">
        <f>ROW(Source!A53)</f>
        <v>53</v>
      </c>
      <c r="B125">
        <v>68990560</v>
      </c>
      <c r="C125">
        <v>68991084</v>
      </c>
      <c r="D125">
        <v>64269393</v>
      </c>
      <c r="E125">
        <v>1</v>
      </c>
      <c r="F125">
        <v>1</v>
      </c>
      <c r="G125">
        <v>1</v>
      </c>
      <c r="H125">
        <v>3</v>
      </c>
      <c r="I125" t="s">
        <v>1009</v>
      </c>
      <c r="J125" t="s">
        <v>1010</v>
      </c>
      <c r="K125" t="s">
        <v>1011</v>
      </c>
      <c r="L125">
        <v>1301</v>
      </c>
      <c r="N125">
        <v>1003</v>
      </c>
      <c r="O125" t="s">
        <v>379</v>
      </c>
      <c r="P125" t="s">
        <v>379</v>
      </c>
      <c r="Q125">
        <v>1</v>
      </c>
      <c r="W125">
        <v>0</v>
      </c>
      <c r="X125">
        <v>832079142</v>
      </c>
      <c r="Y125">
        <v>76</v>
      </c>
      <c r="AA125">
        <v>62.59</v>
      </c>
      <c r="AB125">
        <v>0</v>
      </c>
      <c r="AC125">
        <v>0</v>
      </c>
      <c r="AD125">
        <v>0</v>
      </c>
      <c r="AE125">
        <v>6.16</v>
      </c>
      <c r="AF125">
        <v>0</v>
      </c>
      <c r="AG125">
        <v>0</v>
      </c>
      <c r="AH125">
        <v>0</v>
      </c>
      <c r="AI125">
        <v>10.16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3</v>
      </c>
      <c r="AT125">
        <v>76</v>
      </c>
      <c r="AU125" t="s">
        <v>3</v>
      </c>
      <c r="AV125">
        <v>0</v>
      </c>
      <c r="AW125">
        <v>2</v>
      </c>
      <c r="AX125">
        <v>68991133</v>
      </c>
      <c r="AY125">
        <v>1</v>
      </c>
      <c r="AZ125">
        <v>0</v>
      </c>
      <c r="BA125">
        <v>136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Y125*Source!I53</f>
        <v>15.959999999999999</v>
      </c>
      <c r="CY125">
        <f t="shared" si="29"/>
        <v>62.59</v>
      </c>
      <c r="CZ125">
        <f t="shared" si="30"/>
        <v>6.16</v>
      </c>
      <c r="DA125">
        <f t="shared" si="31"/>
        <v>10.16</v>
      </c>
      <c r="DB125">
        <f t="shared" si="32"/>
        <v>468.16</v>
      </c>
      <c r="DC125">
        <f t="shared" si="33"/>
        <v>0</v>
      </c>
    </row>
    <row r="126" spans="1:107" x14ac:dyDescent="0.2">
      <c r="A126">
        <f>ROW(Source!A53)</f>
        <v>53</v>
      </c>
      <c r="B126">
        <v>68990560</v>
      </c>
      <c r="C126">
        <v>68991084</v>
      </c>
      <c r="D126">
        <v>64269443</v>
      </c>
      <c r="E126">
        <v>1</v>
      </c>
      <c r="F126">
        <v>1</v>
      </c>
      <c r="G126">
        <v>1</v>
      </c>
      <c r="H126">
        <v>3</v>
      </c>
      <c r="I126" t="s">
        <v>1012</v>
      </c>
      <c r="J126" t="s">
        <v>1013</v>
      </c>
      <c r="K126" t="s">
        <v>1014</v>
      </c>
      <c r="L126">
        <v>1301</v>
      </c>
      <c r="N126">
        <v>1003</v>
      </c>
      <c r="O126" t="s">
        <v>379</v>
      </c>
      <c r="P126" t="s">
        <v>379</v>
      </c>
      <c r="Q126">
        <v>1</v>
      </c>
      <c r="W126">
        <v>0</v>
      </c>
      <c r="X126">
        <v>342626888</v>
      </c>
      <c r="Y126">
        <v>204</v>
      </c>
      <c r="AA126">
        <v>73.2</v>
      </c>
      <c r="AB126">
        <v>0</v>
      </c>
      <c r="AC126">
        <v>0</v>
      </c>
      <c r="AD126">
        <v>0</v>
      </c>
      <c r="AE126">
        <v>6.86</v>
      </c>
      <c r="AF126">
        <v>0</v>
      </c>
      <c r="AG126">
        <v>0</v>
      </c>
      <c r="AH126">
        <v>0</v>
      </c>
      <c r="AI126">
        <v>10.67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3</v>
      </c>
      <c r="AT126">
        <v>204</v>
      </c>
      <c r="AU126" t="s">
        <v>3</v>
      </c>
      <c r="AV126">
        <v>0</v>
      </c>
      <c r="AW126">
        <v>2</v>
      </c>
      <c r="AX126">
        <v>68991134</v>
      </c>
      <c r="AY126">
        <v>1</v>
      </c>
      <c r="AZ126">
        <v>0</v>
      </c>
      <c r="BA126">
        <v>137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Y126*Source!I53</f>
        <v>42.839999999999996</v>
      </c>
      <c r="CY126">
        <f t="shared" si="29"/>
        <v>73.2</v>
      </c>
      <c r="CZ126">
        <f t="shared" si="30"/>
        <v>6.86</v>
      </c>
      <c r="DA126">
        <f t="shared" si="31"/>
        <v>10.67</v>
      </c>
      <c r="DB126">
        <f t="shared" si="32"/>
        <v>1399.44</v>
      </c>
      <c r="DC126">
        <f t="shared" si="33"/>
        <v>0</v>
      </c>
    </row>
    <row r="127" spans="1:107" x14ac:dyDescent="0.2">
      <c r="A127">
        <f>ROW(Source!A53)</f>
        <v>53</v>
      </c>
      <c r="B127">
        <v>68990560</v>
      </c>
      <c r="C127">
        <v>68991084</v>
      </c>
      <c r="D127">
        <v>53865258</v>
      </c>
      <c r="E127">
        <v>1</v>
      </c>
      <c r="F127">
        <v>1</v>
      </c>
      <c r="G127">
        <v>1</v>
      </c>
      <c r="H127">
        <v>3</v>
      </c>
      <c r="I127" t="s">
        <v>158</v>
      </c>
      <c r="J127" t="s">
        <v>160</v>
      </c>
      <c r="K127" t="s">
        <v>159</v>
      </c>
      <c r="L127">
        <v>1339</v>
      </c>
      <c r="N127">
        <v>1007</v>
      </c>
      <c r="O127" t="s">
        <v>113</v>
      </c>
      <c r="P127" t="s">
        <v>113</v>
      </c>
      <c r="Q127">
        <v>1</v>
      </c>
      <c r="W127">
        <v>0</v>
      </c>
      <c r="X127">
        <v>-1061747194</v>
      </c>
      <c r="Y127">
        <v>6</v>
      </c>
      <c r="AA127">
        <v>2869.93</v>
      </c>
      <c r="AB127">
        <v>0</v>
      </c>
      <c r="AC127">
        <v>0</v>
      </c>
      <c r="AD127">
        <v>0</v>
      </c>
      <c r="AE127">
        <v>359.64</v>
      </c>
      <c r="AF127">
        <v>0</v>
      </c>
      <c r="AG127">
        <v>0</v>
      </c>
      <c r="AH127">
        <v>0</v>
      </c>
      <c r="AI127">
        <v>7.98</v>
      </c>
      <c r="AJ127">
        <v>1</v>
      </c>
      <c r="AK127">
        <v>1</v>
      </c>
      <c r="AL127">
        <v>1</v>
      </c>
      <c r="AN127">
        <v>0</v>
      </c>
      <c r="AO127">
        <v>0</v>
      </c>
      <c r="AP127">
        <v>0</v>
      </c>
      <c r="AQ127">
        <v>0</v>
      </c>
      <c r="AR127">
        <v>0</v>
      </c>
      <c r="AS127" t="s">
        <v>3</v>
      </c>
      <c r="AT127">
        <v>6</v>
      </c>
      <c r="AU127" t="s">
        <v>3</v>
      </c>
      <c r="AV127">
        <v>0</v>
      </c>
      <c r="AW127">
        <v>1</v>
      </c>
      <c r="AX127">
        <v>-1</v>
      </c>
      <c r="AY127">
        <v>0</v>
      </c>
      <c r="AZ127">
        <v>0</v>
      </c>
      <c r="BA127" t="s">
        <v>3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Y127*Source!I53</f>
        <v>1.26</v>
      </c>
      <c r="CY127">
        <f t="shared" si="29"/>
        <v>2869.93</v>
      </c>
      <c r="CZ127">
        <f t="shared" si="30"/>
        <v>359.64</v>
      </c>
      <c r="DA127">
        <f t="shared" si="31"/>
        <v>7.98</v>
      </c>
      <c r="DB127">
        <f t="shared" si="32"/>
        <v>2157.84</v>
      </c>
      <c r="DC127">
        <f t="shared" si="33"/>
        <v>0</v>
      </c>
    </row>
    <row r="128" spans="1:107" x14ac:dyDescent="0.2">
      <c r="A128">
        <f>ROW(Source!A53)</f>
        <v>53</v>
      </c>
      <c r="B128">
        <v>68990560</v>
      </c>
      <c r="C128">
        <v>68991084</v>
      </c>
      <c r="D128">
        <v>64283927</v>
      </c>
      <c r="E128">
        <v>1</v>
      </c>
      <c r="F128">
        <v>1</v>
      </c>
      <c r="G128">
        <v>1</v>
      </c>
      <c r="H128">
        <v>3</v>
      </c>
      <c r="I128" t="s">
        <v>232</v>
      </c>
      <c r="J128" t="s">
        <v>1015</v>
      </c>
      <c r="K128" t="s">
        <v>1016</v>
      </c>
      <c r="L128">
        <v>1346</v>
      </c>
      <c r="N128">
        <v>1009</v>
      </c>
      <c r="O128" t="s">
        <v>170</v>
      </c>
      <c r="P128" t="s">
        <v>170</v>
      </c>
      <c r="Q128">
        <v>1</v>
      </c>
      <c r="W128">
        <v>0</v>
      </c>
      <c r="X128">
        <v>1888123076</v>
      </c>
      <c r="Y128">
        <v>25</v>
      </c>
      <c r="AA128">
        <v>65.92</v>
      </c>
      <c r="AB128">
        <v>0</v>
      </c>
      <c r="AC128">
        <v>0</v>
      </c>
      <c r="AD128">
        <v>0</v>
      </c>
      <c r="AE128">
        <v>13.08</v>
      </c>
      <c r="AF128">
        <v>0</v>
      </c>
      <c r="AG128">
        <v>0</v>
      </c>
      <c r="AH128">
        <v>0</v>
      </c>
      <c r="AI128">
        <v>5.04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3</v>
      </c>
      <c r="AT128">
        <v>25</v>
      </c>
      <c r="AU128" t="s">
        <v>3</v>
      </c>
      <c r="AV128">
        <v>0</v>
      </c>
      <c r="AW128">
        <v>2</v>
      </c>
      <c r="AX128">
        <v>68991136</v>
      </c>
      <c r="AY128">
        <v>1</v>
      </c>
      <c r="AZ128">
        <v>0</v>
      </c>
      <c r="BA128">
        <v>139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Y128*Source!I53</f>
        <v>5.25</v>
      </c>
      <c r="CY128">
        <f t="shared" si="29"/>
        <v>65.92</v>
      </c>
      <c r="CZ128">
        <f t="shared" si="30"/>
        <v>13.08</v>
      </c>
      <c r="DA128">
        <f t="shared" si="31"/>
        <v>5.04</v>
      </c>
      <c r="DB128">
        <f t="shared" si="32"/>
        <v>327</v>
      </c>
      <c r="DC128">
        <f t="shared" si="33"/>
        <v>0</v>
      </c>
    </row>
    <row r="129" spans="1:107" x14ac:dyDescent="0.2">
      <c r="A129">
        <f>ROW(Source!A53)</f>
        <v>53</v>
      </c>
      <c r="B129">
        <v>68990560</v>
      </c>
      <c r="C129">
        <v>68991084</v>
      </c>
      <c r="D129">
        <v>64285139</v>
      </c>
      <c r="E129">
        <v>1</v>
      </c>
      <c r="F129">
        <v>1</v>
      </c>
      <c r="G129">
        <v>1</v>
      </c>
      <c r="H129">
        <v>3</v>
      </c>
      <c r="I129" t="s">
        <v>1017</v>
      </c>
      <c r="J129" t="s">
        <v>1018</v>
      </c>
      <c r="K129" t="s">
        <v>1019</v>
      </c>
      <c r="L129">
        <v>1346</v>
      </c>
      <c r="N129">
        <v>1009</v>
      </c>
      <c r="O129" t="s">
        <v>170</v>
      </c>
      <c r="P129" t="s">
        <v>170</v>
      </c>
      <c r="Q129">
        <v>1</v>
      </c>
      <c r="W129">
        <v>0</v>
      </c>
      <c r="X129">
        <v>1598664553</v>
      </c>
      <c r="Y129">
        <v>179</v>
      </c>
      <c r="AA129">
        <v>21.93</v>
      </c>
      <c r="AB129">
        <v>0</v>
      </c>
      <c r="AC129">
        <v>0</v>
      </c>
      <c r="AD129">
        <v>0</v>
      </c>
      <c r="AE129">
        <v>2.94</v>
      </c>
      <c r="AF129">
        <v>0</v>
      </c>
      <c r="AG129">
        <v>0</v>
      </c>
      <c r="AH129">
        <v>0</v>
      </c>
      <c r="AI129">
        <v>7.46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3</v>
      </c>
      <c r="AT129">
        <v>179</v>
      </c>
      <c r="AU129" t="s">
        <v>3</v>
      </c>
      <c r="AV129">
        <v>0</v>
      </c>
      <c r="AW129">
        <v>2</v>
      </c>
      <c r="AX129">
        <v>68991137</v>
      </c>
      <c r="AY129">
        <v>1</v>
      </c>
      <c r="AZ129">
        <v>0</v>
      </c>
      <c r="BA129">
        <v>140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Y129*Source!I53</f>
        <v>37.589999999999996</v>
      </c>
      <c r="CY129">
        <f t="shared" si="29"/>
        <v>21.93</v>
      </c>
      <c r="CZ129">
        <f t="shared" si="30"/>
        <v>2.94</v>
      </c>
      <c r="DA129">
        <f t="shared" si="31"/>
        <v>7.46</v>
      </c>
      <c r="DB129">
        <f t="shared" si="32"/>
        <v>526.26</v>
      </c>
      <c r="DC129">
        <f t="shared" si="33"/>
        <v>0</v>
      </c>
    </row>
    <row r="130" spans="1:107" x14ac:dyDescent="0.2">
      <c r="A130">
        <f>ROW(Source!A55)</f>
        <v>55</v>
      </c>
      <c r="B130">
        <v>68990560</v>
      </c>
      <c r="C130">
        <v>68991154</v>
      </c>
      <c r="D130">
        <v>37065248</v>
      </c>
      <c r="E130">
        <v>56</v>
      </c>
      <c r="F130">
        <v>1</v>
      </c>
      <c r="G130">
        <v>1</v>
      </c>
      <c r="H130">
        <v>1</v>
      </c>
      <c r="I130" t="s">
        <v>857</v>
      </c>
      <c r="J130" t="s">
        <v>3</v>
      </c>
      <c r="K130" t="s">
        <v>858</v>
      </c>
      <c r="L130">
        <v>1191</v>
      </c>
      <c r="N130">
        <v>1013</v>
      </c>
      <c r="O130" t="s">
        <v>818</v>
      </c>
      <c r="P130" t="s">
        <v>818</v>
      </c>
      <c r="Q130">
        <v>1</v>
      </c>
      <c r="W130">
        <v>0</v>
      </c>
      <c r="X130">
        <v>-400197608</v>
      </c>
      <c r="Y130">
        <v>50.440725</v>
      </c>
      <c r="AA130">
        <v>0</v>
      </c>
      <c r="AB130">
        <v>0</v>
      </c>
      <c r="AC130">
        <v>0</v>
      </c>
      <c r="AD130">
        <v>8.5299999999999994</v>
      </c>
      <c r="AE130">
        <v>0</v>
      </c>
      <c r="AF130">
        <v>0</v>
      </c>
      <c r="AG130">
        <v>0</v>
      </c>
      <c r="AH130">
        <v>8.5299999999999994</v>
      </c>
      <c r="AI130">
        <v>1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1</v>
      </c>
      <c r="AQ130">
        <v>0</v>
      </c>
      <c r="AR130">
        <v>0</v>
      </c>
      <c r="AS130" t="s">
        <v>3</v>
      </c>
      <c r="AT130">
        <v>32.49</v>
      </c>
      <c r="AU130" t="s">
        <v>147</v>
      </c>
      <c r="AV130">
        <v>1</v>
      </c>
      <c r="AW130">
        <v>2</v>
      </c>
      <c r="AX130">
        <v>68991163</v>
      </c>
      <c r="AY130">
        <v>1</v>
      </c>
      <c r="AZ130">
        <v>2048</v>
      </c>
      <c r="BA130">
        <v>141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Y130*Source!I55</f>
        <v>21.185104499999998</v>
      </c>
      <c r="CY130">
        <f>AD130</f>
        <v>8.5299999999999994</v>
      </c>
      <c r="CZ130">
        <f>AH130</f>
        <v>8.5299999999999994</v>
      </c>
      <c r="DA130">
        <f>AL130</f>
        <v>1</v>
      </c>
      <c r="DB130">
        <f>ROUND(((ROUND(AT130*CZ130,2)*1.15)*1.35),2)</f>
        <v>430.26</v>
      </c>
      <c r="DC130">
        <f>ROUND(((ROUND(AT130*AG130,2)*1.15)*1.35),2)</f>
        <v>0</v>
      </c>
    </row>
    <row r="131" spans="1:107" x14ac:dyDescent="0.2">
      <c r="A131">
        <f>ROW(Source!A55)</f>
        <v>55</v>
      </c>
      <c r="B131">
        <v>68990560</v>
      </c>
      <c r="C131">
        <v>68991154</v>
      </c>
      <c r="D131">
        <v>37064876</v>
      </c>
      <c r="E131">
        <v>56</v>
      </c>
      <c r="F131">
        <v>1</v>
      </c>
      <c r="G131">
        <v>1</v>
      </c>
      <c r="H131">
        <v>1</v>
      </c>
      <c r="I131" t="s">
        <v>819</v>
      </c>
      <c r="J131" t="s">
        <v>3</v>
      </c>
      <c r="K131" t="s">
        <v>820</v>
      </c>
      <c r="L131">
        <v>1191</v>
      </c>
      <c r="N131">
        <v>1013</v>
      </c>
      <c r="O131" t="s">
        <v>818</v>
      </c>
      <c r="P131" t="s">
        <v>818</v>
      </c>
      <c r="Q131">
        <v>1</v>
      </c>
      <c r="W131">
        <v>0</v>
      </c>
      <c r="X131">
        <v>-1417349443</v>
      </c>
      <c r="Y131">
        <v>1.569375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3</v>
      </c>
      <c r="AT131">
        <v>0.93</v>
      </c>
      <c r="AU131" t="s">
        <v>146</v>
      </c>
      <c r="AV131">
        <v>2</v>
      </c>
      <c r="AW131">
        <v>2</v>
      </c>
      <c r="AX131">
        <v>68991164</v>
      </c>
      <c r="AY131">
        <v>1</v>
      </c>
      <c r="AZ131">
        <v>2048</v>
      </c>
      <c r="BA131">
        <v>142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Y131*Source!I55</f>
        <v>0.65913749999999993</v>
      </c>
      <c r="CY131">
        <f>AD131</f>
        <v>0</v>
      </c>
      <c r="CZ131">
        <f>AH131</f>
        <v>0</v>
      </c>
      <c r="DA131">
        <f>AL131</f>
        <v>1</v>
      </c>
      <c r="DB131">
        <f>ROUND(((ROUND(AT131*CZ131,2)*1.25)*1.35),2)</f>
        <v>0</v>
      </c>
      <c r="DC131">
        <f>ROUND(((ROUND(AT131*AG131,2)*1.25)*1.35),2)</f>
        <v>0</v>
      </c>
    </row>
    <row r="132" spans="1:107" x14ac:dyDescent="0.2">
      <c r="A132">
        <f>ROW(Source!A55)</f>
        <v>55</v>
      </c>
      <c r="B132">
        <v>68990560</v>
      </c>
      <c r="C132">
        <v>68991154</v>
      </c>
      <c r="D132">
        <v>64401921</v>
      </c>
      <c r="E132">
        <v>1</v>
      </c>
      <c r="F132">
        <v>1</v>
      </c>
      <c r="G132">
        <v>1</v>
      </c>
      <c r="H132">
        <v>2</v>
      </c>
      <c r="I132" t="s">
        <v>1020</v>
      </c>
      <c r="J132" t="s">
        <v>1021</v>
      </c>
      <c r="K132" t="s">
        <v>1022</v>
      </c>
      <c r="L132">
        <v>1368</v>
      </c>
      <c r="N132">
        <v>1011</v>
      </c>
      <c r="O132" t="s">
        <v>824</v>
      </c>
      <c r="P132" t="s">
        <v>824</v>
      </c>
      <c r="Q132">
        <v>1</v>
      </c>
      <c r="W132">
        <v>0</v>
      </c>
      <c r="X132">
        <v>-833260626</v>
      </c>
      <c r="Y132">
        <v>3.3750000000000002E-2</v>
      </c>
      <c r="AA132">
        <v>0</v>
      </c>
      <c r="AB132">
        <v>685.72</v>
      </c>
      <c r="AC132">
        <v>338.52</v>
      </c>
      <c r="AD132">
        <v>0</v>
      </c>
      <c r="AE132">
        <v>0</v>
      </c>
      <c r="AF132">
        <v>89.99</v>
      </c>
      <c r="AG132">
        <v>10.06</v>
      </c>
      <c r="AH132">
        <v>0</v>
      </c>
      <c r="AI132">
        <v>1</v>
      </c>
      <c r="AJ132">
        <v>7.62</v>
      </c>
      <c r="AK132">
        <v>33.65</v>
      </c>
      <c r="AL132">
        <v>1</v>
      </c>
      <c r="AN132">
        <v>0</v>
      </c>
      <c r="AO132">
        <v>1</v>
      </c>
      <c r="AP132">
        <v>1</v>
      </c>
      <c r="AQ132">
        <v>0</v>
      </c>
      <c r="AR132">
        <v>0</v>
      </c>
      <c r="AS132" t="s">
        <v>3</v>
      </c>
      <c r="AT132">
        <v>0.02</v>
      </c>
      <c r="AU132" t="s">
        <v>146</v>
      </c>
      <c r="AV132">
        <v>0</v>
      </c>
      <c r="AW132">
        <v>2</v>
      </c>
      <c r="AX132">
        <v>68991165</v>
      </c>
      <c r="AY132">
        <v>1</v>
      </c>
      <c r="AZ132">
        <v>0</v>
      </c>
      <c r="BA132">
        <v>143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Y132*Source!I55</f>
        <v>1.4175E-2</v>
      </c>
      <c r="CY132">
        <f>AB132</f>
        <v>685.72</v>
      </c>
      <c r="CZ132">
        <f>AF132</f>
        <v>89.99</v>
      </c>
      <c r="DA132">
        <f>AJ132</f>
        <v>7.62</v>
      </c>
      <c r="DB132">
        <f>ROUND(((ROUND(AT132*CZ132,2)*1.25)*1.35),2)</f>
        <v>3.04</v>
      </c>
      <c r="DC132">
        <f>ROUND(((ROUND(AT132*AG132,2)*1.25)*1.35),2)</f>
        <v>0.34</v>
      </c>
    </row>
    <row r="133" spans="1:107" x14ac:dyDescent="0.2">
      <c r="A133">
        <f>ROW(Source!A55)</f>
        <v>55</v>
      </c>
      <c r="B133">
        <v>68990560</v>
      </c>
      <c r="C133">
        <v>68991154</v>
      </c>
      <c r="D133">
        <v>64401959</v>
      </c>
      <c r="E133">
        <v>1</v>
      </c>
      <c r="F133">
        <v>1</v>
      </c>
      <c r="G133">
        <v>1</v>
      </c>
      <c r="H133">
        <v>2</v>
      </c>
      <c r="I133" t="s">
        <v>859</v>
      </c>
      <c r="J133" t="s">
        <v>860</v>
      </c>
      <c r="K133" t="s">
        <v>861</v>
      </c>
      <c r="L133">
        <v>1368</v>
      </c>
      <c r="N133">
        <v>1011</v>
      </c>
      <c r="O133" t="s">
        <v>824</v>
      </c>
      <c r="P133" t="s">
        <v>824</v>
      </c>
      <c r="Q133">
        <v>1</v>
      </c>
      <c r="W133">
        <v>0</v>
      </c>
      <c r="X133">
        <v>10009565</v>
      </c>
      <c r="Y133">
        <v>0.354375</v>
      </c>
      <c r="AA133">
        <v>0</v>
      </c>
      <c r="AB133">
        <v>465.15</v>
      </c>
      <c r="AC133">
        <v>454.28</v>
      </c>
      <c r="AD133">
        <v>0</v>
      </c>
      <c r="AE133">
        <v>0</v>
      </c>
      <c r="AF133">
        <v>31.26</v>
      </c>
      <c r="AG133">
        <v>13.5</v>
      </c>
      <c r="AH133">
        <v>0</v>
      </c>
      <c r="AI133">
        <v>1</v>
      </c>
      <c r="AJ133">
        <v>14.88</v>
      </c>
      <c r="AK133">
        <v>33.65</v>
      </c>
      <c r="AL133">
        <v>1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3</v>
      </c>
      <c r="AT133">
        <v>0.21</v>
      </c>
      <c r="AU133" t="s">
        <v>146</v>
      </c>
      <c r="AV133">
        <v>0</v>
      </c>
      <c r="AW133">
        <v>2</v>
      </c>
      <c r="AX133">
        <v>68991166</v>
      </c>
      <c r="AY133">
        <v>1</v>
      </c>
      <c r="AZ133">
        <v>2048</v>
      </c>
      <c r="BA133">
        <v>144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Y133*Source!I55</f>
        <v>0.14883749999999998</v>
      </c>
      <c r="CY133">
        <f>AB133</f>
        <v>465.15</v>
      </c>
      <c r="CZ133">
        <f>AF133</f>
        <v>31.26</v>
      </c>
      <c r="DA133">
        <f>AJ133</f>
        <v>14.88</v>
      </c>
      <c r="DB133">
        <f>ROUND(((ROUND(AT133*CZ133,2)*1.25)*1.35),2)</f>
        <v>11.07</v>
      </c>
      <c r="DC133">
        <f>ROUND(((ROUND(AT133*AG133,2)*1.25)*1.35),2)</f>
        <v>4.79</v>
      </c>
    </row>
    <row r="134" spans="1:107" x14ac:dyDescent="0.2">
      <c r="A134">
        <f>ROW(Source!A55)</f>
        <v>55</v>
      </c>
      <c r="B134">
        <v>68990560</v>
      </c>
      <c r="C134">
        <v>68991154</v>
      </c>
      <c r="D134">
        <v>64402082</v>
      </c>
      <c r="E134">
        <v>1</v>
      </c>
      <c r="F134">
        <v>1</v>
      </c>
      <c r="G134">
        <v>1</v>
      </c>
      <c r="H134">
        <v>2</v>
      </c>
      <c r="I134" t="s">
        <v>1023</v>
      </c>
      <c r="J134" t="s">
        <v>1024</v>
      </c>
      <c r="K134" t="s">
        <v>1025</v>
      </c>
      <c r="L134">
        <v>1368</v>
      </c>
      <c r="N134">
        <v>1011</v>
      </c>
      <c r="O134" t="s">
        <v>824</v>
      </c>
      <c r="P134" t="s">
        <v>824</v>
      </c>
      <c r="Q134">
        <v>1</v>
      </c>
      <c r="W134">
        <v>0</v>
      </c>
      <c r="X134">
        <v>-2128701403</v>
      </c>
      <c r="Y134">
        <v>1.1812499999999999</v>
      </c>
      <c r="AA134">
        <v>0</v>
      </c>
      <c r="AB134">
        <v>361.04</v>
      </c>
      <c r="AC134">
        <v>338.52</v>
      </c>
      <c r="AD134">
        <v>0</v>
      </c>
      <c r="AE134">
        <v>0</v>
      </c>
      <c r="AF134">
        <v>12.39</v>
      </c>
      <c r="AG134">
        <v>10.06</v>
      </c>
      <c r="AH134">
        <v>0</v>
      </c>
      <c r="AI134">
        <v>1</v>
      </c>
      <c r="AJ134">
        <v>29.14</v>
      </c>
      <c r="AK134">
        <v>33.65</v>
      </c>
      <c r="AL134">
        <v>1</v>
      </c>
      <c r="AN134">
        <v>0</v>
      </c>
      <c r="AO134">
        <v>1</v>
      </c>
      <c r="AP134">
        <v>1</v>
      </c>
      <c r="AQ134">
        <v>0</v>
      </c>
      <c r="AR134">
        <v>0</v>
      </c>
      <c r="AS134" t="s">
        <v>3</v>
      </c>
      <c r="AT134">
        <v>0.7</v>
      </c>
      <c r="AU134" t="s">
        <v>146</v>
      </c>
      <c r="AV134">
        <v>0</v>
      </c>
      <c r="AW134">
        <v>2</v>
      </c>
      <c r="AX134">
        <v>68991167</v>
      </c>
      <c r="AY134">
        <v>1</v>
      </c>
      <c r="AZ134">
        <v>2048</v>
      </c>
      <c r="BA134">
        <v>145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Y134*Source!I55</f>
        <v>0.49612499999999993</v>
      </c>
      <c r="CY134">
        <f>AB134</f>
        <v>361.04</v>
      </c>
      <c r="CZ134">
        <f>AF134</f>
        <v>12.39</v>
      </c>
      <c r="DA134">
        <f>AJ134</f>
        <v>29.14</v>
      </c>
      <c r="DB134">
        <f>ROUND(((ROUND(AT134*CZ134,2)*1.25)*1.35),2)</f>
        <v>14.63</v>
      </c>
      <c r="DC134">
        <f>ROUND(((ROUND(AT134*AG134,2)*1.25)*1.35),2)</f>
        <v>11.88</v>
      </c>
    </row>
    <row r="135" spans="1:107" x14ac:dyDescent="0.2">
      <c r="A135">
        <f>ROW(Source!A55)</f>
        <v>55</v>
      </c>
      <c r="B135">
        <v>68990560</v>
      </c>
      <c r="C135">
        <v>68991154</v>
      </c>
      <c r="D135">
        <v>64252759</v>
      </c>
      <c r="E135">
        <v>1</v>
      </c>
      <c r="F135">
        <v>1</v>
      </c>
      <c r="G135">
        <v>1</v>
      </c>
      <c r="H135">
        <v>3</v>
      </c>
      <c r="I135" t="s">
        <v>988</v>
      </c>
      <c r="J135" t="s">
        <v>989</v>
      </c>
      <c r="K135" t="s">
        <v>990</v>
      </c>
      <c r="L135">
        <v>1339</v>
      </c>
      <c r="N135">
        <v>1007</v>
      </c>
      <c r="O135" t="s">
        <v>113</v>
      </c>
      <c r="P135" t="s">
        <v>113</v>
      </c>
      <c r="Q135">
        <v>1</v>
      </c>
      <c r="W135">
        <v>0</v>
      </c>
      <c r="X135">
        <v>-1161832183</v>
      </c>
      <c r="Y135">
        <v>0.51</v>
      </c>
      <c r="AA135">
        <v>31.18</v>
      </c>
      <c r="AB135">
        <v>0</v>
      </c>
      <c r="AC135">
        <v>0</v>
      </c>
      <c r="AD135">
        <v>0</v>
      </c>
      <c r="AE135">
        <v>2.44</v>
      </c>
      <c r="AF135">
        <v>0</v>
      </c>
      <c r="AG135">
        <v>0</v>
      </c>
      <c r="AH135">
        <v>0</v>
      </c>
      <c r="AI135">
        <v>12.78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3</v>
      </c>
      <c r="AT135">
        <v>0.51</v>
      </c>
      <c r="AU135" t="s">
        <v>3</v>
      </c>
      <c r="AV135">
        <v>0</v>
      </c>
      <c r="AW135">
        <v>2</v>
      </c>
      <c r="AX135">
        <v>68991168</v>
      </c>
      <c r="AY135">
        <v>1</v>
      </c>
      <c r="AZ135">
        <v>0</v>
      </c>
      <c r="BA135">
        <v>146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Y135*Source!I55</f>
        <v>0.2142</v>
      </c>
      <c r="CY135">
        <f>AA135</f>
        <v>31.18</v>
      </c>
      <c r="CZ135">
        <f>AE135</f>
        <v>2.44</v>
      </c>
      <c r="DA135">
        <f>AI135</f>
        <v>12.78</v>
      </c>
      <c r="DB135">
        <f>ROUND(ROUND(AT135*CZ135,2),2)</f>
        <v>1.24</v>
      </c>
      <c r="DC135">
        <f>ROUND(ROUND(AT135*AG135,2),2)</f>
        <v>0</v>
      </c>
    </row>
    <row r="136" spans="1:107" x14ac:dyDescent="0.2">
      <c r="A136">
        <f>ROW(Source!A55)</f>
        <v>55</v>
      </c>
      <c r="B136">
        <v>68990560</v>
      </c>
      <c r="C136">
        <v>68991154</v>
      </c>
      <c r="D136">
        <v>53734580</v>
      </c>
      <c r="E136">
        <v>1</v>
      </c>
      <c r="F136">
        <v>1</v>
      </c>
      <c r="G136">
        <v>1</v>
      </c>
      <c r="H136">
        <v>3</v>
      </c>
      <c r="I136" t="s">
        <v>168</v>
      </c>
      <c r="J136" t="s">
        <v>171</v>
      </c>
      <c r="K136" t="s">
        <v>169</v>
      </c>
      <c r="L136">
        <v>1346</v>
      </c>
      <c r="N136">
        <v>1009</v>
      </c>
      <c r="O136" t="s">
        <v>170</v>
      </c>
      <c r="P136" t="s">
        <v>170</v>
      </c>
      <c r="Q136">
        <v>1</v>
      </c>
      <c r="W136">
        <v>0</v>
      </c>
      <c r="X136">
        <v>375865034</v>
      </c>
      <c r="Y136">
        <v>850</v>
      </c>
      <c r="AA136">
        <v>19.32</v>
      </c>
      <c r="AB136">
        <v>0</v>
      </c>
      <c r="AC136">
        <v>0</v>
      </c>
      <c r="AD136">
        <v>0</v>
      </c>
      <c r="AE136">
        <v>2.64</v>
      </c>
      <c r="AF136">
        <v>0</v>
      </c>
      <c r="AG136">
        <v>0</v>
      </c>
      <c r="AH136">
        <v>0</v>
      </c>
      <c r="AI136">
        <v>7.32</v>
      </c>
      <c r="AJ136">
        <v>1</v>
      </c>
      <c r="AK136">
        <v>1</v>
      </c>
      <c r="AL136">
        <v>1</v>
      </c>
      <c r="AN136">
        <v>0</v>
      </c>
      <c r="AO136">
        <v>0</v>
      </c>
      <c r="AP136">
        <v>0</v>
      </c>
      <c r="AQ136">
        <v>0</v>
      </c>
      <c r="AR136">
        <v>0</v>
      </c>
      <c r="AS136" t="s">
        <v>3</v>
      </c>
      <c r="AT136">
        <v>850</v>
      </c>
      <c r="AU136" t="s">
        <v>3</v>
      </c>
      <c r="AV136">
        <v>0</v>
      </c>
      <c r="AW136">
        <v>1</v>
      </c>
      <c r="AX136">
        <v>-1</v>
      </c>
      <c r="AY136">
        <v>0</v>
      </c>
      <c r="AZ136">
        <v>0</v>
      </c>
      <c r="BA136" t="s">
        <v>3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Y136*Source!I55</f>
        <v>357</v>
      </c>
      <c r="CY136">
        <f>AA136</f>
        <v>19.32</v>
      </c>
      <c r="CZ136">
        <f>AE136</f>
        <v>2.64</v>
      </c>
      <c r="DA136">
        <f>AI136</f>
        <v>7.32</v>
      </c>
      <c r="DB136">
        <f>ROUND(ROUND(AT136*CZ136,2),2)</f>
        <v>2244</v>
      </c>
      <c r="DC136">
        <f>ROUND(ROUND(AT136*AG136,2),2)</f>
        <v>0</v>
      </c>
    </row>
    <row r="137" spans="1:107" x14ac:dyDescent="0.2">
      <c r="A137">
        <f>ROW(Source!A55)</f>
        <v>55</v>
      </c>
      <c r="B137">
        <v>68990560</v>
      </c>
      <c r="C137">
        <v>68991154</v>
      </c>
      <c r="D137">
        <v>55571913</v>
      </c>
      <c r="E137">
        <v>1</v>
      </c>
      <c r="F137">
        <v>1</v>
      </c>
      <c r="G137">
        <v>1</v>
      </c>
      <c r="H137">
        <v>3</v>
      </c>
      <c r="I137" t="s">
        <v>173</v>
      </c>
      <c r="J137" t="s">
        <v>175</v>
      </c>
      <c r="K137" t="s">
        <v>1333</v>
      </c>
      <c r="L137">
        <v>1296</v>
      </c>
      <c r="N137">
        <v>1002</v>
      </c>
      <c r="O137" t="s">
        <v>174</v>
      </c>
      <c r="P137" t="s">
        <v>174</v>
      </c>
      <c r="Q137">
        <v>1</v>
      </c>
      <c r="W137">
        <v>0</v>
      </c>
      <c r="X137">
        <v>1151322612</v>
      </c>
      <c r="Y137">
        <v>20</v>
      </c>
      <c r="AA137">
        <v>162.99</v>
      </c>
      <c r="AB137">
        <v>0</v>
      </c>
      <c r="AC137">
        <v>0</v>
      </c>
      <c r="AD137">
        <v>0</v>
      </c>
      <c r="AE137">
        <v>43.58</v>
      </c>
      <c r="AF137">
        <v>0</v>
      </c>
      <c r="AG137">
        <v>0</v>
      </c>
      <c r="AH137">
        <v>0</v>
      </c>
      <c r="AI137">
        <v>3.74</v>
      </c>
      <c r="AJ137">
        <v>1</v>
      </c>
      <c r="AK137">
        <v>1</v>
      </c>
      <c r="AL137">
        <v>1</v>
      </c>
      <c r="AN137">
        <v>0</v>
      </c>
      <c r="AO137">
        <v>0</v>
      </c>
      <c r="AP137">
        <v>0</v>
      </c>
      <c r="AQ137">
        <v>0</v>
      </c>
      <c r="AR137">
        <v>0</v>
      </c>
      <c r="AS137" t="s">
        <v>3</v>
      </c>
      <c r="AT137">
        <v>20</v>
      </c>
      <c r="AU137" t="s">
        <v>3</v>
      </c>
      <c r="AV137">
        <v>0</v>
      </c>
      <c r="AW137">
        <v>1</v>
      </c>
      <c r="AX137">
        <v>-1</v>
      </c>
      <c r="AY137">
        <v>0</v>
      </c>
      <c r="AZ137">
        <v>0</v>
      </c>
      <c r="BA137" t="s">
        <v>3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Y137*Source!I55</f>
        <v>8.4</v>
      </c>
      <c r="CY137">
        <f>AA137</f>
        <v>162.99</v>
      </c>
      <c r="CZ137">
        <f>AE137</f>
        <v>43.58</v>
      </c>
      <c r="DA137">
        <f>AI137</f>
        <v>3.74</v>
      </c>
      <c r="DB137">
        <f>ROUND(ROUND(AT137*CZ137,2),2)</f>
        <v>871.6</v>
      </c>
      <c r="DC137">
        <f>ROUND(ROUND(AT137*AG137,2),2)</f>
        <v>0</v>
      </c>
    </row>
    <row r="138" spans="1:107" x14ac:dyDescent="0.2">
      <c r="A138">
        <f>ROW(Source!A58)</f>
        <v>58</v>
      </c>
      <c r="B138">
        <v>68990560</v>
      </c>
      <c r="C138">
        <v>68991194</v>
      </c>
      <c r="D138">
        <v>37064978</v>
      </c>
      <c r="E138">
        <v>56</v>
      </c>
      <c r="F138">
        <v>1</v>
      </c>
      <c r="G138">
        <v>1</v>
      </c>
      <c r="H138">
        <v>1</v>
      </c>
      <c r="I138" t="s">
        <v>1026</v>
      </c>
      <c r="J138" t="s">
        <v>3</v>
      </c>
      <c r="K138" t="s">
        <v>1027</v>
      </c>
      <c r="L138">
        <v>1191</v>
      </c>
      <c r="N138">
        <v>1013</v>
      </c>
      <c r="O138" t="s">
        <v>818</v>
      </c>
      <c r="P138" t="s">
        <v>818</v>
      </c>
      <c r="Q138">
        <v>1</v>
      </c>
      <c r="W138">
        <v>0</v>
      </c>
      <c r="X138">
        <v>-719309759</v>
      </c>
      <c r="Y138">
        <v>50.813324999999999</v>
      </c>
      <c r="AA138">
        <v>0</v>
      </c>
      <c r="AB138">
        <v>0</v>
      </c>
      <c r="AC138">
        <v>0</v>
      </c>
      <c r="AD138">
        <v>8.86</v>
      </c>
      <c r="AE138">
        <v>0</v>
      </c>
      <c r="AF138">
        <v>0</v>
      </c>
      <c r="AG138">
        <v>0</v>
      </c>
      <c r="AH138">
        <v>8.86</v>
      </c>
      <c r="AI138">
        <v>1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1</v>
      </c>
      <c r="AQ138">
        <v>0</v>
      </c>
      <c r="AR138">
        <v>0</v>
      </c>
      <c r="AS138" t="s">
        <v>3</v>
      </c>
      <c r="AT138">
        <v>32.729999999999997</v>
      </c>
      <c r="AU138" t="s">
        <v>147</v>
      </c>
      <c r="AV138">
        <v>1</v>
      </c>
      <c r="AW138">
        <v>2</v>
      </c>
      <c r="AX138">
        <v>68991204</v>
      </c>
      <c r="AY138">
        <v>1</v>
      </c>
      <c r="AZ138">
        <v>2048</v>
      </c>
      <c r="BA138">
        <v>149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Y138*Source!I58</f>
        <v>21.341596499999998</v>
      </c>
      <c r="CY138">
        <f>AD138</f>
        <v>8.86</v>
      </c>
      <c r="CZ138">
        <f>AH138</f>
        <v>8.86</v>
      </c>
      <c r="DA138">
        <f>AL138</f>
        <v>1</v>
      </c>
      <c r="DB138">
        <f>ROUND(((ROUND(AT138*CZ138,2)*1.15)*1.35),2)</f>
        <v>450.21</v>
      </c>
      <c r="DC138">
        <f>ROUND(((ROUND(AT138*AG138,2)*1.15)*1.35),2)</f>
        <v>0</v>
      </c>
    </row>
    <row r="139" spans="1:107" x14ac:dyDescent="0.2">
      <c r="A139">
        <f>ROW(Source!A58)</f>
        <v>58</v>
      </c>
      <c r="B139">
        <v>68990560</v>
      </c>
      <c r="C139">
        <v>68991194</v>
      </c>
      <c r="D139">
        <v>37064876</v>
      </c>
      <c r="E139">
        <v>56</v>
      </c>
      <c r="F139">
        <v>1</v>
      </c>
      <c r="G139">
        <v>1</v>
      </c>
      <c r="H139">
        <v>1</v>
      </c>
      <c r="I139" t="s">
        <v>819</v>
      </c>
      <c r="J139" t="s">
        <v>3</v>
      </c>
      <c r="K139" t="s">
        <v>820</v>
      </c>
      <c r="L139">
        <v>1191</v>
      </c>
      <c r="N139">
        <v>1013</v>
      </c>
      <c r="O139" t="s">
        <v>818</v>
      </c>
      <c r="P139" t="s">
        <v>818</v>
      </c>
      <c r="Q139">
        <v>1</v>
      </c>
      <c r="W139">
        <v>0</v>
      </c>
      <c r="X139">
        <v>-1417349443</v>
      </c>
      <c r="Y139">
        <v>0.18562500000000001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1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3</v>
      </c>
      <c r="AT139">
        <v>0.11</v>
      </c>
      <c r="AU139" t="s">
        <v>146</v>
      </c>
      <c r="AV139">
        <v>2</v>
      </c>
      <c r="AW139">
        <v>2</v>
      </c>
      <c r="AX139">
        <v>68991205</v>
      </c>
      <c r="AY139">
        <v>1</v>
      </c>
      <c r="AZ139">
        <v>2048</v>
      </c>
      <c r="BA139">
        <v>150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Y139*Source!I58</f>
        <v>7.7962500000000004E-2</v>
      </c>
      <c r="CY139">
        <f>AD139</f>
        <v>0</v>
      </c>
      <c r="CZ139">
        <f>AH139</f>
        <v>0</v>
      </c>
      <c r="DA139">
        <f>AL139</f>
        <v>1</v>
      </c>
      <c r="DB139">
        <f>ROUND(((ROUND(AT139*CZ139,2)*1.25)*1.35),2)</f>
        <v>0</v>
      </c>
      <c r="DC139">
        <f>ROUND(((ROUND(AT139*AG139,2)*1.25)*1.35),2)</f>
        <v>0</v>
      </c>
    </row>
    <row r="140" spans="1:107" x14ac:dyDescent="0.2">
      <c r="A140">
        <f>ROW(Source!A58)</f>
        <v>58</v>
      </c>
      <c r="B140">
        <v>68990560</v>
      </c>
      <c r="C140">
        <v>68991194</v>
      </c>
      <c r="D140">
        <v>64401957</v>
      </c>
      <c r="E140">
        <v>1</v>
      </c>
      <c r="F140">
        <v>1</v>
      </c>
      <c r="G140">
        <v>1</v>
      </c>
      <c r="H140">
        <v>2</v>
      </c>
      <c r="I140" t="s">
        <v>1028</v>
      </c>
      <c r="J140" t="s">
        <v>1029</v>
      </c>
      <c r="K140" t="s">
        <v>1030</v>
      </c>
      <c r="L140">
        <v>1368</v>
      </c>
      <c r="N140">
        <v>1011</v>
      </c>
      <c r="O140" t="s">
        <v>824</v>
      </c>
      <c r="P140" t="s">
        <v>824</v>
      </c>
      <c r="Q140">
        <v>1</v>
      </c>
      <c r="W140">
        <v>0</v>
      </c>
      <c r="X140">
        <v>1891567224</v>
      </c>
      <c r="Y140">
        <v>1.6875000000000001E-2</v>
      </c>
      <c r="AA140">
        <v>0</v>
      </c>
      <c r="AB140">
        <v>397.75</v>
      </c>
      <c r="AC140">
        <v>390.34</v>
      </c>
      <c r="AD140">
        <v>0</v>
      </c>
      <c r="AE140">
        <v>0</v>
      </c>
      <c r="AF140">
        <v>27.66</v>
      </c>
      <c r="AG140">
        <v>11.6</v>
      </c>
      <c r="AH140">
        <v>0</v>
      </c>
      <c r="AI140">
        <v>1</v>
      </c>
      <c r="AJ140">
        <v>14.38</v>
      </c>
      <c r="AK140">
        <v>33.65</v>
      </c>
      <c r="AL140">
        <v>1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3</v>
      </c>
      <c r="AT140">
        <v>0.01</v>
      </c>
      <c r="AU140" t="s">
        <v>146</v>
      </c>
      <c r="AV140">
        <v>0</v>
      </c>
      <c r="AW140">
        <v>2</v>
      </c>
      <c r="AX140">
        <v>68991206</v>
      </c>
      <c r="AY140">
        <v>1</v>
      </c>
      <c r="AZ140">
        <v>0</v>
      </c>
      <c r="BA140">
        <v>151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Y140*Source!I58</f>
        <v>7.0875E-3</v>
      </c>
      <c r="CY140">
        <f>AB140</f>
        <v>397.75</v>
      </c>
      <c r="CZ140">
        <f>AF140</f>
        <v>27.66</v>
      </c>
      <c r="DA140">
        <f>AJ140</f>
        <v>14.38</v>
      </c>
      <c r="DB140">
        <f>ROUND(((ROUND(AT140*CZ140,2)*1.25)*1.35),2)</f>
        <v>0.47</v>
      </c>
      <c r="DC140">
        <f>ROUND(((ROUND(AT140*AG140,2)*1.25)*1.35),2)</f>
        <v>0.2</v>
      </c>
    </row>
    <row r="141" spans="1:107" x14ac:dyDescent="0.2">
      <c r="A141">
        <f>ROW(Source!A58)</f>
        <v>58</v>
      </c>
      <c r="B141">
        <v>68990560</v>
      </c>
      <c r="C141">
        <v>68991194</v>
      </c>
      <c r="D141">
        <v>64402691</v>
      </c>
      <c r="E141">
        <v>1</v>
      </c>
      <c r="F141">
        <v>1</v>
      </c>
      <c r="G141">
        <v>1</v>
      </c>
      <c r="H141">
        <v>2</v>
      </c>
      <c r="I141" t="s">
        <v>825</v>
      </c>
      <c r="J141" t="s">
        <v>826</v>
      </c>
      <c r="K141" t="s">
        <v>827</v>
      </c>
      <c r="L141">
        <v>1368</v>
      </c>
      <c r="N141">
        <v>1011</v>
      </c>
      <c r="O141" t="s">
        <v>824</v>
      </c>
      <c r="P141" t="s">
        <v>824</v>
      </c>
      <c r="Q141">
        <v>1</v>
      </c>
      <c r="W141">
        <v>0</v>
      </c>
      <c r="X141">
        <v>-841254546</v>
      </c>
      <c r="Y141">
        <v>0.16875000000000001</v>
      </c>
      <c r="AA141">
        <v>0</v>
      </c>
      <c r="AB141">
        <v>776.04</v>
      </c>
      <c r="AC141">
        <v>390.34</v>
      </c>
      <c r="AD141">
        <v>0</v>
      </c>
      <c r="AE141">
        <v>0</v>
      </c>
      <c r="AF141">
        <v>65.709999999999994</v>
      </c>
      <c r="AG141">
        <v>11.6</v>
      </c>
      <c r="AH141">
        <v>0</v>
      </c>
      <c r="AI141">
        <v>1</v>
      </c>
      <c r="AJ141">
        <v>11.81</v>
      </c>
      <c r="AK141">
        <v>33.65</v>
      </c>
      <c r="AL141">
        <v>1</v>
      </c>
      <c r="AN141">
        <v>0</v>
      </c>
      <c r="AO141">
        <v>1</v>
      </c>
      <c r="AP141">
        <v>1</v>
      </c>
      <c r="AQ141">
        <v>0</v>
      </c>
      <c r="AR141">
        <v>0</v>
      </c>
      <c r="AS141" t="s">
        <v>3</v>
      </c>
      <c r="AT141">
        <v>0.1</v>
      </c>
      <c r="AU141" t="s">
        <v>146</v>
      </c>
      <c r="AV141">
        <v>0</v>
      </c>
      <c r="AW141">
        <v>2</v>
      </c>
      <c r="AX141">
        <v>68991207</v>
      </c>
      <c r="AY141">
        <v>1</v>
      </c>
      <c r="AZ141">
        <v>0</v>
      </c>
      <c r="BA141">
        <v>152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Y141*Source!I58</f>
        <v>7.0875000000000007E-2</v>
      </c>
      <c r="CY141">
        <f>AB141</f>
        <v>776.04</v>
      </c>
      <c r="CZ141">
        <f>AF141</f>
        <v>65.709999999999994</v>
      </c>
      <c r="DA141">
        <f>AJ141</f>
        <v>11.81</v>
      </c>
      <c r="DB141">
        <f>ROUND(((ROUND(AT141*CZ141,2)*1.25)*1.35),2)</f>
        <v>11.09</v>
      </c>
      <c r="DC141">
        <f>ROUND(((ROUND(AT141*AG141,2)*1.25)*1.35),2)</f>
        <v>1.96</v>
      </c>
    </row>
    <row r="142" spans="1:107" x14ac:dyDescent="0.2">
      <c r="A142">
        <f>ROW(Source!A58)</f>
        <v>58</v>
      </c>
      <c r="B142">
        <v>68990560</v>
      </c>
      <c r="C142">
        <v>68991194</v>
      </c>
      <c r="D142">
        <v>64255858</v>
      </c>
      <c r="E142">
        <v>1</v>
      </c>
      <c r="F142">
        <v>1</v>
      </c>
      <c r="G142">
        <v>1</v>
      </c>
      <c r="H142">
        <v>3</v>
      </c>
      <c r="I142" t="s">
        <v>1031</v>
      </c>
      <c r="J142" t="s">
        <v>1032</v>
      </c>
      <c r="K142" t="s">
        <v>1033</v>
      </c>
      <c r="L142">
        <v>1327</v>
      </c>
      <c r="N142">
        <v>1005</v>
      </c>
      <c r="O142" t="s">
        <v>46</v>
      </c>
      <c r="P142" t="s">
        <v>46</v>
      </c>
      <c r="Q142">
        <v>1</v>
      </c>
      <c r="W142">
        <v>0</v>
      </c>
      <c r="X142">
        <v>2033367485</v>
      </c>
      <c r="Y142">
        <v>0.84</v>
      </c>
      <c r="AA142">
        <v>278.43</v>
      </c>
      <c r="AB142">
        <v>0</v>
      </c>
      <c r="AC142">
        <v>0</v>
      </c>
      <c r="AD142">
        <v>0</v>
      </c>
      <c r="AE142">
        <v>72.319999999999993</v>
      </c>
      <c r="AF142">
        <v>0</v>
      </c>
      <c r="AG142">
        <v>0</v>
      </c>
      <c r="AH142">
        <v>0</v>
      </c>
      <c r="AI142">
        <v>3.85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3</v>
      </c>
      <c r="AT142">
        <v>0.84</v>
      </c>
      <c r="AU142" t="s">
        <v>3</v>
      </c>
      <c r="AV142">
        <v>0</v>
      </c>
      <c r="AW142">
        <v>2</v>
      </c>
      <c r="AX142">
        <v>68991208</v>
      </c>
      <c r="AY142">
        <v>1</v>
      </c>
      <c r="AZ142">
        <v>0</v>
      </c>
      <c r="BA142">
        <v>153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Y142*Source!I58</f>
        <v>0.35279999999999995</v>
      </c>
      <c r="CY142">
        <f>AA142</f>
        <v>278.43</v>
      </c>
      <c r="CZ142">
        <f>AE142</f>
        <v>72.319999999999993</v>
      </c>
      <c r="DA142">
        <f>AI142</f>
        <v>3.85</v>
      </c>
      <c r="DB142">
        <f>ROUND(ROUND(AT142*CZ142,2),2)</f>
        <v>60.75</v>
      </c>
      <c r="DC142">
        <f>ROUND(ROUND(AT142*AG142,2),2)</f>
        <v>0</v>
      </c>
    </row>
    <row r="143" spans="1:107" x14ac:dyDescent="0.2">
      <c r="A143">
        <f>ROW(Source!A58)</f>
        <v>58</v>
      </c>
      <c r="B143">
        <v>68990560</v>
      </c>
      <c r="C143">
        <v>68991194</v>
      </c>
      <c r="D143">
        <v>64256200</v>
      </c>
      <c r="E143">
        <v>1</v>
      </c>
      <c r="F143">
        <v>1</v>
      </c>
      <c r="G143">
        <v>1</v>
      </c>
      <c r="H143">
        <v>3</v>
      </c>
      <c r="I143" t="s">
        <v>1034</v>
      </c>
      <c r="J143" t="s">
        <v>1035</v>
      </c>
      <c r="K143" t="s">
        <v>1036</v>
      </c>
      <c r="L143">
        <v>1346</v>
      </c>
      <c r="N143">
        <v>1009</v>
      </c>
      <c r="O143" t="s">
        <v>170</v>
      </c>
      <c r="P143" t="s">
        <v>170</v>
      </c>
      <c r="Q143">
        <v>1</v>
      </c>
      <c r="W143">
        <v>0</v>
      </c>
      <c r="X143">
        <v>1103561696</v>
      </c>
      <c r="Y143">
        <v>0.31</v>
      </c>
      <c r="AA143">
        <v>48.18</v>
      </c>
      <c r="AB143">
        <v>0</v>
      </c>
      <c r="AC143">
        <v>0</v>
      </c>
      <c r="AD143">
        <v>0</v>
      </c>
      <c r="AE143">
        <v>1.82</v>
      </c>
      <c r="AF143">
        <v>0</v>
      </c>
      <c r="AG143">
        <v>0</v>
      </c>
      <c r="AH143">
        <v>0</v>
      </c>
      <c r="AI143">
        <v>26.47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3</v>
      </c>
      <c r="AT143">
        <v>0.31</v>
      </c>
      <c r="AU143" t="s">
        <v>3</v>
      </c>
      <c r="AV143">
        <v>0</v>
      </c>
      <c r="AW143">
        <v>2</v>
      </c>
      <c r="AX143">
        <v>68991209</v>
      </c>
      <c r="AY143">
        <v>1</v>
      </c>
      <c r="AZ143">
        <v>0</v>
      </c>
      <c r="BA143">
        <v>154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Y143*Source!I58</f>
        <v>0.13019999999999998</v>
      </c>
      <c r="CY143">
        <f>AA143</f>
        <v>48.18</v>
      </c>
      <c r="CZ143">
        <f>AE143</f>
        <v>1.82</v>
      </c>
      <c r="DA143">
        <f>AI143</f>
        <v>26.47</v>
      </c>
      <c r="DB143">
        <f>ROUND(ROUND(AT143*CZ143,2),2)</f>
        <v>0.56000000000000005</v>
      </c>
      <c r="DC143">
        <f>ROUND(ROUND(AT143*AG143,2),2)</f>
        <v>0</v>
      </c>
    </row>
    <row r="144" spans="1:107" x14ac:dyDescent="0.2">
      <c r="A144">
        <f>ROW(Source!A58)</f>
        <v>58</v>
      </c>
      <c r="B144">
        <v>68990560</v>
      </c>
      <c r="C144">
        <v>68991194</v>
      </c>
      <c r="D144">
        <v>53795432</v>
      </c>
      <c r="E144">
        <v>1</v>
      </c>
      <c r="F144">
        <v>1</v>
      </c>
      <c r="G144">
        <v>1</v>
      </c>
      <c r="H144">
        <v>3</v>
      </c>
      <c r="I144" t="s">
        <v>181</v>
      </c>
      <c r="J144" t="s">
        <v>182</v>
      </c>
      <c r="K144" t="s">
        <v>1334</v>
      </c>
      <c r="L144">
        <v>1296</v>
      </c>
      <c r="N144">
        <v>1002</v>
      </c>
      <c r="O144" t="s">
        <v>174</v>
      </c>
      <c r="P144" t="s">
        <v>174</v>
      </c>
      <c r="Q144">
        <v>1</v>
      </c>
      <c r="W144">
        <v>0</v>
      </c>
      <c r="X144">
        <v>-49844416</v>
      </c>
      <c r="Y144">
        <v>30</v>
      </c>
      <c r="AA144">
        <v>612.4</v>
      </c>
      <c r="AB144">
        <v>0</v>
      </c>
      <c r="AC144">
        <v>0</v>
      </c>
      <c r="AD144">
        <v>0</v>
      </c>
      <c r="AE144">
        <v>85.77</v>
      </c>
      <c r="AF144">
        <v>0</v>
      </c>
      <c r="AG144">
        <v>0</v>
      </c>
      <c r="AH144">
        <v>0</v>
      </c>
      <c r="AI144">
        <v>7.14</v>
      </c>
      <c r="AJ144">
        <v>1</v>
      </c>
      <c r="AK144">
        <v>1</v>
      </c>
      <c r="AL144">
        <v>1</v>
      </c>
      <c r="AN144">
        <v>0</v>
      </c>
      <c r="AO144">
        <v>0</v>
      </c>
      <c r="AP144">
        <v>0</v>
      </c>
      <c r="AQ144">
        <v>0</v>
      </c>
      <c r="AR144">
        <v>0</v>
      </c>
      <c r="AS144" t="s">
        <v>3</v>
      </c>
      <c r="AT144">
        <v>30</v>
      </c>
      <c r="AU144" t="s">
        <v>3</v>
      </c>
      <c r="AV144">
        <v>0</v>
      </c>
      <c r="AW144">
        <v>1</v>
      </c>
      <c r="AX144">
        <v>-1</v>
      </c>
      <c r="AY144">
        <v>0</v>
      </c>
      <c r="AZ144">
        <v>0</v>
      </c>
      <c r="BA144" t="s">
        <v>3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Y144*Source!I58</f>
        <v>12.6</v>
      </c>
      <c r="CY144">
        <f>AA144</f>
        <v>612.4</v>
      </c>
      <c r="CZ144">
        <f>AE144</f>
        <v>85.77</v>
      </c>
      <c r="DA144">
        <f>AI144</f>
        <v>7.14</v>
      </c>
      <c r="DB144">
        <f>ROUND(ROUND(AT144*CZ144,2),2)</f>
        <v>2573.1</v>
      </c>
      <c r="DC144">
        <f>ROUND(ROUND(AT144*AG144,2),2)</f>
        <v>0</v>
      </c>
    </row>
    <row r="145" spans="1:107" x14ac:dyDescent="0.2">
      <c r="A145">
        <f>ROW(Source!A58)</f>
        <v>58</v>
      </c>
      <c r="B145">
        <v>68990560</v>
      </c>
      <c r="C145">
        <v>68991194</v>
      </c>
      <c r="D145">
        <v>55571913</v>
      </c>
      <c r="E145">
        <v>1</v>
      </c>
      <c r="F145">
        <v>1</v>
      </c>
      <c r="G145">
        <v>1</v>
      </c>
      <c r="H145">
        <v>3</v>
      </c>
      <c r="I145" t="s">
        <v>173</v>
      </c>
      <c r="J145" t="s">
        <v>175</v>
      </c>
      <c r="K145" t="s">
        <v>1333</v>
      </c>
      <c r="L145">
        <v>1296</v>
      </c>
      <c r="N145">
        <v>1002</v>
      </c>
      <c r="O145" t="s">
        <v>174</v>
      </c>
      <c r="P145" t="s">
        <v>174</v>
      </c>
      <c r="Q145">
        <v>1</v>
      </c>
      <c r="W145">
        <v>0</v>
      </c>
      <c r="X145">
        <v>1151322612</v>
      </c>
      <c r="Y145">
        <v>20</v>
      </c>
      <c r="AA145">
        <v>162.99</v>
      </c>
      <c r="AB145">
        <v>0</v>
      </c>
      <c r="AC145">
        <v>0</v>
      </c>
      <c r="AD145">
        <v>0</v>
      </c>
      <c r="AE145">
        <v>43.58</v>
      </c>
      <c r="AF145">
        <v>0</v>
      </c>
      <c r="AG145">
        <v>0</v>
      </c>
      <c r="AH145">
        <v>0</v>
      </c>
      <c r="AI145">
        <v>3.74</v>
      </c>
      <c r="AJ145">
        <v>1</v>
      </c>
      <c r="AK145">
        <v>1</v>
      </c>
      <c r="AL145">
        <v>1</v>
      </c>
      <c r="AN145">
        <v>0</v>
      </c>
      <c r="AO145">
        <v>0</v>
      </c>
      <c r="AP145">
        <v>0</v>
      </c>
      <c r="AQ145">
        <v>0</v>
      </c>
      <c r="AR145">
        <v>0</v>
      </c>
      <c r="AS145" t="s">
        <v>3</v>
      </c>
      <c r="AT145">
        <v>20</v>
      </c>
      <c r="AU145" t="s">
        <v>3</v>
      </c>
      <c r="AV145">
        <v>0</v>
      </c>
      <c r="AW145">
        <v>1</v>
      </c>
      <c r="AX145">
        <v>-1</v>
      </c>
      <c r="AY145">
        <v>0</v>
      </c>
      <c r="AZ145">
        <v>0</v>
      </c>
      <c r="BA145" t="s">
        <v>3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Y145*Source!I58</f>
        <v>8.4</v>
      </c>
      <c r="CY145">
        <f>AA145</f>
        <v>162.99</v>
      </c>
      <c r="CZ145">
        <f>AE145</f>
        <v>43.58</v>
      </c>
      <c r="DA145">
        <f>AI145</f>
        <v>3.74</v>
      </c>
      <c r="DB145">
        <f>ROUND(ROUND(AT145*CZ145,2),2)</f>
        <v>871.6</v>
      </c>
      <c r="DC145">
        <f>ROUND(ROUND(AT145*AG145,2),2)</f>
        <v>0</v>
      </c>
    </row>
    <row r="146" spans="1:107" x14ac:dyDescent="0.2">
      <c r="A146">
        <f>ROW(Source!A58)</f>
        <v>58</v>
      </c>
      <c r="B146">
        <v>68990560</v>
      </c>
      <c r="C146">
        <v>68991194</v>
      </c>
      <c r="D146">
        <v>64285129</v>
      </c>
      <c r="E146">
        <v>1</v>
      </c>
      <c r="F146">
        <v>1</v>
      </c>
      <c r="G146">
        <v>1</v>
      </c>
      <c r="H146">
        <v>3</v>
      </c>
      <c r="I146" t="s">
        <v>1037</v>
      </c>
      <c r="J146" t="s">
        <v>1038</v>
      </c>
      <c r="K146" t="s">
        <v>1039</v>
      </c>
      <c r="L146">
        <v>1348</v>
      </c>
      <c r="N146">
        <v>1009</v>
      </c>
      <c r="O146" t="s">
        <v>71</v>
      </c>
      <c r="P146" t="s">
        <v>71</v>
      </c>
      <c r="Q146">
        <v>1000</v>
      </c>
      <c r="W146">
        <v>0</v>
      </c>
      <c r="X146">
        <v>-975801408</v>
      </c>
      <c r="Y146">
        <v>5.0000000000000001E-3</v>
      </c>
      <c r="AA146">
        <v>51514.89</v>
      </c>
      <c r="AB146">
        <v>0</v>
      </c>
      <c r="AC146">
        <v>0</v>
      </c>
      <c r="AD146">
        <v>0</v>
      </c>
      <c r="AE146">
        <v>11397.1</v>
      </c>
      <c r="AF146">
        <v>0</v>
      </c>
      <c r="AG146">
        <v>0</v>
      </c>
      <c r="AH146">
        <v>0</v>
      </c>
      <c r="AI146">
        <v>4.5199999999999996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3</v>
      </c>
      <c r="AT146">
        <v>5.0000000000000001E-3</v>
      </c>
      <c r="AU146" t="s">
        <v>3</v>
      </c>
      <c r="AV146">
        <v>0</v>
      </c>
      <c r="AW146">
        <v>2</v>
      </c>
      <c r="AX146">
        <v>68991212</v>
      </c>
      <c r="AY146">
        <v>1</v>
      </c>
      <c r="AZ146">
        <v>0</v>
      </c>
      <c r="BA146">
        <v>157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Y146*Source!I58</f>
        <v>2.0999999999999999E-3</v>
      </c>
      <c r="CY146">
        <f>AA146</f>
        <v>51514.89</v>
      </c>
      <c r="CZ146">
        <f>AE146</f>
        <v>11397.1</v>
      </c>
      <c r="DA146">
        <f>AI146</f>
        <v>4.5199999999999996</v>
      </c>
      <c r="DB146">
        <f>ROUND(ROUND(AT146*CZ146,2),2)</f>
        <v>56.99</v>
      </c>
      <c r="DC146">
        <f>ROUND(ROUND(AT146*AG146,2),2)</f>
        <v>0</v>
      </c>
    </row>
    <row r="147" spans="1:107" x14ac:dyDescent="0.2">
      <c r="A147">
        <f>ROW(Source!A61)</f>
        <v>61</v>
      </c>
      <c r="B147">
        <v>68990560</v>
      </c>
      <c r="C147">
        <v>68991215</v>
      </c>
      <c r="D147">
        <v>37064878</v>
      </c>
      <c r="E147">
        <v>56</v>
      </c>
      <c r="F147">
        <v>1</v>
      </c>
      <c r="G147">
        <v>1</v>
      </c>
      <c r="H147">
        <v>1</v>
      </c>
      <c r="I147" t="s">
        <v>955</v>
      </c>
      <c r="J147" t="s">
        <v>3</v>
      </c>
      <c r="K147" t="s">
        <v>956</v>
      </c>
      <c r="L147">
        <v>1191</v>
      </c>
      <c r="N147">
        <v>1013</v>
      </c>
      <c r="O147" t="s">
        <v>818</v>
      </c>
      <c r="P147" t="s">
        <v>818</v>
      </c>
      <c r="Q147">
        <v>1</v>
      </c>
      <c r="W147">
        <v>0</v>
      </c>
      <c r="X147">
        <v>-1081351934</v>
      </c>
      <c r="Y147">
        <v>159.06915000000001</v>
      </c>
      <c r="AA147">
        <v>0</v>
      </c>
      <c r="AB147">
        <v>0</v>
      </c>
      <c r="AC147">
        <v>0</v>
      </c>
      <c r="AD147">
        <v>9.4</v>
      </c>
      <c r="AE147">
        <v>0</v>
      </c>
      <c r="AF147">
        <v>0</v>
      </c>
      <c r="AG147">
        <v>0</v>
      </c>
      <c r="AH147">
        <v>9.4</v>
      </c>
      <c r="AI147">
        <v>1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1</v>
      </c>
      <c r="AQ147">
        <v>0</v>
      </c>
      <c r="AR147">
        <v>0</v>
      </c>
      <c r="AS147" t="s">
        <v>3</v>
      </c>
      <c r="AT147">
        <v>102.46</v>
      </c>
      <c r="AU147" t="s">
        <v>147</v>
      </c>
      <c r="AV147">
        <v>1</v>
      </c>
      <c r="AW147">
        <v>2</v>
      </c>
      <c r="AX147">
        <v>68991222</v>
      </c>
      <c r="AY147">
        <v>1</v>
      </c>
      <c r="AZ147">
        <v>2048</v>
      </c>
      <c r="BA147">
        <v>158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Y147*Source!I61</f>
        <v>7.1581117499999998</v>
      </c>
      <c r="CY147">
        <f>AD147</f>
        <v>9.4</v>
      </c>
      <c r="CZ147">
        <f>AH147</f>
        <v>9.4</v>
      </c>
      <c r="DA147">
        <f>AL147</f>
        <v>1</v>
      </c>
      <c r="DB147">
        <f>ROUND(((ROUND(AT147*CZ147,2)*1.15)*1.35),2)</f>
        <v>1495.24</v>
      </c>
      <c r="DC147">
        <f>ROUND(((ROUND(AT147*AG147,2)*1.15)*1.35),2)</f>
        <v>0</v>
      </c>
    </row>
    <row r="148" spans="1:107" x14ac:dyDescent="0.2">
      <c r="A148">
        <f>ROW(Source!A61)</f>
        <v>61</v>
      </c>
      <c r="B148">
        <v>68990560</v>
      </c>
      <c r="C148">
        <v>68991215</v>
      </c>
      <c r="D148">
        <v>37064876</v>
      </c>
      <c r="E148">
        <v>56</v>
      </c>
      <c r="F148">
        <v>1</v>
      </c>
      <c r="G148">
        <v>1</v>
      </c>
      <c r="H148">
        <v>1</v>
      </c>
      <c r="I148" t="s">
        <v>819</v>
      </c>
      <c r="J148" t="s">
        <v>3</v>
      </c>
      <c r="K148" t="s">
        <v>820</v>
      </c>
      <c r="L148">
        <v>1191</v>
      </c>
      <c r="N148">
        <v>1013</v>
      </c>
      <c r="O148" t="s">
        <v>818</v>
      </c>
      <c r="P148" t="s">
        <v>818</v>
      </c>
      <c r="Q148">
        <v>1</v>
      </c>
      <c r="W148">
        <v>0</v>
      </c>
      <c r="X148">
        <v>-1417349443</v>
      </c>
      <c r="Y148">
        <v>9.0112500000000004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1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1</v>
      </c>
      <c r="AQ148">
        <v>0</v>
      </c>
      <c r="AR148">
        <v>0</v>
      </c>
      <c r="AS148" t="s">
        <v>3</v>
      </c>
      <c r="AT148">
        <v>5.34</v>
      </c>
      <c r="AU148" t="s">
        <v>146</v>
      </c>
      <c r="AV148">
        <v>2</v>
      </c>
      <c r="AW148">
        <v>2</v>
      </c>
      <c r="AX148">
        <v>68991223</v>
      </c>
      <c r="AY148">
        <v>1</v>
      </c>
      <c r="AZ148">
        <v>0</v>
      </c>
      <c r="BA148">
        <v>159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Y148*Source!I61</f>
        <v>0.40550625000000001</v>
      </c>
      <c r="CY148">
        <f>AD148</f>
        <v>0</v>
      </c>
      <c r="CZ148">
        <f>AH148</f>
        <v>0</v>
      </c>
      <c r="DA148">
        <f>AL148</f>
        <v>1</v>
      </c>
      <c r="DB148">
        <f>ROUND(((ROUND(AT148*CZ148,2)*1.25)*1.35),2)</f>
        <v>0</v>
      </c>
      <c r="DC148">
        <f>ROUND(((ROUND(AT148*AG148,2)*1.25)*1.35),2)</f>
        <v>0</v>
      </c>
    </row>
    <row r="149" spans="1:107" x14ac:dyDescent="0.2">
      <c r="A149">
        <f>ROW(Source!A61)</f>
        <v>61</v>
      </c>
      <c r="B149">
        <v>68990560</v>
      </c>
      <c r="C149">
        <v>68991215</v>
      </c>
      <c r="D149">
        <v>64401959</v>
      </c>
      <c r="E149">
        <v>1</v>
      </c>
      <c r="F149">
        <v>1</v>
      </c>
      <c r="G149">
        <v>1</v>
      </c>
      <c r="H149">
        <v>2</v>
      </c>
      <c r="I149" t="s">
        <v>859</v>
      </c>
      <c r="J149" t="s">
        <v>860</v>
      </c>
      <c r="K149" t="s">
        <v>861</v>
      </c>
      <c r="L149">
        <v>1368</v>
      </c>
      <c r="N149">
        <v>1011</v>
      </c>
      <c r="O149" t="s">
        <v>824</v>
      </c>
      <c r="P149" t="s">
        <v>824</v>
      </c>
      <c r="Q149">
        <v>1</v>
      </c>
      <c r="W149">
        <v>0</v>
      </c>
      <c r="X149">
        <v>10009565</v>
      </c>
      <c r="Y149">
        <v>1.2825</v>
      </c>
      <c r="AA149">
        <v>0</v>
      </c>
      <c r="AB149">
        <v>465.15</v>
      </c>
      <c r="AC149">
        <v>454.28</v>
      </c>
      <c r="AD149">
        <v>0</v>
      </c>
      <c r="AE149">
        <v>0</v>
      </c>
      <c r="AF149">
        <v>31.26</v>
      </c>
      <c r="AG149">
        <v>13.5</v>
      </c>
      <c r="AH149">
        <v>0</v>
      </c>
      <c r="AI149">
        <v>1</v>
      </c>
      <c r="AJ149">
        <v>14.88</v>
      </c>
      <c r="AK149">
        <v>33.65</v>
      </c>
      <c r="AL149">
        <v>1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3</v>
      </c>
      <c r="AT149">
        <v>0.76</v>
      </c>
      <c r="AU149" t="s">
        <v>146</v>
      </c>
      <c r="AV149">
        <v>0</v>
      </c>
      <c r="AW149">
        <v>2</v>
      </c>
      <c r="AX149">
        <v>68991224</v>
      </c>
      <c r="AY149">
        <v>1</v>
      </c>
      <c r="AZ149">
        <v>0</v>
      </c>
      <c r="BA149">
        <v>160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Y149*Source!I61</f>
        <v>5.77125E-2</v>
      </c>
      <c r="CY149">
        <f>AB149</f>
        <v>465.15</v>
      </c>
      <c r="CZ149">
        <f>AF149</f>
        <v>31.26</v>
      </c>
      <c r="DA149">
        <f>AJ149</f>
        <v>14.88</v>
      </c>
      <c r="DB149">
        <f>ROUND(((ROUND(AT149*CZ149,2)*1.25)*1.35),2)</f>
        <v>40.1</v>
      </c>
      <c r="DC149">
        <f>ROUND(((ROUND(AT149*AG149,2)*1.25)*1.35),2)</f>
        <v>17.309999999999999</v>
      </c>
    </row>
    <row r="150" spans="1:107" x14ac:dyDescent="0.2">
      <c r="A150">
        <f>ROW(Source!A61)</f>
        <v>61</v>
      </c>
      <c r="B150">
        <v>68990560</v>
      </c>
      <c r="C150">
        <v>68991215</v>
      </c>
      <c r="D150">
        <v>64402691</v>
      </c>
      <c r="E150">
        <v>1</v>
      </c>
      <c r="F150">
        <v>1</v>
      </c>
      <c r="G150">
        <v>1</v>
      </c>
      <c r="H150">
        <v>2</v>
      </c>
      <c r="I150" t="s">
        <v>825</v>
      </c>
      <c r="J150" t="s">
        <v>826</v>
      </c>
      <c r="K150" t="s">
        <v>827</v>
      </c>
      <c r="L150">
        <v>1368</v>
      </c>
      <c r="N150">
        <v>1011</v>
      </c>
      <c r="O150" t="s">
        <v>824</v>
      </c>
      <c r="P150" t="s">
        <v>824</v>
      </c>
      <c r="Q150">
        <v>1</v>
      </c>
      <c r="W150">
        <v>0</v>
      </c>
      <c r="X150">
        <v>-841254546</v>
      </c>
      <c r="Y150">
        <v>7.7287499999999998</v>
      </c>
      <c r="AA150">
        <v>0</v>
      </c>
      <c r="AB150">
        <v>776.04</v>
      </c>
      <c r="AC150">
        <v>390.34</v>
      </c>
      <c r="AD150">
        <v>0</v>
      </c>
      <c r="AE150">
        <v>0</v>
      </c>
      <c r="AF150">
        <v>65.709999999999994</v>
      </c>
      <c r="AG150">
        <v>11.6</v>
      </c>
      <c r="AH150">
        <v>0</v>
      </c>
      <c r="AI150">
        <v>1</v>
      </c>
      <c r="AJ150">
        <v>11.81</v>
      </c>
      <c r="AK150">
        <v>33.65</v>
      </c>
      <c r="AL150">
        <v>1</v>
      </c>
      <c r="AN150">
        <v>0</v>
      </c>
      <c r="AO150">
        <v>1</v>
      </c>
      <c r="AP150">
        <v>1</v>
      </c>
      <c r="AQ150">
        <v>0</v>
      </c>
      <c r="AR150">
        <v>0</v>
      </c>
      <c r="AS150" t="s">
        <v>3</v>
      </c>
      <c r="AT150">
        <v>4.58</v>
      </c>
      <c r="AU150" t="s">
        <v>146</v>
      </c>
      <c r="AV150">
        <v>0</v>
      </c>
      <c r="AW150">
        <v>2</v>
      </c>
      <c r="AX150">
        <v>68991225</v>
      </c>
      <c r="AY150">
        <v>1</v>
      </c>
      <c r="AZ150">
        <v>0</v>
      </c>
      <c r="BA150">
        <v>161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Y150*Source!I61</f>
        <v>0.34779374999999996</v>
      </c>
      <c r="CY150">
        <f>AB150</f>
        <v>776.04</v>
      </c>
      <c r="CZ150">
        <f>AF150</f>
        <v>65.709999999999994</v>
      </c>
      <c r="DA150">
        <f>AJ150</f>
        <v>11.81</v>
      </c>
      <c r="DB150">
        <f>ROUND(((ROUND(AT150*CZ150,2)*1.25)*1.35),2)</f>
        <v>507.85</v>
      </c>
      <c r="DC150">
        <f>ROUND(((ROUND(AT150*AG150,2)*1.25)*1.35),2)</f>
        <v>89.66</v>
      </c>
    </row>
    <row r="151" spans="1:107" x14ac:dyDescent="0.2">
      <c r="A151">
        <f>ROW(Source!A61)</f>
        <v>61</v>
      </c>
      <c r="B151">
        <v>68990560</v>
      </c>
      <c r="C151">
        <v>68991215</v>
      </c>
      <c r="D151">
        <v>64252621</v>
      </c>
      <c r="E151">
        <v>1</v>
      </c>
      <c r="F151">
        <v>1</v>
      </c>
      <c r="G151">
        <v>1</v>
      </c>
      <c r="H151">
        <v>3</v>
      </c>
      <c r="I151" t="s">
        <v>193</v>
      </c>
      <c r="J151" t="s">
        <v>195</v>
      </c>
      <c r="K151" t="s">
        <v>194</v>
      </c>
      <c r="L151">
        <v>1327</v>
      </c>
      <c r="N151">
        <v>1005</v>
      </c>
      <c r="O151" t="s">
        <v>46</v>
      </c>
      <c r="P151" t="s">
        <v>46</v>
      </c>
      <c r="Q151">
        <v>1</v>
      </c>
      <c r="W151">
        <v>1</v>
      </c>
      <c r="X151">
        <v>-719568414</v>
      </c>
      <c r="Y151">
        <v>-103</v>
      </c>
      <c r="AA151">
        <v>528.36</v>
      </c>
      <c r="AB151">
        <v>0</v>
      </c>
      <c r="AC151">
        <v>0</v>
      </c>
      <c r="AD151">
        <v>0</v>
      </c>
      <c r="AE151">
        <v>51.8</v>
      </c>
      <c r="AF151">
        <v>0</v>
      </c>
      <c r="AG151">
        <v>0</v>
      </c>
      <c r="AH151">
        <v>0</v>
      </c>
      <c r="AI151">
        <v>10.199999999999999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3</v>
      </c>
      <c r="AT151">
        <v>-103</v>
      </c>
      <c r="AU151" t="s">
        <v>3</v>
      </c>
      <c r="AV151">
        <v>0</v>
      </c>
      <c r="AW151">
        <v>2</v>
      </c>
      <c r="AX151">
        <v>68991226</v>
      </c>
      <c r="AY151">
        <v>1</v>
      </c>
      <c r="AZ151">
        <v>6144</v>
      </c>
      <c r="BA151">
        <v>162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Y151*Source!I61</f>
        <v>-4.6349999999999998</v>
      </c>
      <c r="CY151">
        <f>AA151</f>
        <v>528.36</v>
      </c>
      <c r="CZ151">
        <f>AE151</f>
        <v>51.8</v>
      </c>
      <c r="DA151">
        <f>AI151</f>
        <v>10.199999999999999</v>
      </c>
      <c r="DB151">
        <f>ROUND(ROUND(AT151*CZ151,2),2)</f>
        <v>-5335.4</v>
      </c>
      <c r="DC151">
        <f>ROUND(ROUND(AT151*AG151,2),2)</f>
        <v>0</v>
      </c>
    </row>
    <row r="152" spans="1:107" x14ac:dyDescent="0.2">
      <c r="A152">
        <f>ROW(Source!A61)</f>
        <v>61</v>
      </c>
      <c r="B152">
        <v>68990560</v>
      </c>
      <c r="C152">
        <v>68991215</v>
      </c>
      <c r="D152">
        <v>53792788</v>
      </c>
      <c r="E152">
        <v>1</v>
      </c>
      <c r="F152">
        <v>1</v>
      </c>
      <c r="G152">
        <v>1</v>
      </c>
      <c r="H152">
        <v>3</v>
      </c>
      <c r="I152" t="s">
        <v>189</v>
      </c>
      <c r="J152" t="s">
        <v>191</v>
      </c>
      <c r="K152" t="s">
        <v>190</v>
      </c>
      <c r="L152">
        <v>1327</v>
      </c>
      <c r="N152">
        <v>1005</v>
      </c>
      <c r="O152" t="s">
        <v>46</v>
      </c>
      <c r="P152" t="s">
        <v>46</v>
      </c>
      <c r="Q152">
        <v>1</v>
      </c>
      <c r="W152">
        <v>0</v>
      </c>
      <c r="X152">
        <v>-322748241</v>
      </c>
      <c r="Y152">
        <v>103</v>
      </c>
      <c r="AA152">
        <v>667.49</v>
      </c>
      <c r="AB152">
        <v>0</v>
      </c>
      <c r="AC152">
        <v>0</v>
      </c>
      <c r="AD152">
        <v>0</v>
      </c>
      <c r="AE152">
        <v>146.69999999999999</v>
      </c>
      <c r="AF152">
        <v>0</v>
      </c>
      <c r="AG152">
        <v>0</v>
      </c>
      <c r="AH152">
        <v>0</v>
      </c>
      <c r="AI152">
        <v>4.55</v>
      </c>
      <c r="AJ152">
        <v>1</v>
      </c>
      <c r="AK152">
        <v>1</v>
      </c>
      <c r="AL152">
        <v>1</v>
      </c>
      <c r="AN152">
        <v>0</v>
      </c>
      <c r="AO152">
        <v>0</v>
      </c>
      <c r="AP152">
        <v>0</v>
      </c>
      <c r="AQ152">
        <v>0</v>
      </c>
      <c r="AR152">
        <v>0</v>
      </c>
      <c r="AS152" t="s">
        <v>3</v>
      </c>
      <c r="AT152">
        <v>103</v>
      </c>
      <c r="AU152" t="s">
        <v>3</v>
      </c>
      <c r="AV152">
        <v>0</v>
      </c>
      <c r="AW152">
        <v>1</v>
      </c>
      <c r="AX152">
        <v>-1</v>
      </c>
      <c r="AY152">
        <v>0</v>
      </c>
      <c r="AZ152">
        <v>0</v>
      </c>
      <c r="BA152" t="s">
        <v>3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Y152*Source!I61</f>
        <v>4.6349999999999998</v>
      </c>
      <c r="CY152">
        <f>AA152</f>
        <v>667.49</v>
      </c>
      <c r="CZ152">
        <f>AE152</f>
        <v>146.69999999999999</v>
      </c>
      <c r="DA152">
        <f>AI152</f>
        <v>4.55</v>
      </c>
      <c r="DB152">
        <f>ROUND(ROUND(AT152*CZ152,2),2)</f>
        <v>15110.1</v>
      </c>
      <c r="DC152">
        <f>ROUND(ROUND(AT152*AG152,2),2)</f>
        <v>0</v>
      </c>
    </row>
    <row r="153" spans="1:107" x14ac:dyDescent="0.2">
      <c r="A153">
        <f>ROW(Source!A64)</f>
        <v>64</v>
      </c>
      <c r="B153">
        <v>68990560</v>
      </c>
      <c r="C153">
        <v>68991250</v>
      </c>
      <c r="D153">
        <v>64241025</v>
      </c>
      <c r="E153">
        <v>56</v>
      </c>
      <c r="F153">
        <v>1</v>
      </c>
      <c r="G153">
        <v>1</v>
      </c>
      <c r="H153">
        <v>1</v>
      </c>
      <c r="I153" t="s">
        <v>816</v>
      </c>
      <c r="J153" t="s">
        <v>3</v>
      </c>
      <c r="K153" t="s">
        <v>817</v>
      </c>
      <c r="L153">
        <v>1191</v>
      </c>
      <c r="N153">
        <v>1013</v>
      </c>
      <c r="O153" t="s">
        <v>818</v>
      </c>
      <c r="P153" t="s">
        <v>818</v>
      </c>
      <c r="Q153">
        <v>1</v>
      </c>
      <c r="W153">
        <v>0</v>
      </c>
      <c r="X153">
        <v>912892513</v>
      </c>
      <c r="Y153">
        <v>127.44</v>
      </c>
      <c r="AA153">
        <v>0</v>
      </c>
      <c r="AB153">
        <v>0</v>
      </c>
      <c r="AC153">
        <v>0</v>
      </c>
      <c r="AD153">
        <v>9.92</v>
      </c>
      <c r="AE153">
        <v>0</v>
      </c>
      <c r="AF153">
        <v>0</v>
      </c>
      <c r="AG153">
        <v>0</v>
      </c>
      <c r="AH153">
        <v>9.92</v>
      </c>
      <c r="AI153">
        <v>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3</v>
      </c>
      <c r="AT153">
        <v>94.4</v>
      </c>
      <c r="AU153" t="s">
        <v>200</v>
      </c>
      <c r="AV153">
        <v>1</v>
      </c>
      <c r="AW153">
        <v>2</v>
      </c>
      <c r="AX153">
        <v>68991251</v>
      </c>
      <c r="AY153">
        <v>1</v>
      </c>
      <c r="AZ153">
        <v>2048</v>
      </c>
      <c r="BA153">
        <v>163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Y153*Source!I64</f>
        <v>2.5488</v>
      </c>
      <c r="CY153">
        <f>AD153</f>
        <v>9.92</v>
      </c>
      <c r="CZ153">
        <f>AH153</f>
        <v>9.92</v>
      </c>
      <c r="DA153">
        <f>AL153</f>
        <v>1</v>
      </c>
      <c r="DB153">
        <f>ROUND((ROUND(AT153*CZ153,2)*1.35),2)</f>
        <v>1264.21</v>
      </c>
      <c r="DC153">
        <f>ROUND((ROUND(AT153*AG153,2)*1.35),2)</f>
        <v>0</v>
      </c>
    </row>
    <row r="154" spans="1:107" x14ac:dyDescent="0.2">
      <c r="A154">
        <f>ROW(Source!A64)</f>
        <v>64</v>
      </c>
      <c r="B154">
        <v>68990560</v>
      </c>
      <c r="C154">
        <v>68991250</v>
      </c>
      <c r="D154">
        <v>64241154</v>
      </c>
      <c r="E154">
        <v>56</v>
      </c>
      <c r="F154">
        <v>1</v>
      </c>
      <c r="G154">
        <v>1</v>
      </c>
      <c r="H154">
        <v>1</v>
      </c>
      <c r="I154" t="s">
        <v>819</v>
      </c>
      <c r="J154" t="s">
        <v>3</v>
      </c>
      <c r="K154" t="s">
        <v>820</v>
      </c>
      <c r="L154">
        <v>1191</v>
      </c>
      <c r="N154">
        <v>1013</v>
      </c>
      <c r="O154" t="s">
        <v>818</v>
      </c>
      <c r="P154" t="s">
        <v>818</v>
      </c>
      <c r="Q154">
        <v>1</v>
      </c>
      <c r="W154">
        <v>0</v>
      </c>
      <c r="X154">
        <v>-1417349443</v>
      </c>
      <c r="Y154">
        <v>0.54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1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1</v>
      </c>
      <c r="AQ154">
        <v>0</v>
      </c>
      <c r="AR154">
        <v>0</v>
      </c>
      <c r="AS154" t="s">
        <v>3</v>
      </c>
      <c r="AT154">
        <v>0.4</v>
      </c>
      <c r="AU154" t="s">
        <v>200</v>
      </c>
      <c r="AV154">
        <v>2</v>
      </c>
      <c r="AW154">
        <v>2</v>
      </c>
      <c r="AX154">
        <v>68991252</v>
      </c>
      <c r="AY154">
        <v>1</v>
      </c>
      <c r="AZ154">
        <v>0</v>
      </c>
      <c r="BA154">
        <v>164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Y154*Source!I64</f>
        <v>1.0800000000000001E-2</v>
      </c>
      <c r="CY154">
        <f>AD154</f>
        <v>0</v>
      </c>
      <c r="CZ154">
        <f>AH154</f>
        <v>0</v>
      </c>
      <c r="DA154">
        <f>AL154</f>
        <v>1</v>
      </c>
      <c r="DB154">
        <f>ROUND((ROUND(AT154*CZ154,2)*1.35),2)</f>
        <v>0</v>
      </c>
      <c r="DC154">
        <f>ROUND((ROUND(AT154*AG154,2)*1.35),2)</f>
        <v>0</v>
      </c>
    </row>
    <row r="155" spans="1:107" x14ac:dyDescent="0.2">
      <c r="A155">
        <f>ROW(Source!A64)</f>
        <v>64</v>
      </c>
      <c r="B155">
        <v>68990560</v>
      </c>
      <c r="C155">
        <v>68991250</v>
      </c>
      <c r="D155">
        <v>64401763</v>
      </c>
      <c r="E155">
        <v>1</v>
      </c>
      <c r="F155">
        <v>1</v>
      </c>
      <c r="G155">
        <v>1</v>
      </c>
      <c r="H155">
        <v>2</v>
      </c>
      <c r="I155" t="s">
        <v>821</v>
      </c>
      <c r="J155" t="s">
        <v>822</v>
      </c>
      <c r="K155" t="s">
        <v>823</v>
      </c>
      <c r="L155">
        <v>1368</v>
      </c>
      <c r="N155">
        <v>1011</v>
      </c>
      <c r="O155" t="s">
        <v>824</v>
      </c>
      <c r="P155" t="s">
        <v>824</v>
      </c>
      <c r="Q155">
        <v>1</v>
      </c>
      <c r="W155">
        <v>0</v>
      </c>
      <c r="X155">
        <v>-1346461524</v>
      </c>
      <c r="Y155">
        <v>0.27</v>
      </c>
      <c r="AA155">
        <v>0</v>
      </c>
      <c r="AB155">
        <v>1074.3699999999999</v>
      </c>
      <c r="AC155">
        <v>454.28</v>
      </c>
      <c r="AD155">
        <v>0</v>
      </c>
      <c r="AE155">
        <v>0</v>
      </c>
      <c r="AF155">
        <v>115.4</v>
      </c>
      <c r="AG155">
        <v>13.5</v>
      </c>
      <c r="AH155">
        <v>0</v>
      </c>
      <c r="AI155">
        <v>1</v>
      </c>
      <c r="AJ155">
        <v>9.31</v>
      </c>
      <c r="AK155">
        <v>33.65</v>
      </c>
      <c r="AL155">
        <v>1</v>
      </c>
      <c r="AN155">
        <v>0</v>
      </c>
      <c r="AO155">
        <v>1</v>
      </c>
      <c r="AP155">
        <v>1</v>
      </c>
      <c r="AQ155">
        <v>0</v>
      </c>
      <c r="AR155">
        <v>0</v>
      </c>
      <c r="AS155" t="s">
        <v>3</v>
      </c>
      <c r="AT155">
        <v>0.2</v>
      </c>
      <c r="AU155" t="s">
        <v>200</v>
      </c>
      <c r="AV155">
        <v>0</v>
      </c>
      <c r="AW155">
        <v>2</v>
      </c>
      <c r="AX155">
        <v>68991253</v>
      </c>
      <c r="AY155">
        <v>1</v>
      </c>
      <c r="AZ155">
        <v>0</v>
      </c>
      <c r="BA155">
        <v>165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Y155*Source!I64</f>
        <v>5.4000000000000003E-3</v>
      </c>
      <c r="CY155">
        <f>AB155</f>
        <v>1074.3699999999999</v>
      </c>
      <c r="CZ155">
        <f>AF155</f>
        <v>115.4</v>
      </c>
      <c r="DA155">
        <f>AJ155</f>
        <v>9.31</v>
      </c>
      <c r="DB155">
        <f>ROUND((ROUND(AT155*CZ155,2)*1.35),2)</f>
        <v>31.16</v>
      </c>
      <c r="DC155">
        <f>ROUND((ROUND(AT155*AG155,2)*1.35),2)</f>
        <v>3.65</v>
      </c>
    </row>
    <row r="156" spans="1:107" x14ac:dyDescent="0.2">
      <c r="A156">
        <f>ROW(Source!A64)</f>
        <v>64</v>
      </c>
      <c r="B156">
        <v>68990560</v>
      </c>
      <c r="C156">
        <v>68991250</v>
      </c>
      <c r="D156">
        <v>64402691</v>
      </c>
      <c r="E156">
        <v>1</v>
      </c>
      <c r="F156">
        <v>1</v>
      </c>
      <c r="G156">
        <v>1</v>
      </c>
      <c r="H156">
        <v>2</v>
      </c>
      <c r="I156" t="s">
        <v>825</v>
      </c>
      <c r="J156" t="s">
        <v>826</v>
      </c>
      <c r="K156" t="s">
        <v>827</v>
      </c>
      <c r="L156">
        <v>1368</v>
      </c>
      <c r="N156">
        <v>1011</v>
      </c>
      <c r="O156" t="s">
        <v>824</v>
      </c>
      <c r="P156" t="s">
        <v>824</v>
      </c>
      <c r="Q156">
        <v>1</v>
      </c>
      <c r="W156">
        <v>0</v>
      </c>
      <c r="X156">
        <v>-841254546</v>
      </c>
      <c r="Y156">
        <v>0.27</v>
      </c>
      <c r="AA156">
        <v>0</v>
      </c>
      <c r="AB156">
        <v>776.04</v>
      </c>
      <c r="AC156">
        <v>390.34</v>
      </c>
      <c r="AD156">
        <v>0</v>
      </c>
      <c r="AE156">
        <v>0</v>
      </c>
      <c r="AF156">
        <v>65.709999999999994</v>
      </c>
      <c r="AG156">
        <v>11.6</v>
      </c>
      <c r="AH156">
        <v>0</v>
      </c>
      <c r="AI156">
        <v>1</v>
      </c>
      <c r="AJ156">
        <v>11.81</v>
      </c>
      <c r="AK156">
        <v>33.65</v>
      </c>
      <c r="AL156">
        <v>1</v>
      </c>
      <c r="AN156">
        <v>0</v>
      </c>
      <c r="AO156">
        <v>1</v>
      </c>
      <c r="AP156">
        <v>1</v>
      </c>
      <c r="AQ156">
        <v>0</v>
      </c>
      <c r="AR156">
        <v>0</v>
      </c>
      <c r="AS156" t="s">
        <v>3</v>
      </c>
      <c r="AT156">
        <v>0.2</v>
      </c>
      <c r="AU156" t="s">
        <v>200</v>
      </c>
      <c r="AV156">
        <v>0</v>
      </c>
      <c r="AW156">
        <v>2</v>
      </c>
      <c r="AX156">
        <v>68991254</v>
      </c>
      <c r="AY156">
        <v>1</v>
      </c>
      <c r="AZ156">
        <v>0</v>
      </c>
      <c r="BA156">
        <v>166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Y156*Source!I64</f>
        <v>5.4000000000000003E-3</v>
      </c>
      <c r="CY156">
        <f>AB156</f>
        <v>776.04</v>
      </c>
      <c r="CZ156">
        <f>AF156</f>
        <v>65.709999999999994</v>
      </c>
      <c r="DA156">
        <f>AJ156</f>
        <v>11.81</v>
      </c>
      <c r="DB156">
        <f>ROUND((ROUND(AT156*CZ156,2)*1.35),2)</f>
        <v>17.739999999999998</v>
      </c>
      <c r="DC156">
        <f>ROUND((ROUND(AT156*AG156,2)*1.35),2)</f>
        <v>3.13</v>
      </c>
    </row>
    <row r="157" spans="1:107" x14ac:dyDescent="0.2">
      <c r="A157">
        <f>ROW(Source!A64)</f>
        <v>64</v>
      </c>
      <c r="B157">
        <v>68990560</v>
      </c>
      <c r="C157">
        <v>68991250</v>
      </c>
      <c r="D157">
        <v>53953258</v>
      </c>
      <c r="E157">
        <v>1</v>
      </c>
      <c r="F157">
        <v>1</v>
      </c>
      <c r="G157">
        <v>1</v>
      </c>
      <c r="H157">
        <v>3</v>
      </c>
      <c r="I157" t="s">
        <v>202</v>
      </c>
      <c r="J157" t="s">
        <v>204</v>
      </c>
      <c r="K157" t="s">
        <v>203</v>
      </c>
      <c r="L157">
        <v>1371</v>
      </c>
      <c r="N157">
        <v>1013</v>
      </c>
      <c r="O157" t="s">
        <v>29</v>
      </c>
      <c r="P157" t="s">
        <v>29</v>
      </c>
      <c r="Q157">
        <v>1</v>
      </c>
      <c r="W157">
        <v>0</v>
      </c>
      <c r="X157">
        <v>1559818039</v>
      </c>
      <c r="Y157">
        <v>100</v>
      </c>
      <c r="AA157">
        <v>2271.02</v>
      </c>
      <c r="AB157">
        <v>0</v>
      </c>
      <c r="AC157">
        <v>0</v>
      </c>
      <c r="AD157">
        <v>0</v>
      </c>
      <c r="AE157">
        <v>229.86</v>
      </c>
      <c r="AF157">
        <v>0</v>
      </c>
      <c r="AG157">
        <v>0</v>
      </c>
      <c r="AH157">
        <v>0</v>
      </c>
      <c r="AI157">
        <v>9.8800000000000008</v>
      </c>
      <c r="AJ157">
        <v>1</v>
      </c>
      <c r="AK157">
        <v>1</v>
      </c>
      <c r="AL157">
        <v>1</v>
      </c>
      <c r="AN157">
        <v>0</v>
      </c>
      <c r="AO157">
        <v>0</v>
      </c>
      <c r="AP157">
        <v>0</v>
      </c>
      <c r="AQ157">
        <v>0</v>
      </c>
      <c r="AR157">
        <v>0</v>
      </c>
      <c r="AS157" t="s">
        <v>3</v>
      </c>
      <c r="AT157">
        <v>100</v>
      </c>
      <c r="AU157" t="s">
        <v>3</v>
      </c>
      <c r="AV157">
        <v>0</v>
      </c>
      <c r="AW157">
        <v>1</v>
      </c>
      <c r="AX157">
        <v>-1</v>
      </c>
      <c r="AY157">
        <v>0</v>
      </c>
      <c r="AZ157">
        <v>0</v>
      </c>
      <c r="BA157" t="s">
        <v>3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Y157*Source!I64</f>
        <v>2</v>
      </c>
      <c r="CY157">
        <f>AA157</f>
        <v>2271.02</v>
      </c>
      <c r="CZ157">
        <f>AE157</f>
        <v>229.86</v>
      </c>
      <c r="DA157">
        <f>AI157</f>
        <v>9.8800000000000008</v>
      </c>
      <c r="DB157">
        <f>ROUND(ROUND(AT157*CZ157,2),2)</f>
        <v>22986</v>
      </c>
      <c r="DC157">
        <f>ROUND(ROUND(AT157*AG157,2),2)</f>
        <v>0</v>
      </c>
    </row>
    <row r="158" spans="1:107" x14ac:dyDescent="0.2">
      <c r="A158">
        <f>ROW(Source!A64)</f>
        <v>64</v>
      </c>
      <c r="B158">
        <v>68990560</v>
      </c>
      <c r="C158">
        <v>68991250</v>
      </c>
      <c r="D158">
        <v>64301194</v>
      </c>
      <c r="E158">
        <v>1</v>
      </c>
      <c r="F158">
        <v>1</v>
      </c>
      <c r="G158">
        <v>1</v>
      </c>
      <c r="H158">
        <v>3</v>
      </c>
      <c r="I158" t="s">
        <v>1040</v>
      </c>
      <c r="J158" t="s">
        <v>1041</v>
      </c>
      <c r="K158" t="s">
        <v>1042</v>
      </c>
      <c r="L158">
        <v>1425</v>
      </c>
      <c r="N158">
        <v>1013</v>
      </c>
      <c r="O158" t="s">
        <v>18</v>
      </c>
      <c r="P158" t="s">
        <v>18</v>
      </c>
      <c r="Q158">
        <v>1</v>
      </c>
      <c r="W158">
        <v>0</v>
      </c>
      <c r="X158">
        <v>-421898404</v>
      </c>
      <c r="Y158">
        <v>1.02</v>
      </c>
      <c r="AA158">
        <v>544</v>
      </c>
      <c r="AB158">
        <v>0</v>
      </c>
      <c r="AC158">
        <v>0</v>
      </c>
      <c r="AD158">
        <v>0</v>
      </c>
      <c r="AE158">
        <v>100</v>
      </c>
      <c r="AF158">
        <v>0</v>
      </c>
      <c r="AG158">
        <v>0</v>
      </c>
      <c r="AH158">
        <v>0</v>
      </c>
      <c r="AI158">
        <v>5.44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3</v>
      </c>
      <c r="AT158">
        <v>1.02</v>
      </c>
      <c r="AU158" t="s">
        <v>3</v>
      </c>
      <c r="AV158">
        <v>0</v>
      </c>
      <c r="AW158">
        <v>2</v>
      </c>
      <c r="AX158">
        <v>68991255</v>
      </c>
      <c r="AY158">
        <v>1</v>
      </c>
      <c r="AZ158">
        <v>0</v>
      </c>
      <c r="BA158">
        <v>167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Y158*Source!I64</f>
        <v>2.0400000000000001E-2</v>
      </c>
      <c r="CY158">
        <f>AA158</f>
        <v>544</v>
      </c>
      <c r="CZ158">
        <f>AE158</f>
        <v>100</v>
      </c>
      <c r="DA158">
        <f>AI158</f>
        <v>5.44</v>
      </c>
      <c r="DB158">
        <f>ROUND(ROUND(AT158*CZ158,2),2)</f>
        <v>102</v>
      </c>
      <c r="DC158">
        <f>ROUND(ROUND(AT158*AG158,2),2)</f>
        <v>0</v>
      </c>
    </row>
    <row r="159" spans="1:107" x14ac:dyDescent="0.2">
      <c r="A159">
        <f>ROW(Source!A64)</f>
        <v>64</v>
      </c>
      <c r="B159">
        <v>68990560</v>
      </c>
      <c r="C159">
        <v>68991250</v>
      </c>
      <c r="D159">
        <v>64245580</v>
      </c>
      <c r="E159">
        <v>56</v>
      </c>
      <c r="F159">
        <v>1</v>
      </c>
      <c r="G159">
        <v>1</v>
      </c>
      <c r="H159">
        <v>3</v>
      </c>
      <c r="I159" t="s">
        <v>837</v>
      </c>
      <c r="J159" t="s">
        <v>3</v>
      </c>
      <c r="K159" t="s">
        <v>838</v>
      </c>
      <c r="L159">
        <v>1374</v>
      </c>
      <c r="N159">
        <v>1013</v>
      </c>
      <c r="O159" t="s">
        <v>839</v>
      </c>
      <c r="P159" t="s">
        <v>839</v>
      </c>
      <c r="Q159">
        <v>1</v>
      </c>
      <c r="W159">
        <v>0</v>
      </c>
      <c r="X159">
        <v>-1731369543</v>
      </c>
      <c r="Y159">
        <v>18.73</v>
      </c>
      <c r="AA159">
        <v>1</v>
      </c>
      <c r="AB159">
        <v>0</v>
      </c>
      <c r="AC159">
        <v>0</v>
      </c>
      <c r="AD159">
        <v>0</v>
      </c>
      <c r="AE159">
        <v>1</v>
      </c>
      <c r="AF159">
        <v>0</v>
      </c>
      <c r="AG159">
        <v>0</v>
      </c>
      <c r="AH159">
        <v>0</v>
      </c>
      <c r="AI159">
        <v>1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3</v>
      </c>
      <c r="AT159">
        <v>18.73</v>
      </c>
      <c r="AU159" t="s">
        <v>3</v>
      </c>
      <c r="AV159">
        <v>0</v>
      </c>
      <c r="AW159">
        <v>2</v>
      </c>
      <c r="AX159">
        <v>68991256</v>
      </c>
      <c r="AY159">
        <v>1</v>
      </c>
      <c r="AZ159">
        <v>0</v>
      </c>
      <c r="BA159">
        <v>168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Y159*Source!I64</f>
        <v>0.37460000000000004</v>
      </c>
      <c r="CY159">
        <f>AA159</f>
        <v>1</v>
      </c>
      <c r="CZ159">
        <f>AE159</f>
        <v>1</v>
      </c>
      <c r="DA159">
        <f>AI159</f>
        <v>1</v>
      </c>
      <c r="DB159">
        <f>ROUND(ROUND(AT159*CZ159,2),2)</f>
        <v>18.73</v>
      </c>
      <c r="DC159">
        <f>ROUND(ROUND(AT159*AG159,2),2)</f>
        <v>0</v>
      </c>
    </row>
    <row r="160" spans="1:107" x14ac:dyDescent="0.2">
      <c r="A160">
        <f>ROW(Source!A66)</f>
        <v>66</v>
      </c>
      <c r="B160">
        <v>68990560</v>
      </c>
      <c r="C160">
        <v>68991261</v>
      </c>
      <c r="D160">
        <v>37065248</v>
      </c>
      <c r="E160">
        <v>56</v>
      </c>
      <c r="F160">
        <v>1</v>
      </c>
      <c r="G160">
        <v>1</v>
      </c>
      <c r="H160">
        <v>1</v>
      </c>
      <c r="I160" t="s">
        <v>857</v>
      </c>
      <c r="J160" t="s">
        <v>3</v>
      </c>
      <c r="K160" t="s">
        <v>858</v>
      </c>
      <c r="L160">
        <v>1191</v>
      </c>
      <c r="N160">
        <v>1013</v>
      </c>
      <c r="O160" t="s">
        <v>818</v>
      </c>
      <c r="P160" t="s">
        <v>818</v>
      </c>
      <c r="Q160">
        <v>1</v>
      </c>
      <c r="W160">
        <v>0</v>
      </c>
      <c r="X160">
        <v>-400197608</v>
      </c>
      <c r="Y160">
        <v>127.88</v>
      </c>
      <c r="AA160">
        <v>0</v>
      </c>
      <c r="AB160">
        <v>0</v>
      </c>
      <c r="AC160">
        <v>0</v>
      </c>
      <c r="AD160">
        <v>8.5299999999999994</v>
      </c>
      <c r="AE160">
        <v>0</v>
      </c>
      <c r="AF160">
        <v>0</v>
      </c>
      <c r="AG160">
        <v>0</v>
      </c>
      <c r="AH160">
        <v>8.5299999999999994</v>
      </c>
      <c r="AI160">
        <v>1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1</v>
      </c>
      <c r="AQ160">
        <v>0</v>
      </c>
      <c r="AR160">
        <v>0</v>
      </c>
      <c r="AS160" t="s">
        <v>3</v>
      </c>
      <c r="AT160">
        <v>111.2</v>
      </c>
      <c r="AU160" t="s">
        <v>38</v>
      </c>
      <c r="AV160">
        <v>1</v>
      </c>
      <c r="AW160">
        <v>2</v>
      </c>
      <c r="AX160">
        <v>68991268</v>
      </c>
      <c r="AY160">
        <v>1</v>
      </c>
      <c r="AZ160">
        <v>0</v>
      </c>
      <c r="BA160">
        <v>169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Y160*Source!I66</f>
        <v>1.5985</v>
      </c>
      <c r="CY160">
        <f>AD160</f>
        <v>8.5299999999999994</v>
      </c>
      <c r="CZ160">
        <f>AH160</f>
        <v>8.5299999999999994</v>
      </c>
      <c r="DA160">
        <f>AL160</f>
        <v>1</v>
      </c>
      <c r="DB160">
        <f>ROUND((ROUND(AT160*CZ160,2)*1.15),2)</f>
        <v>1090.82</v>
      </c>
      <c r="DC160">
        <f>ROUND((ROUND(AT160*AG160,2)*1.15),2)</f>
        <v>0</v>
      </c>
    </row>
    <row r="161" spans="1:107" x14ac:dyDescent="0.2">
      <c r="A161">
        <f>ROW(Source!A66)</f>
        <v>66</v>
      </c>
      <c r="B161">
        <v>68990560</v>
      </c>
      <c r="C161">
        <v>68991261</v>
      </c>
      <c r="D161">
        <v>37064876</v>
      </c>
      <c r="E161">
        <v>56</v>
      </c>
      <c r="F161">
        <v>1</v>
      </c>
      <c r="G161">
        <v>1</v>
      </c>
      <c r="H161">
        <v>1</v>
      </c>
      <c r="I161" t="s">
        <v>819</v>
      </c>
      <c r="J161" t="s">
        <v>3</v>
      </c>
      <c r="K161" t="s">
        <v>820</v>
      </c>
      <c r="L161">
        <v>1191</v>
      </c>
      <c r="N161">
        <v>1013</v>
      </c>
      <c r="O161" t="s">
        <v>818</v>
      </c>
      <c r="P161" t="s">
        <v>818</v>
      </c>
      <c r="Q161">
        <v>1</v>
      </c>
      <c r="W161">
        <v>0</v>
      </c>
      <c r="X161">
        <v>-1417349443</v>
      </c>
      <c r="Y161">
        <v>2.0699999999999998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1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1</v>
      </c>
      <c r="AQ161">
        <v>0</v>
      </c>
      <c r="AR161">
        <v>0</v>
      </c>
      <c r="AS161" t="s">
        <v>3</v>
      </c>
      <c r="AT161">
        <v>1.8</v>
      </c>
      <c r="AU161" t="s">
        <v>38</v>
      </c>
      <c r="AV161">
        <v>2</v>
      </c>
      <c r="AW161">
        <v>2</v>
      </c>
      <c r="AX161">
        <v>68991269</v>
      </c>
      <c r="AY161">
        <v>1</v>
      </c>
      <c r="AZ161">
        <v>0</v>
      </c>
      <c r="BA161">
        <v>170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Y161*Source!I66</f>
        <v>2.5874999999999999E-2</v>
      </c>
      <c r="CY161">
        <f>AD161</f>
        <v>0</v>
      </c>
      <c r="CZ161">
        <f>AH161</f>
        <v>0</v>
      </c>
      <c r="DA161">
        <f>AL161</f>
        <v>1</v>
      </c>
      <c r="DB161">
        <f>ROUND((ROUND(AT161*CZ161,2)*1.15),2)</f>
        <v>0</v>
      </c>
      <c r="DC161">
        <f>ROUND((ROUND(AT161*AG161,2)*1.15),2)</f>
        <v>0</v>
      </c>
    </row>
    <row r="162" spans="1:107" x14ac:dyDescent="0.2">
      <c r="A162">
        <f>ROW(Source!A66)</f>
        <v>66</v>
      </c>
      <c r="B162">
        <v>68990560</v>
      </c>
      <c r="C162">
        <v>68991261</v>
      </c>
      <c r="D162">
        <v>64401959</v>
      </c>
      <c r="E162">
        <v>1</v>
      </c>
      <c r="F162">
        <v>1</v>
      </c>
      <c r="G162">
        <v>1</v>
      </c>
      <c r="H162">
        <v>2</v>
      </c>
      <c r="I162" t="s">
        <v>859</v>
      </c>
      <c r="J162" t="s">
        <v>860</v>
      </c>
      <c r="K162" t="s">
        <v>861</v>
      </c>
      <c r="L162">
        <v>1368</v>
      </c>
      <c r="N162">
        <v>1011</v>
      </c>
      <c r="O162" t="s">
        <v>824</v>
      </c>
      <c r="P162" t="s">
        <v>824</v>
      </c>
      <c r="Q162">
        <v>1</v>
      </c>
      <c r="W162">
        <v>0</v>
      </c>
      <c r="X162">
        <v>10009565</v>
      </c>
      <c r="Y162">
        <v>2.0699999999999998</v>
      </c>
      <c r="AA162">
        <v>0</v>
      </c>
      <c r="AB162">
        <v>465.15</v>
      </c>
      <c r="AC162">
        <v>454.28</v>
      </c>
      <c r="AD162">
        <v>0</v>
      </c>
      <c r="AE162">
        <v>0</v>
      </c>
      <c r="AF162">
        <v>31.26</v>
      </c>
      <c r="AG162">
        <v>13.5</v>
      </c>
      <c r="AH162">
        <v>0</v>
      </c>
      <c r="AI162">
        <v>1</v>
      </c>
      <c r="AJ162">
        <v>14.88</v>
      </c>
      <c r="AK162">
        <v>33.65</v>
      </c>
      <c r="AL162">
        <v>1</v>
      </c>
      <c r="AN162">
        <v>0</v>
      </c>
      <c r="AO162">
        <v>1</v>
      </c>
      <c r="AP162">
        <v>1</v>
      </c>
      <c r="AQ162">
        <v>0</v>
      </c>
      <c r="AR162">
        <v>0</v>
      </c>
      <c r="AS162" t="s">
        <v>3</v>
      </c>
      <c r="AT162">
        <v>1.8</v>
      </c>
      <c r="AU162" t="s">
        <v>38</v>
      </c>
      <c r="AV162">
        <v>0</v>
      </c>
      <c r="AW162">
        <v>2</v>
      </c>
      <c r="AX162">
        <v>68991270</v>
      </c>
      <c r="AY162">
        <v>1</v>
      </c>
      <c r="AZ162">
        <v>0</v>
      </c>
      <c r="BA162">
        <v>171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Y162*Source!I66</f>
        <v>2.5874999999999999E-2</v>
      </c>
      <c r="CY162">
        <f>AB162</f>
        <v>465.15</v>
      </c>
      <c r="CZ162">
        <f>AF162</f>
        <v>31.26</v>
      </c>
      <c r="DA162">
        <f>AJ162</f>
        <v>14.88</v>
      </c>
      <c r="DB162">
        <f>ROUND((ROUND(AT162*CZ162,2)*1.15),2)</f>
        <v>64.709999999999994</v>
      </c>
      <c r="DC162">
        <f>ROUND((ROUND(AT162*AG162,2)*1.15),2)</f>
        <v>27.95</v>
      </c>
    </row>
    <row r="163" spans="1:107" x14ac:dyDescent="0.2">
      <c r="A163">
        <f>ROW(Source!A66)</f>
        <v>66</v>
      </c>
      <c r="B163">
        <v>68990560</v>
      </c>
      <c r="C163">
        <v>68991261</v>
      </c>
      <c r="D163">
        <v>64402923</v>
      </c>
      <c r="E163">
        <v>1</v>
      </c>
      <c r="F163">
        <v>1</v>
      </c>
      <c r="G163">
        <v>1</v>
      </c>
      <c r="H163">
        <v>2</v>
      </c>
      <c r="I163" t="s">
        <v>886</v>
      </c>
      <c r="J163" t="s">
        <v>887</v>
      </c>
      <c r="K163" t="s">
        <v>888</v>
      </c>
      <c r="L163">
        <v>1368</v>
      </c>
      <c r="N163">
        <v>1011</v>
      </c>
      <c r="O163" t="s">
        <v>824</v>
      </c>
      <c r="P163" t="s">
        <v>824</v>
      </c>
      <c r="Q163">
        <v>1</v>
      </c>
      <c r="W163">
        <v>0</v>
      </c>
      <c r="X163">
        <v>1975152863</v>
      </c>
      <c r="Y163">
        <v>22.08</v>
      </c>
      <c r="AA163">
        <v>0</v>
      </c>
      <c r="AB163">
        <v>135.69</v>
      </c>
      <c r="AC163">
        <v>0</v>
      </c>
      <c r="AD163">
        <v>0</v>
      </c>
      <c r="AE163">
        <v>0</v>
      </c>
      <c r="AF163">
        <v>48.81</v>
      </c>
      <c r="AG163">
        <v>0</v>
      </c>
      <c r="AH163">
        <v>0</v>
      </c>
      <c r="AI163">
        <v>1</v>
      </c>
      <c r="AJ163">
        <v>2.78</v>
      </c>
      <c r="AK163">
        <v>33.65</v>
      </c>
      <c r="AL163">
        <v>1</v>
      </c>
      <c r="AN163">
        <v>0</v>
      </c>
      <c r="AO163">
        <v>1</v>
      </c>
      <c r="AP163">
        <v>1</v>
      </c>
      <c r="AQ163">
        <v>0</v>
      </c>
      <c r="AR163">
        <v>0</v>
      </c>
      <c r="AS163" t="s">
        <v>3</v>
      </c>
      <c r="AT163">
        <v>19.2</v>
      </c>
      <c r="AU163" t="s">
        <v>38</v>
      </c>
      <c r="AV163">
        <v>0</v>
      </c>
      <c r="AW163">
        <v>2</v>
      </c>
      <c r="AX163">
        <v>68991271</v>
      </c>
      <c r="AY163">
        <v>1</v>
      </c>
      <c r="AZ163">
        <v>0</v>
      </c>
      <c r="BA163">
        <v>172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Y163*Source!I66</f>
        <v>0.27599999999999997</v>
      </c>
      <c r="CY163">
        <f>AB163</f>
        <v>135.69</v>
      </c>
      <c r="CZ163">
        <f>AF163</f>
        <v>48.81</v>
      </c>
      <c r="DA163">
        <f>AJ163</f>
        <v>2.78</v>
      </c>
      <c r="DB163">
        <f>ROUND((ROUND(AT163*CZ163,2)*1.15),2)</f>
        <v>1077.72</v>
      </c>
      <c r="DC163">
        <f>ROUND((ROUND(AT163*AG163,2)*1.15),2)</f>
        <v>0</v>
      </c>
    </row>
    <row r="164" spans="1:107" x14ac:dyDescent="0.2">
      <c r="A164">
        <f>ROW(Source!A66)</f>
        <v>66</v>
      </c>
      <c r="B164">
        <v>68990560</v>
      </c>
      <c r="C164">
        <v>68991261</v>
      </c>
      <c r="D164">
        <v>64403375</v>
      </c>
      <c r="E164">
        <v>1</v>
      </c>
      <c r="F164">
        <v>1</v>
      </c>
      <c r="G164">
        <v>1</v>
      </c>
      <c r="H164">
        <v>2</v>
      </c>
      <c r="I164" t="s">
        <v>889</v>
      </c>
      <c r="J164" t="s">
        <v>890</v>
      </c>
      <c r="K164" t="s">
        <v>891</v>
      </c>
      <c r="L164">
        <v>1368</v>
      </c>
      <c r="N164">
        <v>1011</v>
      </c>
      <c r="O164" t="s">
        <v>824</v>
      </c>
      <c r="P164" t="s">
        <v>824</v>
      </c>
      <c r="Q164">
        <v>1</v>
      </c>
      <c r="W164">
        <v>0</v>
      </c>
      <c r="X164">
        <v>1943608298</v>
      </c>
      <c r="Y164">
        <v>44.16</v>
      </c>
      <c r="AA164">
        <v>0</v>
      </c>
      <c r="AB164">
        <v>5.75</v>
      </c>
      <c r="AC164">
        <v>0</v>
      </c>
      <c r="AD164">
        <v>0</v>
      </c>
      <c r="AE164">
        <v>0</v>
      </c>
      <c r="AF164">
        <v>1.53</v>
      </c>
      <c r="AG164">
        <v>0</v>
      </c>
      <c r="AH164">
        <v>0</v>
      </c>
      <c r="AI164">
        <v>1</v>
      </c>
      <c r="AJ164">
        <v>3.76</v>
      </c>
      <c r="AK164">
        <v>33.65</v>
      </c>
      <c r="AL164">
        <v>1</v>
      </c>
      <c r="AN164">
        <v>0</v>
      </c>
      <c r="AO164">
        <v>1</v>
      </c>
      <c r="AP164">
        <v>1</v>
      </c>
      <c r="AQ164">
        <v>0</v>
      </c>
      <c r="AR164">
        <v>0</v>
      </c>
      <c r="AS164" t="s">
        <v>3</v>
      </c>
      <c r="AT164">
        <v>38.4</v>
      </c>
      <c r="AU164" t="s">
        <v>38</v>
      </c>
      <c r="AV164">
        <v>0</v>
      </c>
      <c r="AW164">
        <v>2</v>
      </c>
      <c r="AX164">
        <v>68991272</v>
      </c>
      <c r="AY164">
        <v>1</v>
      </c>
      <c r="AZ164">
        <v>0</v>
      </c>
      <c r="BA164">
        <v>173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Y164*Source!I66</f>
        <v>0.55199999999999994</v>
      </c>
      <c r="CY164">
        <f>AB164</f>
        <v>5.75</v>
      </c>
      <c r="CZ164">
        <f>AF164</f>
        <v>1.53</v>
      </c>
      <c r="DA164">
        <f>AJ164</f>
        <v>3.76</v>
      </c>
      <c r="DB164">
        <f>ROUND((ROUND(AT164*CZ164,2)*1.15),2)</f>
        <v>67.56</v>
      </c>
      <c r="DC164">
        <f>ROUND((ROUND(AT164*AG164,2)*1.15),2)</f>
        <v>0</v>
      </c>
    </row>
    <row r="165" spans="1:107" x14ac:dyDescent="0.2">
      <c r="A165">
        <f>ROW(Source!A66)</f>
        <v>66</v>
      </c>
      <c r="B165">
        <v>68990560</v>
      </c>
      <c r="C165">
        <v>68991261</v>
      </c>
      <c r="D165">
        <v>64245577</v>
      </c>
      <c r="E165">
        <v>56</v>
      </c>
      <c r="F165">
        <v>1</v>
      </c>
      <c r="G165">
        <v>1</v>
      </c>
      <c r="H165">
        <v>3</v>
      </c>
      <c r="I165" t="s">
        <v>69</v>
      </c>
      <c r="J165" t="s">
        <v>3</v>
      </c>
      <c r="K165" t="s">
        <v>70</v>
      </c>
      <c r="L165">
        <v>1348</v>
      </c>
      <c r="N165">
        <v>1009</v>
      </c>
      <c r="O165" t="s">
        <v>71</v>
      </c>
      <c r="P165" t="s">
        <v>71</v>
      </c>
      <c r="Q165">
        <v>1000</v>
      </c>
      <c r="W165">
        <v>0</v>
      </c>
      <c r="X165">
        <v>2102561428</v>
      </c>
      <c r="Y165">
        <v>33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1</v>
      </c>
      <c r="AJ165">
        <v>1</v>
      </c>
      <c r="AK165">
        <v>1</v>
      </c>
      <c r="AL165">
        <v>1</v>
      </c>
      <c r="AN165">
        <v>0</v>
      </c>
      <c r="AO165">
        <v>0</v>
      </c>
      <c r="AP165">
        <v>0</v>
      </c>
      <c r="AQ165">
        <v>0</v>
      </c>
      <c r="AR165">
        <v>0</v>
      </c>
      <c r="AS165" t="s">
        <v>3</v>
      </c>
      <c r="AT165">
        <v>33</v>
      </c>
      <c r="AU165" t="s">
        <v>3</v>
      </c>
      <c r="AV165">
        <v>0</v>
      </c>
      <c r="AW165">
        <v>2</v>
      </c>
      <c r="AX165">
        <v>68991273</v>
      </c>
      <c r="AY165">
        <v>1</v>
      </c>
      <c r="AZ165">
        <v>0</v>
      </c>
      <c r="BA165">
        <v>174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Y165*Source!I66</f>
        <v>0.41250000000000003</v>
      </c>
      <c r="CY165">
        <f>AA165</f>
        <v>0</v>
      </c>
      <c r="CZ165">
        <f>AE165</f>
        <v>0</v>
      </c>
      <c r="DA165">
        <f>AI165</f>
        <v>1</v>
      </c>
      <c r="DB165">
        <f>ROUND(ROUND(AT165*CZ165,2),2)</f>
        <v>0</v>
      </c>
      <c r="DC165">
        <f>ROUND(ROUND(AT165*AG165,2),2)</f>
        <v>0</v>
      </c>
    </row>
    <row r="166" spans="1:107" x14ac:dyDescent="0.2">
      <c r="A166">
        <f>ROW(Source!A68)</f>
        <v>68</v>
      </c>
      <c r="B166">
        <v>68990560</v>
      </c>
      <c r="C166">
        <v>68991275</v>
      </c>
      <c r="D166">
        <v>37067943</v>
      </c>
      <c r="E166">
        <v>56</v>
      </c>
      <c r="F166">
        <v>1</v>
      </c>
      <c r="G166">
        <v>1</v>
      </c>
      <c r="H166">
        <v>1</v>
      </c>
      <c r="I166" t="s">
        <v>1043</v>
      </c>
      <c r="J166" t="s">
        <v>3</v>
      </c>
      <c r="K166" t="s">
        <v>1044</v>
      </c>
      <c r="L166">
        <v>1191</v>
      </c>
      <c r="N166">
        <v>1013</v>
      </c>
      <c r="O166" t="s">
        <v>818</v>
      </c>
      <c r="P166" t="s">
        <v>818</v>
      </c>
      <c r="Q166">
        <v>1</v>
      </c>
      <c r="W166">
        <v>0</v>
      </c>
      <c r="X166">
        <v>601269248</v>
      </c>
      <c r="Y166">
        <v>36.173250000000003</v>
      </c>
      <c r="AA166">
        <v>0</v>
      </c>
      <c r="AB166">
        <v>0</v>
      </c>
      <c r="AC166">
        <v>0</v>
      </c>
      <c r="AD166">
        <v>7.62</v>
      </c>
      <c r="AE166">
        <v>0</v>
      </c>
      <c r="AF166">
        <v>0</v>
      </c>
      <c r="AG166">
        <v>0</v>
      </c>
      <c r="AH166">
        <v>7.62</v>
      </c>
      <c r="AI166">
        <v>1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1</v>
      </c>
      <c r="AQ166">
        <v>0</v>
      </c>
      <c r="AR166">
        <v>0</v>
      </c>
      <c r="AS166" t="s">
        <v>3</v>
      </c>
      <c r="AT166">
        <v>23.3</v>
      </c>
      <c r="AU166" t="s">
        <v>147</v>
      </c>
      <c r="AV166">
        <v>1</v>
      </c>
      <c r="AW166">
        <v>2</v>
      </c>
      <c r="AX166">
        <v>68991281</v>
      </c>
      <c r="AY166">
        <v>1</v>
      </c>
      <c r="AZ166">
        <v>0</v>
      </c>
      <c r="BA166">
        <v>175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Y166*Source!I68</f>
        <v>0.39067110000000005</v>
      </c>
      <c r="CY166">
        <f>AD166</f>
        <v>7.62</v>
      </c>
      <c r="CZ166">
        <f>AH166</f>
        <v>7.62</v>
      </c>
      <c r="DA166">
        <f>AL166</f>
        <v>1</v>
      </c>
      <c r="DB166">
        <f>ROUND(((ROUND(AT166*CZ166,2)*1.15)*1.35),2)</f>
        <v>275.64999999999998</v>
      </c>
      <c r="DC166">
        <f>ROUND(((ROUND(AT166*AG166,2)*1.15)*1.35),2)</f>
        <v>0</v>
      </c>
    </row>
    <row r="167" spans="1:107" x14ac:dyDescent="0.2">
      <c r="A167">
        <f>ROW(Source!A68)</f>
        <v>68</v>
      </c>
      <c r="B167">
        <v>68990560</v>
      </c>
      <c r="C167">
        <v>68991275</v>
      </c>
      <c r="D167">
        <v>37064876</v>
      </c>
      <c r="E167">
        <v>56</v>
      </c>
      <c r="F167">
        <v>1</v>
      </c>
      <c r="G167">
        <v>1</v>
      </c>
      <c r="H167">
        <v>1</v>
      </c>
      <c r="I167" t="s">
        <v>819</v>
      </c>
      <c r="J167" t="s">
        <v>3</v>
      </c>
      <c r="K167" t="s">
        <v>820</v>
      </c>
      <c r="L167">
        <v>1191</v>
      </c>
      <c r="N167">
        <v>1013</v>
      </c>
      <c r="O167" t="s">
        <v>818</v>
      </c>
      <c r="P167" t="s">
        <v>818</v>
      </c>
      <c r="Q167">
        <v>1</v>
      </c>
      <c r="W167">
        <v>0</v>
      </c>
      <c r="X167">
        <v>-1417349443</v>
      </c>
      <c r="Y167">
        <v>5.3493750000000002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1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1</v>
      </c>
      <c r="AQ167">
        <v>0</v>
      </c>
      <c r="AR167">
        <v>0</v>
      </c>
      <c r="AS167" t="s">
        <v>3</v>
      </c>
      <c r="AT167">
        <v>3.17</v>
      </c>
      <c r="AU167" t="s">
        <v>146</v>
      </c>
      <c r="AV167">
        <v>2</v>
      </c>
      <c r="AW167">
        <v>2</v>
      </c>
      <c r="AX167">
        <v>68991282</v>
      </c>
      <c r="AY167">
        <v>1</v>
      </c>
      <c r="AZ167">
        <v>0</v>
      </c>
      <c r="BA167">
        <v>176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Y167*Source!I68</f>
        <v>5.7773250000000005E-2</v>
      </c>
      <c r="CY167">
        <f>AD167</f>
        <v>0</v>
      </c>
      <c r="CZ167">
        <f>AH167</f>
        <v>0</v>
      </c>
      <c r="DA167">
        <f>AL167</f>
        <v>1</v>
      </c>
      <c r="DB167">
        <f>ROUND(((ROUND(AT167*CZ167,2)*1.25)*1.35),2)</f>
        <v>0</v>
      </c>
      <c r="DC167">
        <f>ROUND(((ROUND(AT167*AG167,2)*1.25)*1.35),2)</f>
        <v>0</v>
      </c>
    </row>
    <row r="168" spans="1:107" x14ac:dyDescent="0.2">
      <c r="A168">
        <f>ROW(Source!A68)</f>
        <v>68</v>
      </c>
      <c r="B168">
        <v>68990560</v>
      </c>
      <c r="C168">
        <v>68991275</v>
      </c>
      <c r="D168">
        <v>64401763</v>
      </c>
      <c r="E168">
        <v>1</v>
      </c>
      <c r="F168">
        <v>1</v>
      </c>
      <c r="G168">
        <v>1</v>
      </c>
      <c r="H168">
        <v>2</v>
      </c>
      <c r="I168" t="s">
        <v>821</v>
      </c>
      <c r="J168" t="s">
        <v>822</v>
      </c>
      <c r="K168" t="s">
        <v>823</v>
      </c>
      <c r="L168">
        <v>1368</v>
      </c>
      <c r="N168">
        <v>1011</v>
      </c>
      <c r="O168" t="s">
        <v>824</v>
      </c>
      <c r="P168" t="s">
        <v>824</v>
      </c>
      <c r="Q168">
        <v>1</v>
      </c>
      <c r="W168">
        <v>0</v>
      </c>
      <c r="X168">
        <v>-1346461524</v>
      </c>
      <c r="Y168">
        <v>2.1431249999999999</v>
      </c>
      <c r="AA168">
        <v>0</v>
      </c>
      <c r="AB168">
        <v>1074.3699999999999</v>
      </c>
      <c r="AC168">
        <v>454.28</v>
      </c>
      <c r="AD168">
        <v>0</v>
      </c>
      <c r="AE168">
        <v>0</v>
      </c>
      <c r="AF168">
        <v>115.4</v>
      </c>
      <c r="AG168">
        <v>13.5</v>
      </c>
      <c r="AH168">
        <v>0</v>
      </c>
      <c r="AI168">
        <v>1</v>
      </c>
      <c r="AJ168">
        <v>9.31</v>
      </c>
      <c r="AK168">
        <v>33.65</v>
      </c>
      <c r="AL168">
        <v>1</v>
      </c>
      <c r="AN168">
        <v>0</v>
      </c>
      <c r="AO168">
        <v>1</v>
      </c>
      <c r="AP168">
        <v>1</v>
      </c>
      <c r="AQ168">
        <v>0</v>
      </c>
      <c r="AR168">
        <v>0</v>
      </c>
      <c r="AS168" t="s">
        <v>3</v>
      </c>
      <c r="AT168">
        <v>1.27</v>
      </c>
      <c r="AU168" t="s">
        <v>146</v>
      </c>
      <c r="AV168">
        <v>0</v>
      </c>
      <c r="AW168">
        <v>2</v>
      </c>
      <c r="AX168">
        <v>68991283</v>
      </c>
      <c r="AY168">
        <v>1</v>
      </c>
      <c r="AZ168">
        <v>0</v>
      </c>
      <c r="BA168">
        <v>177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Y168*Source!I68</f>
        <v>2.314575E-2</v>
      </c>
      <c r="CY168">
        <f>AB168</f>
        <v>1074.3699999999999</v>
      </c>
      <c r="CZ168">
        <f>AF168</f>
        <v>115.4</v>
      </c>
      <c r="DA168">
        <f>AJ168</f>
        <v>9.31</v>
      </c>
      <c r="DB168">
        <f>ROUND(((ROUND(AT168*CZ168,2)*1.25)*1.35),2)</f>
        <v>247.32</v>
      </c>
      <c r="DC168">
        <f>ROUND(((ROUND(AT168*AG168,2)*1.25)*1.35),2)</f>
        <v>28.94</v>
      </c>
    </row>
    <row r="169" spans="1:107" x14ac:dyDescent="0.2">
      <c r="A169">
        <f>ROW(Source!A68)</f>
        <v>68</v>
      </c>
      <c r="B169">
        <v>68990560</v>
      </c>
      <c r="C169">
        <v>68991275</v>
      </c>
      <c r="D169">
        <v>64402691</v>
      </c>
      <c r="E169">
        <v>1</v>
      </c>
      <c r="F169">
        <v>1</v>
      </c>
      <c r="G169">
        <v>1</v>
      </c>
      <c r="H169">
        <v>2</v>
      </c>
      <c r="I169" t="s">
        <v>825</v>
      </c>
      <c r="J169" t="s">
        <v>826</v>
      </c>
      <c r="K169" t="s">
        <v>827</v>
      </c>
      <c r="L169">
        <v>1368</v>
      </c>
      <c r="N169">
        <v>1011</v>
      </c>
      <c r="O169" t="s">
        <v>824</v>
      </c>
      <c r="P169" t="s">
        <v>824</v>
      </c>
      <c r="Q169">
        <v>1</v>
      </c>
      <c r="W169">
        <v>0</v>
      </c>
      <c r="X169">
        <v>-841254546</v>
      </c>
      <c r="Y169">
        <v>3.2062499999999998</v>
      </c>
      <c r="AA169">
        <v>0</v>
      </c>
      <c r="AB169">
        <v>776.04</v>
      </c>
      <c r="AC169">
        <v>390.34</v>
      </c>
      <c r="AD169">
        <v>0</v>
      </c>
      <c r="AE169">
        <v>0</v>
      </c>
      <c r="AF169">
        <v>65.709999999999994</v>
      </c>
      <c r="AG169">
        <v>11.6</v>
      </c>
      <c r="AH169">
        <v>0</v>
      </c>
      <c r="AI169">
        <v>1</v>
      </c>
      <c r="AJ169">
        <v>11.81</v>
      </c>
      <c r="AK169">
        <v>33.65</v>
      </c>
      <c r="AL169">
        <v>1</v>
      </c>
      <c r="AN169">
        <v>0</v>
      </c>
      <c r="AO169">
        <v>1</v>
      </c>
      <c r="AP169">
        <v>1</v>
      </c>
      <c r="AQ169">
        <v>0</v>
      </c>
      <c r="AR169">
        <v>0</v>
      </c>
      <c r="AS169" t="s">
        <v>3</v>
      </c>
      <c r="AT169">
        <v>1.9</v>
      </c>
      <c r="AU169" t="s">
        <v>146</v>
      </c>
      <c r="AV169">
        <v>0</v>
      </c>
      <c r="AW169">
        <v>2</v>
      </c>
      <c r="AX169">
        <v>68991284</v>
      </c>
      <c r="AY169">
        <v>1</v>
      </c>
      <c r="AZ169">
        <v>2048</v>
      </c>
      <c r="BA169">
        <v>178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Y169*Source!I68</f>
        <v>3.4627499999999999E-2</v>
      </c>
      <c r="CY169">
        <f>AB169</f>
        <v>776.04</v>
      </c>
      <c r="CZ169">
        <f>AF169</f>
        <v>65.709999999999994</v>
      </c>
      <c r="DA169">
        <f>AJ169</f>
        <v>11.81</v>
      </c>
      <c r="DB169">
        <f>ROUND(((ROUND(AT169*CZ169,2)*1.25)*1.35),2)</f>
        <v>210.68</v>
      </c>
      <c r="DC169">
        <f>ROUND(((ROUND(AT169*AG169,2)*1.25)*1.35),2)</f>
        <v>37.19</v>
      </c>
    </row>
    <row r="170" spans="1:107" x14ac:dyDescent="0.2">
      <c r="A170">
        <f>ROW(Source!A68)</f>
        <v>68</v>
      </c>
      <c r="B170">
        <v>68990560</v>
      </c>
      <c r="C170">
        <v>68991275</v>
      </c>
      <c r="D170">
        <v>53781751</v>
      </c>
      <c r="E170">
        <v>1</v>
      </c>
      <c r="F170">
        <v>1</v>
      </c>
      <c r="G170">
        <v>1</v>
      </c>
      <c r="H170">
        <v>3</v>
      </c>
      <c r="I170" t="s">
        <v>215</v>
      </c>
      <c r="J170" t="s">
        <v>217</v>
      </c>
      <c r="K170" t="s">
        <v>216</v>
      </c>
      <c r="L170">
        <v>1327</v>
      </c>
      <c r="N170">
        <v>1005</v>
      </c>
      <c r="O170" t="s">
        <v>46</v>
      </c>
      <c r="P170" t="s">
        <v>46</v>
      </c>
      <c r="Q170">
        <v>1</v>
      </c>
      <c r="W170">
        <v>0</v>
      </c>
      <c r="X170">
        <v>-795296982</v>
      </c>
      <c r="Y170">
        <v>100</v>
      </c>
      <c r="AA170">
        <v>1103.77</v>
      </c>
      <c r="AB170">
        <v>0</v>
      </c>
      <c r="AC170">
        <v>0</v>
      </c>
      <c r="AD170">
        <v>0</v>
      </c>
      <c r="AE170">
        <v>169.81</v>
      </c>
      <c r="AF170">
        <v>0</v>
      </c>
      <c r="AG170">
        <v>0</v>
      </c>
      <c r="AH170">
        <v>0</v>
      </c>
      <c r="AI170">
        <v>6.5</v>
      </c>
      <c r="AJ170">
        <v>1</v>
      </c>
      <c r="AK170">
        <v>1</v>
      </c>
      <c r="AL170">
        <v>1</v>
      </c>
      <c r="AN170">
        <v>0</v>
      </c>
      <c r="AO170">
        <v>0</v>
      </c>
      <c r="AP170">
        <v>0</v>
      </c>
      <c r="AQ170">
        <v>0</v>
      </c>
      <c r="AR170">
        <v>0</v>
      </c>
      <c r="AS170" t="s">
        <v>3</v>
      </c>
      <c r="AT170">
        <v>100</v>
      </c>
      <c r="AU170" t="s">
        <v>3</v>
      </c>
      <c r="AV170">
        <v>0</v>
      </c>
      <c r="AW170">
        <v>1</v>
      </c>
      <c r="AX170">
        <v>-1</v>
      </c>
      <c r="AY170">
        <v>0</v>
      </c>
      <c r="AZ170">
        <v>0</v>
      </c>
      <c r="BA170" t="s">
        <v>3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Y170*Source!I68</f>
        <v>1.08</v>
      </c>
      <c r="CY170">
        <f>AA170</f>
        <v>1103.77</v>
      </c>
      <c r="CZ170">
        <f>AE170</f>
        <v>169.81</v>
      </c>
      <c r="DA170">
        <f>AI170</f>
        <v>6.5</v>
      </c>
      <c r="DB170">
        <f>ROUND(ROUND(AT170*CZ170,2),2)</f>
        <v>16981</v>
      </c>
      <c r="DC170">
        <f>ROUND(ROUND(AT170*AG170,2),2)</f>
        <v>0</v>
      </c>
    </row>
    <row r="171" spans="1:107" x14ac:dyDescent="0.2">
      <c r="A171">
        <f>ROW(Source!A70)</f>
        <v>70</v>
      </c>
      <c r="B171">
        <v>68990560</v>
      </c>
      <c r="C171">
        <v>68991287</v>
      </c>
      <c r="D171">
        <v>37070495</v>
      </c>
      <c r="E171">
        <v>56</v>
      </c>
      <c r="F171">
        <v>1</v>
      </c>
      <c r="G171">
        <v>1</v>
      </c>
      <c r="H171">
        <v>1</v>
      </c>
      <c r="I171" t="s">
        <v>1045</v>
      </c>
      <c r="J171" t="s">
        <v>3</v>
      </c>
      <c r="K171" t="s">
        <v>1046</v>
      </c>
      <c r="L171">
        <v>1191</v>
      </c>
      <c r="N171">
        <v>1013</v>
      </c>
      <c r="O171" t="s">
        <v>818</v>
      </c>
      <c r="P171" t="s">
        <v>818</v>
      </c>
      <c r="Q171">
        <v>1</v>
      </c>
      <c r="W171">
        <v>0</v>
      </c>
      <c r="X171">
        <v>-784637506</v>
      </c>
      <c r="Y171">
        <v>481.92705000000001</v>
      </c>
      <c r="AA171">
        <v>0</v>
      </c>
      <c r="AB171">
        <v>0</v>
      </c>
      <c r="AC171">
        <v>0</v>
      </c>
      <c r="AD171">
        <v>8.74</v>
      </c>
      <c r="AE171">
        <v>0</v>
      </c>
      <c r="AF171">
        <v>0</v>
      </c>
      <c r="AG171">
        <v>0</v>
      </c>
      <c r="AH171">
        <v>8.74</v>
      </c>
      <c r="AI171">
        <v>1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1</v>
      </c>
      <c r="AQ171">
        <v>0</v>
      </c>
      <c r="AR171">
        <v>0</v>
      </c>
      <c r="AS171" t="s">
        <v>3</v>
      </c>
      <c r="AT171">
        <v>310.42</v>
      </c>
      <c r="AU171" t="s">
        <v>147</v>
      </c>
      <c r="AV171">
        <v>1</v>
      </c>
      <c r="AW171">
        <v>2</v>
      </c>
      <c r="AX171">
        <v>68991301</v>
      </c>
      <c r="AY171">
        <v>1</v>
      </c>
      <c r="AZ171">
        <v>2048</v>
      </c>
      <c r="BA171">
        <v>180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Y171*Source!I70</f>
        <v>24.096352500000002</v>
      </c>
      <c r="CY171">
        <f>AD171</f>
        <v>8.74</v>
      </c>
      <c r="CZ171">
        <f>AH171</f>
        <v>8.74</v>
      </c>
      <c r="DA171">
        <f>AL171</f>
        <v>1</v>
      </c>
      <c r="DB171">
        <f>ROUND(((ROUND(AT171*CZ171,2)*1.15)*1.35),2)</f>
        <v>4212.04</v>
      </c>
      <c r="DC171">
        <f>ROUND(((ROUND(AT171*AG171,2)*1.15)*1.35),2)</f>
        <v>0</v>
      </c>
    </row>
    <row r="172" spans="1:107" x14ac:dyDescent="0.2">
      <c r="A172">
        <f>ROW(Source!A70)</f>
        <v>70</v>
      </c>
      <c r="B172">
        <v>68990560</v>
      </c>
      <c r="C172">
        <v>68991287</v>
      </c>
      <c r="D172">
        <v>37064876</v>
      </c>
      <c r="E172">
        <v>56</v>
      </c>
      <c r="F172">
        <v>1</v>
      </c>
      <c r="G172">
        <v>1</v>
      </c>
      <c r="H172">
        <v>1</v>
      </c>
      <c r="I172" t="s">
        <v>819</v>
      </c>
      <c r="J172" t="s">
        <v>3</v>
      </c>
      <c r="K172" t="s">
        <v>820</v>
      </c>
      <c r="L172">
        <v>1191</v>
      </c>
      <c r="N172">
        <v>1013</v>
      </c>
      <c r="O172" t="s">
        <v>818</v>
      </c>
      <c r="P172" t="s">
        <v>818</v>
      </c>
      <c r="Q172">
        <v>1</v>
      </c>
      <c r="W172">
        <v>0</v>
      </c>
      <c r="X172">
        <v>-1417349443</v>
      </c>
      <c r="Y172">
        <v>2.9193750000000001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1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1</v>
      </c>
      <c r="AQ172">
        <v>0</v>
      </c>
      <c r="AR172">
        <v>0</v>
      </c>
      <c r="AS172" t="s">
        <v>3</v>
      </c>
      <c r="AT172">
        <v>1.73</v>
      </c>
      <c r="AU172" t="s">
        <v>146</v>
      </c>
      <c r="AV172">
        <v>2</v>
      </c>
      <c r="AW172">
        <v>2</v>
      </c>
      <c r="AX172">
        <v>68991302</v>
      </c>
      <c r="AY172">
        <v>1</v>
      </c>
      <c r="AZ172">
        <v>2048</v>
      </c>
      <c r="BA172">
        <v>181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Y172*Source!I70</f>
        <v>0.14596875000000001</v>
      </c>
      <c r="CY172">
        <f>AD172</f>
        <v>0</v>
      </c>
      <c r="CZ172">
        <f>AH172</f>
        <v>0</v>
      </c>
      <c r="DA172">
        <f>AL172</f>
        <v>1</v>
      </c>
      <c r="DB172">
        <f>ROUND(((ROUND(AT172*CZ172,2)*1.25)*1.35),2)</f>
        <v>0</v>
      </c>
      <c r="DC172">
        <f>ROUND(((ROUND(AT172*AG172,2)*1.25)*1.35),2)</f>
        <v>0</v>
      </c>
    </row>
    <row r="173" spans="1:107" x14ac:dyDescent="0.2">
      <c r="A173">
        <f>ROW(Source!A70)</f>
        <v>70</v>
      </c>
      <c r="B173">
        <v>68990560</v>
      </c>
      <c r="C173">
        <v>68991287</v>
      </c>
      <c r="D173">
        <v>64401704</v>
      </c>
      <c r="E173">
        <v>1</v>
      </c>
      <c r="F173">
        <v>1</v>
      </c>
      <c r="G173">
        <v>1</v>
      </c>
      <c r="H173">
        <v>2</v>
      </c>
      <c r="I173" t="s">
        <v>1047</v>
      </c>
      <c r="J173" t="s">
        <v>1048</v>
      </c>
      <c r="K173" t="s">
        <v>1049</v>
      </c>
      <c r="L173">
        <v>1368</v>
      </c>
      <c r="N173">
        <v>1011</v>
      </c>
      <c r="O173" t="s">
        <v>824</v>
      </c>
      <c r="P173" t="s">
        <v>824</v>
      </c>
      <c r="Q173">
        <v>1</v>
      </c>
      <c r="W173">
        <v>0</v>
      </c>
      <c r="X173">
        <v>-1871011444</v>
      </c>
      <c r="Y173">
        <v>3.3750000000000002E-2</v>
      </c>
      <c r="AA173">
        <v>0</v>
      </c>
      <c r="AB173">
        <v>740.86</v>
      </c>
      <c r="AC173">
        <v>454.28</v>
      </c>
      <c r="AD173">
        <v>0</v>
      </c>
      <c r="AE173">
        <v>0</v>
      </c>
      <c r="AF173">
        <v>83.43</v>
      </c>
      <c r="AG173">
        <v>13.5</v>
      </c>
      <c r="AH173">
        <v>0</v>
      </c>
      <c r="AI173">
        <v>1</v>
      </c>
      <c r="AJ173">
        <v>8.8800000000000008</v>
      </c>
      <c r="AK173">
        <v>33.65</v>
      </c>
      <c r="AL173">
        <v>1</v>
      </c>
      <c r="AN173">
        <v>0</v>
      </c>
      <c r="AO173">
        <v>1</v>
      </c>
      <c r="AP173">
        <v>1</v>
      </c>
      <c r="AQ173">
        <v>0</v>
      </c>
      <c r="AR173">
        <v>0</v>
      </c>
      <c r="AS173" t="s">
        <v>3</v>
      </c>
      <c r="AT173">
        <v>0.02</v>
      </c>
      <c r="AU173" t="s">
        <v>146</v>
      </c>
      <c r="AV173">
        <v>0</v>
      </c>
      <c r="AW173">
        <v>2</v>
      </c>
      <c r="AX173">
        <v>68991303</v>
      </c>
      <c r="AY173">
        <v>1</v>
      </c>
      <c r="AZ173">
        <v>0</v>
      </c>
      <c r="BA173">
        <v>182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Y173*Source!I70</f>
        <v>1.6875000000000002E-3</v>
      </c>
      <c r="CY173">
        <f>AB173</f>
        <v>740.86</v>
      </c>
      <c r="CZ173">
        <f>AF173</f>
        <v>83.43</v>
      </c>
      <c r="DA173">
        <f>AJ173</f>
        <v>8.8800000000000008</v>
      </c>
      <c r="DB173">
        <f>ROUND(((ROUND(AT173*CZ173,2)*1.25)*1.35),2)</f>
        <v>2.82</v>
      </c>
      <c r="DC173">
        <f>ROUND(((ROUND(AT173*AG173,2)*1.25)*1.35),2)</f>
        <v>0.46</v>
      </c>
    </row>
    <row r="174" spans="1:107" x14ac:dyDescent="0.2">
      <c r="A174">
        <f>ROW(Source!A70)</f>
        <v>70</v>
      </c>
      <c r="B174">
        <v>68990560</v>
      </c>
      <c r="C174">
        <v>68991287</v>
      </c>
      <c r="D174">
        <v>64401763</v>
      </c>
      <c r="E174">
        <v>1</v>
      </c>
      <c r="F174">
        <v>1</v>
      </c>
      <c r="G174">
        <v>1</v>
      </c>
      <c r="H174">
        <v>2</v>
      </c>
      <c r="I174" t="s">
        <v>821</v>
      </c>
      <c r="J174" t="s">
        <v>822</v>
      </c>
      <c r="K174" t="s">
        <v>823</v>
      </c>
      <c r="L174">
        <v>1368</v>
      </c>
      <c r="N174">
        <v>1011</v>
      </c>
      <c r="O174" t="s">
        <v>824</v>
      </c>
      <c r="P174" t="s">
        <v>824</v>
      </c>
      <c r="Q174">
        <v>1</v>
      </c>
      <c r="W174">
        <v>0</v>
      </c>
      <c r="X174">
        <v>-1346461524</v>
      </c>
      <c r="Y174">
        <v>1.6875000000000001E-2</v>
      </c>
      <c r="AA174">
        <v>0</v>
      </c>
      <c r="AB174">
        <v>1074.3699999999999</v>
      </c>
      <c r="AC174">
        <v>454.28</v>
      </c>
      <c r="AD174">
        <v>0</v>
      </c>
      <c r="AE174">
        <v>0</v>
      </c>
      <c r="AF174">
        <v>115.4</v>
      </c>
      <c r="AG174">
        <v>13.5</v>
      </c>
      <c r="AH174">
        <v>0</v>
      </c>
      <c r="AI174">
        <v>1</v>
      </c>
      <c r="AJ174">
        <v>9.31</v>
      </c>
      <c r="AK174">
        <v>33.65</v>
      </c>
      <c r="AL174">
        <v>1</v>
      </c>
      <c r="AN174">
        <v>0</v>
      </c>
      <c r="AO174">
        <v>1</v>
      </c>
      <c r="AP174">
        <v>1</v>
      </c>
      <c r="AQ174">
        <v>0</v>
      </c>
      <c r="AR174">
        <v>0</v>
      </c>
      <c r="AS174" t="s">
        <v>3</v>
      </c>
      <c r="AT174">
        <v>0.01</v>
      </c>
      <c r="AU174" t="s">
        <v>146</v>
      </c>
      <c r="AV174">
        <v>0</v>
      </c>
      <c r="AW174">
        <v>2</v>
      </c>
      <c r="AX174">
        <v>68991304</v>
      </c>
      <c r="AY174">
        <v>1</v>
      </c>
      <c r="AZ174">
        <v>0</v>
      </c>
      <c r="BA174">
        <v>183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Y174*Source!I70</f>
        <v>8.437500000000001E-4</v>
      </c>
      <c r="CY174">
        <f>AB174</f>
        <v>1074.3699999999999</v>
      </c>
      <c r="CZ174">
        <f>AF174</f>
        <v>115.4</v>
      </c>
      <c r="DA174">
        <f>AJ174</f>
        <v>9.31</v>
      </c>
      <c r="DB174">
        <f>ROUND(((ROUND(AT174*CZ174,2)*1.25)*1.35),2)</f>
        <v>1.94</v>
      </c>
      <c r="DC174">
        <f>ROUND(((ROUND(AT174*AG174,2)*1.25)*1.35),2)</f>
        <v>0.24</v>
      </c>
    </row>
    <row r="175" spans="1:107" x14ac:dyDescent="0.2">
      <c r="A175">
        <f>ROW(Source!A70)</f>
        <v>70</v>
      </c>
      <c r="B175">
        <v>68990560</v>
      </c>
      <c r="C175">
        <v>68991287</v>
      </c>
      <c r="D175">
        <v>64402082</v>
      </c>
      <c r="E175">
        <v>1</v>
      </c>
      <c r="F175">
        <v>1</v>
      </c>
      <c r="G175">
        <v>1</v>
      </c>
      <c r="H175">
        <v>2</v>
      </c>
      <c r="I175" t="s">
        <v>1023</v>
      </c>
      <c r="J175" t="s">
        <v>1024</v>
      </c>
      <c r="K175" t="s">
        <v>1025</v>
      </c>
      <c r="L175">
        <v>1368</v>
      </c>
      <c r="N175">
        <v>1011</v>
      </c>
      <c r="O175" t="s">
        <v>824</v>
      </c>
      <c r="P175" t="s">
        <v>824</v>
      </c>
      <c r="Q175">
        <v>1</v>
      </c>
      <c r="W175">
        <v>0</v>
      </c>
      <c r="X175">
        <v>-2128701403</v>
      </c>
      <c r="Y175">
        <v>2.8518750000000002</v>
      </c>
      <c r="AA175">
        <v>0</v>
      </c>
      <c r="AB175">
        <v>361.04</v>
      </c>
      <c r="AC175">
        <v>338.52</v>
      </c>
      <c r="AD175">
        <v>0</v>
      </c>
      <c r="AE175">
        <v>0</v>
      </c>
      <c r="AF175">
        <v>12.39</v>
      </c>
      <c r="AG175">
        <v>10.06</v>
      </c>
      <c r="AH175">
        <v>0</v>
      </c>
      <c r="AI175">
        <v>1</v>
      </c>
      <c r="AJ175">
        <v>29.14</v>
      </c>
      <c r="AK175">
        <v>33.65</v>
      </c>
      <c r="AL175">
        <v>1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3</v>
      </c>
      <c r="AT175">
        <v>1.69</v>
      </c>
      <c r="AU175" t="s">
        <v>146</v>
      </c>
      <c r="AV175">
        <v>0</v>
      </c>
      <c r="AW175">
        <v>2</v>
      </c>
      <c r="AX175">
        <v>68991305</v>
      </c>
      <c r="AY175">
        <v>1</v>
      </c>
      <c r="AZ175">
        <v>0</v>
      </c>
      <c r="BA175">
        <v>184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Y175*Source!I70</f>
        <v>0.14259375000000002</v>
      </c>
      <c r="CY175">
        <f>AB175</f>
        <v>361.04</v>
      </c>
      <c r="CZ175">
        <f>AF175</f>
        <v>12.39</v>
      </c>
      <c r="DA175">
        <f>AJ175</f>
        <v>29.14</v>
      </c>
      <c r="DB175">
        <f>ROUND(((ROUND(AT175*CZ175,2)*1.25)*1.35),2)</f>
        <v>35.340000000000003</v>
      </c>
      <c r="DC175">
        <f>ROUND(((ROUND(AT175*AG175,2)*1.25)*1.35),2)</f>
        <v>28.69</v>
      </c>
    </row>
    <row r="176" spans="1:107" x14ac:dyDescent="0.2">
      <c r="A176">
        <f>ROW(Source!A70)</f>
        <v>70</v>
      </c>
      <c r="B176">
        <v>68990560</v>
      </c>
      <c r="C176">
        <v>68991287</v>
      </c>
      <c r="D176">
        <v>64402691</v>
      </c>
      <c r="E176">
        <v>1</v>
      </c>
      <c r="F176">
        <v>1</v>
      </c>
      <c r="G176">
        <v>1</v>
      </c>
      <c r="H176">
        <v>2</v>
      </c>
      <c r="I176" t="s">
        <v>825</v>
      </c>
      <c r="J176" t="s">
        <v>826</v>
      </c>
      <c r="K176" t="s">
        <v>827</v>
      </c>
      <c r="L176">
        <v>1368</v>
      </c>
      <c r="N176">
        <v>1011</v>
      </c>
      <c r="O176" t="s">
        <v>824</v>
      </c>
      <c r="P176" t="s">
        <v>824</v>
      </c>
      <c r="Q176">
        <v>1</v>
      </c>
      <c r="W176">
        <v>0</v>
      </c>
      <c r="X176">
        <v>-841254546</v>
      </c>
      <c r="Y176">
        <v>1.6875000000000001E-2</v>
      </c>
      <c r="AA176">
        <v>0</v>
      </c>
      <c r="AB176">
        <v>776.04</v>
      </c>
      <c r="AC176">
        <v>390.34</v>
      </c>
      <c r="AD176">
        <v>0</v>
      </c>
      <c r="AE176">
        <v>0</v>
      </c>
      <c r="AF176">
        <v>65.709999999999994</v>
      </c>
      <c r="AG176">
        <v>11.6</v>
      </c>
      <c r="AH176">
        <v>0</v>
      </c>
      <c r="AI176">
        <v>1</v>
      </c>
      <c r="AJ176">
        <v>11.81</v>
      </c>
      <c r="AK176">
        <v>33.65</v>
      </c>
      <c r="AL176">
        <v>1</v>
      </c>
      <c r="AN176">
        <v>0</v>
      </c>
      <c r="AO176">
        <v>1</v>
      </c>
      <c r="AP176">
        <v>1</v>
      </c>
      <c r="AQ176">
        <v>0</v>
      </c>
      <c r="AR176">
        <v>0</v>
      </c>
      <c r="AS176" t="s">
        <v>3</v>
      </c>
      <c r="AT176">
        <v>0.01</v>
      </c>
      <c r="AU176" t="s">
        <v>146</v>
      </c>
      <c r="AV176">
        <v>0</v>
      </c>
      <c r="AW176">
        <v>2</v>
      </c>
      <c r="AX176">
        <v>68991306</v>
      </c>
      <c r="AY176">
        <v>1</v>
      </c>
      <c r="AZ176">
        <v>0</v>
      </c>
      <c r="BA176">
        <v>185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Y176*Source!I70</f>
        <v>8.437500000000001E-4</v>
      </c>
      <c r="CY176">
        <f>AB176</f>
        <v>776.04</v>
      </c>
      <c r="CZ176">
        <f>AF176</f>
        <v>65.709999999999994</v>
      </c>
      <c r="DA176">
        <f>AJ176</f>
        <v>11.81</v>
      </c>
      <c r="DB176">
        <f>ROUND(((ROUND(AT176*CZ176,2)*1.25)*1.35),2)</f>
        <v>1.1100000000000001</v>
      </c>
      <c r="DC176">
        <f>ROUND(((ROUND(AT176*AG176,2)*1.25)*1.35),2)</f>
        <v>0.2</v>
      </c>
    </row>
    <row r="177" spans="1:107" x14ac:dyDescent="0.2">
      <c r="A177">
        <f>ROW(Source!A70)</f>
        <v>70</v>
      </c>
      <c r="B177">
        <v>68990560</v>
      </c>
      <c r="C177">
        <v>68991287</v>
      </c>
      <c r="D177">
        <v>64252759</v>
      </c>
      <c r="E177">
        <v>1</v>
      </c>
      <c r="F177">
        <v>1</v>
      </c>
      <c r="G177">
        <v>1</v>
      </c>
      <c r="H177">
        <v>3</v>
      </c>
      <c r="I177" t="s">
        <v>988</v>
      </c>
      <c r="J177" t="s">
        <v>989</v>
      </c>
      <c r="K177" t="s">
        <v>990</v>
      </c>
      <c r="L177">
        <v>1339</v>
      </c>
      <c r="N177">
        <v>1007</v>
      </c>
      <c r="O177" t="s">
        <v>113</v>
      </c>
      <c r="P177" t="s">
        <v>113</v>
      </c>
      <c r="Q177">
        <v>1</v>
      </c>
      <c r="W177">
        <v>0</v>
      </c>
      <c r="X177">
        <v>-1161832183</v>
      </c>
      <c r="Y177">
        <v>0.44</v>
      </c>
      <c r="AA177">
        <v>31.18</v>
      </c>
      <c r="AB177">
        <v>0</v>
      </c>
      <c r="AC177">
        <v>0</v>
      </c>
      <c r="AD177">
        <v>0</v>
      </c>
      <c r="AE177">
        <v>2.44</v>
      </c>
      <c r="AF177">
        <v>0</v>
      </c>
      <c r="AG177">
        <v>0</v>
      </c>
      <c r="AH177">
        <v>0</v>
      </c>
      <c r="AI177">
        <v>12.78</v>
      </c>
      <c r="AJ177">
        <v>1</v>
      </c>
      <c r="AK177">
        <v>1</v>
      </c>
      <c r="AL177">
        <v>1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3</v>
      </c>
      <c r="AT177">
        <v>0.44</v>
      </c>
      <c r="AU177" t="s">
        <v>3</v>
      </c>
      <c r="AV177">
        <v>0</v>
      </c>
      <c r="AW177">
        <v>2</v>
      </c>
      <c r="AX177">
        <v>68991307</v>
      </c>
      <c r="AY177">
        <v>1</v>
      </c>
      <c r="AZ177">
        <v>0</v>
      </c>
      <c r="BA177">
        <v>186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Y177*Source!I70</f>
        <v>2.2000000000000002E-2</v>
      </c>
      <c r="CY177">
        <f t="shared" ref="CY177:CY183" si="34">AA177</f>
        <v>31.18</v>
      </c>
      <c r="CZ177">
        <f t="shared" ref="CZ177:CZ183" si="35">AE177</f>
        <v>2.44</v>
      </c>
      <c r="DA177">
        <f t="shared" ref="DA177:DA183" si="36">AI177</f>
        <v>12.78</v>
      </c>
      <c r="DB177">
        <f t="shared" ref="DB177:DB183" si="37">ROUND(ROUND(AT177*CZ177,2),2)</f>
        <v>1.07</v>
      </c>
      <c r="DC177">
        <f t="shared" ref="DC177:DC183" si="38">ROUND(ROUND(AT177*AG177,2),2)</f>
        <v>0</v>
      </c>
    </row>
    <row r="178" spans="1:107" x14ac:dyDescent="0.2">
      <c r="A178">
        <f>ROW(Source!A70)</f>
        <v>70</v>
      </c>
      <c r="B178">
        <v>68990560</v>
      </c>
      <c r="C178">
        <v>68991287</v>
      </c>
      <c r="D178">
        <v>64258158</v>
      </c>
      <c r="E178">
        <v>1</v>
      </c>
      <c r="F178">
        <v>1</v>
      </c>
      <c r="G178">
        <v>1</v>
      </c>
      <c r="H178">
        <v>3</v>
      </c>
      <c r="I178" t="s">
        <v>1050</v>
      </c>
      <c r="J178" t="s">
        <v>1051</v>
      </c>
      <c r="K178" t="s">
        <v>1052</v>
      </c>
      <c r="L178">
        <v>1348</v>
      </c>
      <c r="N178">
        <v>1009</v>
      </c>
      <c r="O178" t="s">
        <v>71</v>
      </c>
      <c r="P178" t="s">
        <v>71</v>
      </c>
      <c r="Q178">
        <v>1000</v>
      </c>
      <c r="W178">
        <v>0</v>
      </c>
      <c r="X178">
        <v>-1644775392</v>
      </c>
      <c r="Y178">
        <v>1.2999999999999999E-2</v>
      </c>
      <c r="AA178">
        <v>42920.67</v>
      </c>
      <c r="AB178">
        <v>0</v>
      </c>
      <c r="AC178">
        <v>0</v>
      </c>
      <c r="AD178">
        <v>0</v>
      </c>
      <c r="AE178">
        <v>6513</v>
      </c>
      <c r="AF178">
        <v>0</v>
      </c>
      <c r="AG178">
        <v>0</v>
      </c>
      <c r="AH178">
        <v>0</v>
      </c>
      <c r="AI178">
        <v>6.59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3</v>
      </c>
      <c r="AT178">
        <v>1.2999999999999999E-2</v>
      </c>
      <c r="AU178" t="s">
        <v>3</v>
      </c>
      <c r="AV178">
        <v>0</v>
      </c>
      <c r="AW178">
        <v>2</v>
      </c>
      <c r="AX178">
        <v>68991308</v>
      </c>
      <c r="AY178">
        <v>1</v>
      </c>
      <c r="AZ178">
        <v>0</v>
      </c>
      <c r="BA178">
        <v>187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Y178*Source!I70</f>
        <v>6.4999999999999997E-4</v>
      </c>
      <c r="CY178">
        <f t="shared" si="34"/>
        <v>42920.67</v>
      </c>
      <c r="CZ178">
        <f t="shared" si="35"/>
        <v>6513</v>
      </c>
      <c r="DA178">
        <f t="shared" si="36"/>
        <v>6.59</v>
      </c>
      <c r="DB178">
        <f t="shared" si="37"/>
        <v>84.67</v>
      </c>
      <c r="DC178">
        <f t="shared" si="38"/>
        <v>0</v>
      </c>
    </row>
    <row r="179" spans="1:107" x14ac:dyDescent="0.2">
      <c r="A179">
        <f>ROW(Source!A70)</f>
        <v>70</v>
      </c>
      <c r="B179">
        <v>68990560</v>
      </c>
      <c r="C179">
        <v>68991287</v>
      </c>
      <c r="D179">
        <v>64268074</v>
      </c>
      <c r="E179">
        <v>1</v>
      </c>
      <c r="F179">
        <v>1</v>
      </c>
      <c r="G179">
        <v>1</v>
      </c>
      <c r="H179">
        <v>3</v>
      </c>
      <c r="I179" t="s">
        <v>236</v>
      </c>
      <c r="J179" t="s">
        <v>238</v>
      </c>
      <c r="K179" t="s">
        <v>237</v>
      </c>
      <c r="L179">
        <v>1327</v>
      </c>
      <c r="N179">
        <v>1005</v>
      </c>
      <c r="O179" t="s">
        <v>46</v>
      </c>
      <c r="P179" t="s">
        <v>46</v>
      </c>
      <c r="Q179">
        <v>1</v>
      </c>
      <c r="W179">
        <v>1</v>
      </c>
      <c r="X179">
        <v>1681246632</v>
      </c>
      <c r="Y179">
        <v>-102</v>
      </c>
      <c r="AA179">
        <v>568.82000000000005</v>
      </c>
      <c r="AB179">
        <v>0</v>
      </c>
      <c r="AC179">
        <v>0</v>
      </c>
      <c r="AD179">
        <v>0</v>
      </c>
      <c r="AE179">
        <v>140.44999999999999</v>
      </c>
      <c r="AF179">
        <v>0</v>
      </c>
      <c r="AG179">
        <v>0</v>
      </c>
      <c r="AH179">
        <v>0</v>
      </c>
      <c r="AI179">
        <v>4.05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3</v>
      </c>
      <c r="AT179">
        <v>-102</v>
      </c>
      <c r="AU179" t="s">
        <v>3</v>
      </c>
      <c r="AV179">
        <v>0</v>
      </c>
      <c r="AW179">
        <v>2</v>
      </c>
      <c r="AX179">
        <v>68991309</v>
      </c>
      <c r="AY179">
        <v>1</v>
      </c>
      <c r="AZ179">
        <v>6144</v>
      </c>
      <c r="BA179">
        <v>188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Y179*Source!I70</f>
        <v>-5.1000000000000005</v>
      </c>
      <c r="CY179">
        <f t="shared" si="34"/>
        <v>568.82000000000005</v>
      </c>
      <c r="CZ179">
        <f t="shared" si="35"/>
        <v>140.44999999999999</v>
      </c>
      <c r="DA179">
        <f t="shared" si="36"/>
        <v>4.05</v>
      </c>
      <c r="DB179">
        <f t="shared" si="37"/>
        <v>-14325.9</v>
      </c>
      <c r="DC179">
        <f t="shared" si="38"/>
        <v>0</v>
      </c>
    </row>
    <row r="180" spans="1:107" x14ac:dyDescent="0.2">
      <c r="A180">
        <f>ROW(Source!A70)</f>
        <v>70</v>
      </c>
      <c r="B180">
        <v>68990560</v>
      </c>
      <c r="C180">
        <v>68991287</v>
      </c>
      <c r="D180">
        <v>53778435</v>
      </c>
      <c r="E180">
        <v>1</v>
      </c>
      <c r="F180">
        <v>1</v>
      </c>
      <c r="G180">
        <v>1</v>
      </c>
      <c r="H180">
        <v>3</v>
      </c>
      <c r="I180" t="s">
        <v>240</v>
      </c>
      <c r="J180" t="s">
        <v>242</v>
      </c>
      <c r="K180" t="s">
        <v>241</v>
      </c>
      <c r="L180">
        <v>1327</v>
      </c>
      <c r="N180">
        <v>1005</v>
      </c>
      <c r="O180" t="s">
        <v>46</v>
      </c>
      <c r="P180" t="s">
        <v>46</v>
      </c>
      <c r="Q180">
        <v>1</v>
      </c>
      <c r="W180">
        <v>0</v>
      </c>
      <c r="X180">
        <v>1353745994</v>
      </c>
      <c r="Y180">
        <v>102</v>
      </c>
      <c r="AA180">
        <v>356.52</v>
      </c>
      <c r="AB180">
        <v>0</v>
      </c>
      <c r="AC180">
        <v>0</v>
      </c>
      <c r="AD180">
        <v>0</v>
      </c>
      <c r="AE180">
        <v>56.77</v>
      </c>
      <c r="AF180">
        <v>0</v>
      </c>
      <c r="AG180">
        <v>0</v>
      </c>
      <c r="AH180">
        <v>0</v>
      </c>
      <c r="AI180">
        <v>6.28</v>
      </c>
      <c r="AJ180">
        <v>1</v>
      </c>
      <c r="AK180">
        <v>1</v>
      </c>
      <c r="AL180">
        <v>1</v>
      </c>
      <c r="AN180">
        <v>0</v>
      </c>
      <c r="AO180">
        <v>0</v>
      </c>
      <c r="AP180">
        <v>0</v>
      </c>
      <c r="AQ180">
        <v>0</v>
      </c>
      <c r="AR180">
        <v>0</v>
      </c>
      <c r="AS180" t="s">
        <v>3</v>
      </c>
      <c r="AT180">
        <v>102</v>
      </c>
      <c r="AU180" t="s">
        <v>3</v>
      </c>
      <c r="AV180">
        <v>0</v>
      </c>
      <c r="AW180">
        <v>1</v>
      </c>
      <c r="AX180">
        <v>-1</v>
      </c>
      <c r="AY180">
        <v>0</v>
      </c>
      <c r="AZ180">
        <v>0</v>
      </c>
      <c r="BA180" t="s">
        <v>3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Y180*Source!I70</f>
        <v>5.1000000000000005</v>
      </c>
      <c r="CY180">
        <f t="shared" si="34"/>
        <v>356.52</v>
      </c>
      <c r="CZ180">
        <f t="shared" si="35"/>
        <v>56.77</v>
      </c>
      <c r="DA180">
        <f t="shared" si="36"/>
        <v>6.28</v>
      </c>
      <c r="DB180">
        <f t="shared" si="37"/>
        <v>5790.54</v>
      </c>
      <c r="DC180">
        <f t="shared" si="38"/>
        <v>0</v>
      </c>
    </row>
    <row r="181" spans="1:107" x14ac:dyDescent="0.2">
      <c r="A181">
        <f>ROW(Source!A70)</f>
        <v>70</v>
      </c>
      <c r="B181">
        <v>68990560</v>
      </c>
      <c r="C181">
        <v>68991287</v>
      </c>
      <c r="D181">
        <v>64276739</v>
      </c>
      <c r="E181">
        <v>1</v>
      </c>
      <c r="F181">
        <v>1</v>
      </c>
      <c r="G181">
        <v>1</v>
      </c>
      <c r="H181">
        <v>3</v>
      </c>
      <c r="I181" t="s">
        <v>224</v>
      </c>
      <c r="J181" t="s">
        <v>226</v>
      </c>
      <c r="K181" t="s">
        <v>225</v>
      </c>
      <c r="L181">
        <v>1339</v>
      </c>
      <c r="N181">
        <v>1007</v>
      </c>
      <c r="O181" t="s">
        <v>113</v>
      </c>
      <c r="P181" t="s">
        <v>113</v>
      </c>
      <c r="Q181">
        <v>1</v>
      </c>
      <c r="W181">
        <v>0</v>
      </c>
      <c r="X181">
        <v>-139823753</v>
      </c>
      <c r="Y181">
        <v>0.01</v>
      </c>
      <c r="AA181">
        <v>14100</v>
      </c>
      <c r="AB181">
        <v>0</v>
      </c>
      <c r="AC181">
        <v>0</v>
      </c>
      <c r="AD181">
        <v>0</v>
      </c>
      <c r="AE181">
        <v>2500</v>
      </c>
      <c r="AF181">
        <v>0</v>
      </c>
      <c r="AG181">
        <v>0</v>
      </c>
      <c r="AH181">
        <v>0</v>
      </c>
      <c r="AI181">
        <v>5.64</v>
      </c>
      <c r="AJ181">
        <v>1</v>
      </c>
      <c r="AK181">
        <v>1</v>
      </c>
      <c r="AL181">
        <v>1</v>
      </c>
      <c r="AN181">
        <v>0</v>
      </c>
      <c r="AO181">
        <v>0</v>
      </c>
      <c r="AP181">
        <v>0</v>
      </c>
      <c r="AQ181">
        <v>0</v>
      </c>
      <c r="AR181">
        <v>0</v>
      </c>
      <c r="AS181" t="s">
        <v>3</v>
      </c>
      <c r="AT181">
        <v>0.01</v>
      </c>
      <c r="AU181" t="s">
        <v>3</v>
      </c>
      <c r="AV181">
        <v>0</v>
      </c>
      <c r="AW181">
        <v>1</v>
      </c>
      <c r="AX181">
        <v>-1</v>
      </c>
      <c r="AY181">
        <v>0</v>
      </c>
      <c r="AZ181">
        <v>0</v>
      </c>
      <c r="BA181" t="s">
        <v>3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Y181*Source!I70</f>
        <v>5.0000000000000001E-4</v>
      </c>
      <c r="CY181">
        <f t="shared" si="34"/>
        <v>14100</v>
      </c>
      <c r="CZ181">
        <f t="shared" si="35"/>
        <v>2500</v>
      </c>
      <c r="DA181">
        <f t="shared" si="36"/>
        <v>5.64</v>
      </c>
      <c r="DB181">
        <f t="shared" si="37"/>
        <v>25</v>
      </c>
      <c r="DC181">
        <f t="shared" si="38"/>
        <v>0</v>
      </c>
    </row>
    <row r="182" spans="1:107" x14ac:dyDescent="0.2">
      <c r="A182">
        <f>ROW(Source!A70)</f>
        <v>70</v>
      </c>
      <c r="B182">
        <v>68990560</v>
      </c>
      <c r="C182">
        <v>68991287</v>
      </c>
      <c r="D182">
        <v>64283121</v>
      </c>
      <c r="E182">
        <v>1</v>
      </c>
      <c r="F182">
        <v>1</v>
      </c>
      <c r="G182">
        <v>1</v>
      </c>
      <c r="H182">
        <v>3</v>
      </c>
      <c r="I182" t="s">
        <v>228</v>
      </c>
      <c r="J182" t="s">
        <v>230</v>
      </c>
      <c r="K182" t="s">
        <v>229</v>
      </c>
      <c r="L182">
        <v>1348</v>
      </c>
      <c r="N182">
        <v>1009</v>
      </c>
      <c r="O182" t="s">
        <v>71</v>
      </c>
      <c r="P182" t="s">
        <v>71</v>
      </c>
      <c r="Q182">
        <v>1000</v>
      </c>
      <c r="W182">
        <v>0</v>
      </c>
      <c r="X182">
        <v>1171458232</v>
      </c>
      <c r="Y182">
        <v>1.2</v>
      </c>
      <c r="AA182">
        <v>13940.68</v>
      </c>
      <c r="AB182">
        <v>0</v>
      </c>
      <c r="AC182">
        <v>0</v>
      </c>
      <c r="AD182">
        <v>0</v>
      </c>
      <c r="AE182">
        <v>4316</v>
      </c>
      <c r="AF182">
        <v>0</v>
      </c>
      <c r="AG182">
        <v>0</v>
      </c>
      <c r="AH182">
        <v>0</v>
      </c>
      <c r="AI182">
        <v>3.23</v>
      </c>
      <c r="AJ182">
        <v>1</v>
      </c>
      <c r="AK182">
        <v>1</v>
      </c>
      <c r="AL182">
        <v>1</v>
      </c>
      <c r="AN182">
        <v>0</v>
      </c>
      <c r="AO182">
        <v>0</v>
      </c>
      <c r="AP182">
        <v>0</v>
      </c>
      <c r="AQ182">
        <v>0</v>
      </c>
      <c r="AR182">
        <v>0</v>
      </c>
      <c r="AS182" t="s">
        <v>3</v>
      </c>
      <c r="AT182">
        <v>1.2</v>
      </c>
      <c r="AU182" t="s">
        <v>3</v>
      </c>
      <c r="AV182">
        <v>0</v>
      </c>
      <c r="AW182">
        <v>1</v>
      </c>
      <c r="AX182">
        <v>-1</v>
      </c>
      <c r="AY182">
        <v>0</v>
      </c>
      <c r="AZ182">
        <v>0</v>
      </c>
      <c r="BA182" t="s">
        <v>3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Y182*Source!I70</f>
        <v>0.06</v>
      </c>
      <c r="CY182">
        <f t="shared" si="34"/>
        <v>13940.68</v>
      </c>
      <c r="CZ182">
        <f t="shared" si="35"/>
        <v>4316</v>
      </c>
      <c r="DA182">
        <f t="shared" si="36"/>
        <v>3.23</v>
      </c>
      <c r="DB182">
        <f t="shared" si="37"/>
        <v>5179.2</v>
      </c>
      <c r="DC182">
        <f t="shared" si="38"/>
        <v>0</v>
      </c>
    </row>
    <row r="183" spans="1:107" x14ac:dyDescent="0.2">
      <c r="A183">
        <f>ROW(Source!A70)</f>
        <v>70</v>
      </c>
      <c r="B183">
        <v>68990560</v>
      </c>
      <c r="C183">
        <v>68991287</v>
      </c>
      <c r="D183">
        <v>53794518</v>
      </c>
      <c r="E183">
        <v>1</v>
      </c>
      <c r="F183">
        <v>1</v>
      </c>
      <c r="G183">
        <v>1</v>
      </c>
      <c r="H183">
        <v>3</v>
      </c>
      <c r="I183" t="s">
        <v>232</v>
      </c>
      <c r="J183" t="s">
        <v>234</v>
      </c>
      <c r="K183" t="s">
        <v>233</v>
      </c>
      <c r="L183">
        <v>1346</v>
      </c>
      <c r="N183">
        <v>1009</v>
      </c>
      <c r="O183" t="s">
        <v>170</v>
      </c>
      <c r="P183" t="s">
        <v>170</v>
      </c>
      <c r="Q183">
        <v>1</v>
      </c>
      <c r="W183">
        <v>0</v>
      </c>
      <c r="X183">
        <v>1577909318</v>
      </c>
      <c r="Y183">
        <v>10</v>
      </c>
      <c r="AA183">
        <v>65.92</v>
      </c>
      <c r="AB183">
        <v>0</v>
      </c>
      <c r="AC183">
        <v>0</v>
      </c>
      <c r="AD183">
        <v>0</v>
      </c>
      <c r="AE183">
        <v>13.08</v>
      </c>
      <c r="AF183">
        <v>0</v>
      </c>
      <c r="AG183">
        <v>0</v>
      </c>
      <c r="AH183">
        <v>0</v>
      </c>
      <c r="AI183">
        <v>5.04</v>
      </c>
      <c r="AJ183">
        <v>1</v>
      </c>
      <c r="AK183">
        <v>1</v>
      </c>
      <c r="AL183">
        <v>1</v>
      </c>
      <c r="AN183">
        <v>0</v>
      </c>
      <c r="AO183">
        <v>0</v>
      </c>
      <c r="AP183">
        <v>0</v>
      </c>
      <c r="AQ183">
        <v>0</v>
      </c>
      <c r="AR183">
        <v>0</v>
      </c>
      <c r="AS183" t="s">
        <v>3</v>
      </c>
      <c r="AT183">
        <v>10</v>
      </c>
      <c r="AU183" t="s">
        <v>3</v>
      </c>
      <c r="AV183">
        <v>0</v>
      </c>
      <c r="AW183">
        <v>1</v>
      </c>
      <c r="AX183">
        <v>-1</v>
      </c>
      <c r="AY183">
        <v>0</v>
      </c>
      <c r="AZ183">
        <v>0</v>
      </c>
      <c r="BA183" t="s">
        <v>3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Y183*Source!I70</f>
        <v>0.5</v>
      </c>
      <c r="CY183">
        <f t="shared" si="34"/>
        <v>65.92</v>
      </c>
      <c r="CZ183">
        <f t="shared" si="35"/>
        <v>13.08</v>
      </c>
      <c r="DA183">
        <f t="shared" si="36"/>
        <v>5.04</v>
      </c>
      <c r="DB183">
        <f t="shared" si="37"/>
        <v>130.80000000000001</v>
      </c>
      <c r="DC183">
        <f t="shared" si="38"/>
        <v>0</v>
      </c>
    </row>
    <row r="184" spans="1:107" x14ac:dyDescent="0.2">
      <c r="A184">
        <f>ROW(Source!A76)</f>
        <v>76</v>
      </c>
      <c r="B184">
        <v>68990560</v>
      </c>
      <c r="C184">
        <v>68991318</v>
      </c>
      <c r="D184">
        <v>37065248</v>
      </c>
      <c r="E184">
        <v>54</v>
      </c>
      <c r="F184">
        <v>1</v>
      </c>
      <c r="G184">
        <v>1</v>
      </c>
      <c r="H184">
        <v>1</v>
      </c>
      <c r="I184" t="s">
        <v>857</v>
      </c>
      <c r="J184" t="s">
        <v>3</v>
      </c>
      <c r="K184" t="s">
        <v>858</v>
      </c>
      <c r="L184">
        <v>1191</v>
      </c>
      <c r="N184">
        <v>1013</v>
      </c>
      <c r="O184" t="s">
        <v>818</v>
      </c>
      <c r="P184" t="s">
        <v>818</v>
      </c>
      <c r="Q184">
        <v>1</v>
      </c>
      <c r="W184">
        <v>0</v>
      </c>
      <c r="X184">
        <v>-400197608</v>
      </c>
      <c r="Y184">
        <v>7.5296250000000002</v>
      </c>
      <c r="AA184">
        <v>0</v>
      </c>
      <c r="AB184">
        <v>0</v>
      </c>
      <c r="AC184">
        <v>0</v>
      </c>
      <c r="AD184">
        <v>8.5299999999999994</v>
      </c>
      <c r="AE184">
        <v>0</v>
      </c>
      <c r="AF184">
        <v>0</v>
      </c>
      <c r="AG184">
        <v>0</v>
      </c>
      <c r="AH184">
        <v>8.5299999999999994</v>
      </c>
      <c r="AI184">
        <v>1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1</v>
      </c>
      <c r="AQ184">
        <v>0</v>
      </c>
      <c r="AR184">
        <v>0</v>
      </c>
      <c r="AS184" t="s">
        <v>3</v>
      </c>
      <c r="AT184">
        <v>4.8499999999999996</v>
      </c>
      <c r="AU184" t="s">
        <v>147</v>
      </c>
      <c r="AV184">
        <v>1</v>
      </c>
      <c r="AW184">
        <v>2</v>
      </c>
      <c r="AX184">
        <v>68991333</v>
      </c>
      <c r="AY184">
        <v>1</v>
      </c>
      <c r="AZ184">
        <v>2048</v>
      </c>
      <c r="BA184">
        <v>192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Y184*Source!I76</f>
        <v>13.553325000000001</v>
      </c>
      <c r="CY184">
        <f>AD184</f>
        <v>8.5299999999999994</v>
      </c>
      <c r="CZ184">
        <f>AH184</f>
        <v>8.5299999999999994</v>
      </c>
      <c r="DA184">
        <f>AL184</f>
        <v>1</v>
      </c>
      <c r="DB184">
        <f>ROUND(((ROUND(AT184*CZ184,2)*1.15)*1.35),2)</f>
        <v>64.23</v>
      </c>
      <c r="DC184">
        <f>ROUND(((ROUND(AT184*AG184,2)*1.15)*1.35),2)</f>
        <v>0</v>
      </c>
    </row>
    <row r="185" spans="1:107" x14ac:dyDescent="0.2">
      <c r="A185">
        <f>ROW(Source!A76)</f>
        <v>76</v>
      </c>
      <c r="B185">
        <v>68990560</v>
      </c>
      <c r="C185">
        <v>68991318</v>
      </c>
      <c r="D185">
        <v>37064876</v>
      </c>
      <c r="E185">
        <v>54</v>
      </c>
      <c r="F185">
        <v>1</v>
      </c>
      <c r="G185">
        <v>1</v>
      </c>
      <c r="H185">
        <v>1</v>
      </c>
      <c r="I185" t="s">
        <v>819</v>
      </c>
      <c r="J185" t="s">
        <v>3</v>
      </c>
      <c r="K185" t="s">
        <v>820</v>
      </c>
      <c r="L185">
        <v>1191</v>
      </c>
      <c r="N185">
        <v>1013</v>
      </c>
      <c r="O185" t="s">
        <v>818</v>
      </c>
      <c r="P185" t="s">
        <v>818</v>
      </c>
      <c r="Q185">
        <v>1</v>
      </c>
      <c r="W185">
        <v>0</v>
      </c>
      <c r="X185">
        <v>-1417349443</v>
      </c>
      <c r="Y185">
        <v>0.20250000000000001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1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1</v>
      </c>
      <c r="AQ185">
        <v>0</v>
      </c>
      <c r="AR185">
        <v>0</v>
      </c>
      <c r="AS185" t="s">
        <v>3</v>
      </c>
      <c r="AT185">
        <v>0.12</v>
      </c>
      <c r="AU185" t="s">
        <v>146</v>
      </c>
      <c r="AV185">
        <v>2</v>
      </c>
      <c r="AW185">
        <v>2</v>
      </c>
      <c r="AX185">
        <v>68991334</v>
      </c>
      <c r="AY185">
        <v>1</v>
      </c>
      <c r="AZ185">
        <v>0</v>
      </c>
      <c r="BA185">
        <v>193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Y185*Source!I76</f>
        <v>0.36450000000000005</v>
      </c>
      <c r="CY185">
        <f>AD185</f>
        <v>0</v>
      </c>
      <c r="CZ185">
        <f>AH185</f>
        <v>0</v>
      </c>
      <c r="DA185">
        <f>AL185</f>
        <v>1</v>
      </c>
      <c r="DB185">
        <f>ROUND(((ROUND(AT185*CZ185,2)*1.25)*1.35),2)</f>
        <v>0</v>
      </c>
      <c r="DC185">
        <f>ROUND(((ROUND(AT185*AG185,2)*1.25)*1.35),2)</f>
        <v>0</v>
      </c>
    </row>
    <row r="186" spans="1:107" x14ac:dyDescent="0.2">
      <c r="A186">
        <f>ROW(Source!A76)</f>
        <v>76</v>
      </c>
      <c r="B186">
        <v>68990560</v>
      </c>
      <c r="C186">
        <v>68991318</v>
      </c>
      <c r="D186">
        <v>55688846</v>
      </c>
      <c r="E186">
        <v>1</v>
      </c>
      <c r="F186">
        <v>1</v>
      </c>
      <c r="G186">
        <v>1</v>
      </c>
      <c r="H186">
        <v>2</v>
      </c>
      <c r="I186" t="s">
        <v>821</v>
      </c>
      <c r="J186" t="s">
        <v>822</v>
      </c>
      <c r="K186" t="s">
        <v>823</v>
      </c>
      <c r="L186">
        <v>1368</v>
      </c>
      <c r="N186">
        <v>1011</v>
      </c>
      <c r="O186" t="s">
        <v>824</v>
      </c>
      <c r="P186" t="s">
        <v>824</v>
      </c>
      <c r="Q186">
        <v>1</v>
      </c>
      <c r="W186">
        <v>0</v>
      </c>
      <c r="X186">
        <v>-747672348</v>
      </c>
      <c r="Y186">
        <v>1.6875000000000001E-2</v>
      </c>
      <c r="AA186">
        <v>0</v>
      </c>
      <c r="AB186">
        <v>1074.3699999999999</v>
      </c>
      <c r="AC186">
        <v>454.28</v>
      </c>
      <c r="AD186">
        <v>0</v>
      </c>
      <c r="AE186">
        <v>0</v>
      </c>
      <c r="AF186">
        <v>115.4</v>
      </c>
      <c r="AG186">
        <v>13.5</v>
      </c>
      <c r="AH186">
        <v>0</v>
      </c>
      <c r="AI186">
        <v>1</v>
      </c>
      <c r="AJ186">
        <v>9.31</v>
      </c>
      <c r="AK186">
        <v>33.65</v>
      </c>
      <c r="AL186">
        <v>1</v>
      </c>
      <c r="AN186">
        <v>0</v>
      </c>
      <c r="AO186">
        <v>1</v>
      </c>
      <c r="AP186">
        <v>1</v>
      </c>
      <c r="AQ186">
        <v>0</v>
      </c>
      <c r="AR186">
        <v>0</v>
      </c>
      <c r="AS186" t="s">
        <v>3</v>
      </c>
      <c r="AT186">
        <v>0.01</v>
      </c>
      <c r="AU186" t="s">
        <v>146</v>
      </c>
      <c r="AV186">
        <v>0</v>
      </c>
      <c r="AW186">
        <v>2</v>
      </c>
      <c r="AX186">
        <v>68991335</v>
      </c>
      <c r="AY186">
        <v>1</v>
      </c>
      <c r="AZ186">
        <v>0</v>
      </c>
      <c r="BA186">
        <v>194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Y186*Source!I76</f>
        <v>3.0375000000000003E-2</v>
      </c>
      <c r="CY186">
        <f>AB186</f>
        <v>1074.3699999999999</v>
      </c>
      <c r="CZ186">
        <f>AF186</f>
        <v>115.4</v>
      </c>
      <c r="DA186">
        <f>AJ186</f>
        <v>9.31</v>
      </c>
      <c r="DB186">
        <f>ROUND(((ROUND(AT186*CZ186,2)*1.25)*1.35),2)</f>
        <v>1.94</v>
      </c>
      <c r="DC186">
        <f>ROUND(((ROUND(AT186*AG186,2)*1.25)*1.35),2)</f>
        <v>0.24</v>
      </c>
    </row>
    <row r="187" spans="1:107" x14ac:dyDescent="0.2">
      <c r="A187">
        <f>ROW(Source!A76)</f>
        <v>76</v>
      </c>
      <c r="B187">
        <v>68990560</v>
      </c>
      <c r="C187">
        <v>68991318</v>
      </c>
      <c r="D187">
        <v>55689123</v>
      </c>
      <c r="E187">
        <v>1</v>
      </c>
      <c r="F187">
        <v>1</v>
      </c>
      <c r="G187">
        <v>1</v>
      </c>
      <c r="H187">
        <v>2</v>
      </c>
      <c r="I187" t="s">
        <v>1053</v>
      </c>
      <c r="J187" t="s">
        <v>1054</v>
      </c>
      <c r="K187" t="s">
        <v>1055</v>
      </c>
      <c r="L187">
        <v>1368</v>
      </c>
      <c r="N187">
        <v>1011</v>
      </c>
      <c r="O187" t="s">
        <v>824</v>
      </c>
      <c r="P187" t="s">
        <v>824</v>
      </c>
      <c r="Q187">
        <v>1</v>
      </c>
      <c r="W187">
        <v>0</v>
      </c>
      <c r="X187">
        <v>1999913840</v>
      </c>
      <c r="Y187">
        <v>0.28687499999999999</v>
      </c>
      <c r="AA187">
        <v>0</v>
      </c>
      <c r="AB187">
        <v>10.3</v>
      </c>
      <c r="AC187">
        <v>0</v>
      </c>
      <c r="AD187">
        <v>0</v>
      </c>
      <c r="AE187">
        <v>0</v>
      </c>
      <c r="AF187">
        <v>1.9</v>
      </c>
      <c r="AG187">
        <v>0</v>
      </c>
      <c r="AH187">
        <v>0</v>
      </c>
      <c r="AI187">
        <v>1</v>
      </c>
      <c r="AJ187">
        <v>5.42</v>
      </c>
      <c r="AK187">
        <v>33.65</v>
      </c>
      <c r="AL187">
        <v>1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3</v>
      </c>
      <c r="AT187">
        <v>0.17</v>
      </c>
      <c r="AU187" t="s">
        <v>146</v>
      </c>
      <c r="AV187">
        <v>0</v>
      </c>
      <c r="AW187">
        <v>2</v>
      </c>
      <c r="AX187">
        <v>68991336</v>
      </c>
      <c r="AY187">
        <v>1</v>
      </c>
      <c r="AZ187">
        <v>2048</v>
      </c>
      <c r="BA187">
        <v>195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Y187*Source!I76</f>
        <v>0.51637500000000003</v>
      </c>
      <c r="CY187">
        <f>AB187</f>
        <v>10.3</v>
      </c>
      <c r="CZ187">
        <f>AF187</f>
        <v>1.9</v>
      </c>
      <c r="DA187">
        <f>AJ187</f>
        <v>5.42</v>
      </c>
      <c r="DB187">
        <f>ROUND(((ROUND(AT187*CZ187,2)*1.25)*1.35),2)</f>
        <v>0.54</v>
      </c>
      <c r="DC187">
        <f>ROUND(((ROUND(AT187*AG187,2)*1.25)*1.35),2)</f>
        <v>0</v>
      </c>
    </row>
    <row r="188" spans="1:107" x14ac:dyDescent="0.2">
      <c r="A188">
        <f>ROW(Source!A76)</f>
        <v>76</v>
      </c>
      <c r="B188">
        <v>68990560</v>
      </c>
      <c r="C188">
        <v>68991318</v>
      </c>
      <c r="D188">
        <v>55689124</v>
      </c>
      <c r="E188">
        <v>1</v>
      </c>
      <c r="F188">
        <v>1</v>
      </c>
      <c r="G188">
        <v>1</v>
      </c>
      <c r="H188">
        <v>2</v>
      </c>
      <c r="I188" t="s">
        <v>1056</v>
      </c>
      <c r="J188" t="s">
        <v>1057</v>
      </c>
      <c r="K188" t="s">
        <v>1058</v>
      </c>
      <c r="L188">
        <v>1368</v>
      </c>
      <c r="N188">
        <v>1011</v>
      </c>
      <c r="O188" t="s">
        <v>824</v>
      </c>
      <c r="P188" t="s">
        <v>824</v>
      </c>
      <c r="Q188">
        <v>1</v>
      </c>
      <c r="W188">
        <v>0</v>
      </c>
      <c r="X188">
        <v>-845763148</v>
      </c>
      <c r="Y188">
        <v>0.16875000000000001</v>
      </c>
      <c r="AA188">
        <v>0</v>
      </c>
      <c r="AB188">
        <v>2.64</v>
      </c>
      <c r="AC188">
        <v>0</v>
      </c>
      <c r="AD188">
        <v>0</v>
      </c>
      <c r="AE188">
        <v>0</v>
      </c>
      <c r="AF188">
        <v>0.5</v>
      </c>
      <c r="AG188">
        <v>0</v>
      </c>
      <c r="AH188">
        <v>0</v>
      </c>
      <c r="AI188">
        <v>1</v>
      </c>
      <c r="AJ188">
        <v>5.28</v>
      </c>
      <c r="AK188">
        <v>33.65</v>
      </c>
      <c r="AL188">
        <v>1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3</v>
      </c>
      <c r="AT188">
        <v>0.1</v>
      </c>
      <c r="AU188" t="s">
        <v>146</v>
      </c>
      <c r="AV188">
        <v>0</v>
      </c>
      <c r="AW188">
        <v>2</v>
      </c>
      <c r="AX188">
        <v>68991337</v>
      </c>
      <c r="AY188">
        <v>1</v>
      </c>
      <c r="AZ188">
        <v>0</v>
      </c>
      <c r="BA188">
        <v>196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Y188*Source!I76</f>
        <v>0.30375000000000002</v>
      </c>
      <c r="CY188">
        <f>AB188</f>
        <v>2.64</v>
      </c>
      <c r="CZ188">
        <f>AF188</f>
        <v>0.5</v>
      </c>
      <c r="DA188">
        <f>AJ188</f>
        <v>5.28</v>
      </c>
      <c r="DB188">
        <f>ROUND(((ROUND(AT188*CZ188,2)*1.25)*1.35),2)</f>
        <v>0.08</v>
      </c>
      <c r="DC188">
        <f>ROUND(((ROUND(AT188*AG188,2)*1.25)*1.35),2)</f>
        <v>0</v>
      </c>
    </row>
    <row r="189" spans="1:107" x14ac:dyDescent="0.2">
      <c r="A189">
        <f>ROW(Source!A76)</f>
        <v>76</v>
      </c>
      <c r="B189">
        <v>68990560</v>
      </c>
      <c r="C189">
        <v>68991318</v>
      </c>
      <c r="D189">
        <v>55689769</v>
      </c>
      <c r="E189">
        <v>1</v>
      </c>
      <c r="F189">
        <v>1</v>
      </c>
      <c r="G189">
        <v>1</v>
      </c>
      <c r="H189">
        <v>2</v>
      </c>
      <c r="I189" t="s">
        <v>825</v>
      </c>
      <c r="J189" t="s">
        <v>826</v>
      </c>
      <c r="K189" t="s">
        <v>827</v>
      </c>
      <c r="L189">
        <v>1368</v>
      </c>
      <c r="N189">
        <v>1011</v>
      </c>
      <c r="O189" t="s">
        <v>824</v>
      </c>
      <c r="P189" t="s">
        <v>824</v>
      </c>
      <c r="Q189">
        <v>1</v>
      </c>
      <c r="W189">
        <v>0</v>
      </c>
      <c r="X189">
        <v>-1057454432</v>
      </c>
      <c r="Y189">
        <v>0.18562500000000001</v>
      </c>
      <c r="AA189">
        <v>0</v>
      </c>
      <c r="AB189">
        <v>776.04</v>
      </c>
      <c r="AC189">
        <v>390.34</v>
      </c>
      <c r="AD189">
        <v>0</v>
      </c>
      <c r="AE189">
        <v>0</v>
      </c>
      <c r="AF189">
        <v>65.709999999999994</v>
      </c>
      <c r="AG189">
        <v>11.6</v>
      </c>
      <c r="AH189">
        <v>0</v>
      </c>
      <c r="AI189">
        <v>1</v>
      </c>
      <c r="AJ189">
        <v>11.81</v>
      </c>
      <c r="AK189">
        <v>33.65</v>
      </c>
      <c r="AL189">
        <v>1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3</v>
      </c>
      <c r="AT189">
        <v>0.11</v>
      </c>
      <c r="AU189" t="s">
        <v>146</v>
      </c>
      <c r="AV189">
        <v>0</v>
      </c>
      <c r="AW189">
        <v>2</v>
      </c>
      <c r="AX189">
        <v>68991338</v>
      </c>
      <c r="AY189">
        <v>1</v>
      </c>
      <c r="AZ189">
        <v>2048</v>
      </c>
      <c r="BA189">
        <v>197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Y189*Source!I76</f>
        <v>0.33412500000000001</v>
      </c>
      <c r="CY189">
        <f>AB189</f>
        <v>776.04</v>
      </c>
      <c r="CZ189">
        <f>AF189</f>
        <v>65.709999999999994</v>
      </c>
      <c r="DA189">
        <f>AJ189</f>
        <v>11.81</v>
      </c>
      <c r="DB189">
        <f>ROUND(((ROUND(AT189*CZ189,2)*1.25)*1.35),2)</f>
        <v>12.2</v>
      </c>
      <c r="DC189">
        <f>ROUND(((ROUND(AT189*AG189,2)*1.25)*1.35),2)</f>
        <v>2.16</v>
      </c>
    </row>
    <row r="190" spans="1:107" x14ac:dyDescent="0.2">
      <c r="A190">
        <f>ROW(Source!A76)</f>
        <v>76</v>
      </c>
      <c r="B190">
        <v>68990560</v>
      </c>
      <c r="C190">
        <v>68991318</v>
      </c>
      <c r="D190">
        <v>55540952</v>
      </c>
      <c r="E190">
        <v>1</v>
      </c>
      <c r="F190">
        <v>1</v>
      </c>
      <c r="G190">
        <v>1</v>
      </c>
      <c r="H190">
        <v>3</v>
      </c>
      <c r="I190" t="s">
        <v>988</v>
      </c>
      <c r="J190" t="s">
        <v>989</v>
      </c>
      <c r="K190" t="s">
        <v>990</v>
      </c>
      <c r="L190">
        <v>1339</v>
      </c>
      <c r="N190">
        <v>1007</v>
      </c>
      <c r="O190" t="s">
        <v>113</v>
      </c>
      <c r="P190" t="s">
        <v>113</v>
      </c>
      <c r="Q190">
        <v>1</v>
      </c>
      <c r="W190">
        <v>0</v>
      </c>
      <c r="X190">
        <v>-1909151455</v>
      </c>
      <c r="Y190">
        <v>8.3999999999999995E-3</v>
      </c>
      <c r="AA190">
        <v>31.18</v>
      </c>
      <c r="AB190">
        <v>0</v>
      </c>
      <c r="AC190">
        <v>0</v>
      </c>
      <c r="AD190">
        <v>0</v>
      </c>
      <c r="AE190">
        <v>2.44</v>
      </c>
      <c r="AF190">
        <v>0</v>
      </c>
      <c r="AG190">
        <v>0</v>
      </c>
      <c r="AH190">
        <v>0</v>
      </c>
      <c r="AI190">
        <v>12.78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3</v>
      </c>
      <c r="AT190">
        <v>8.3999999999999995E-3</v>
      </c>
      <c r="AU190" t="s">
        <v>3</v>
      </c>
      <c r="AV190">
        <v>0</v>
      </c>
      <c r="AW190">
        <v>2</v>
      </c>
      <c r="AX190">
        <v>68991339</v>
      </c>
      <c r="AY190">
        <v>1</v>
      </c>
      <c r="AZ190">
        <v>0</v>
      </c>
      <c r="BA190">
        <v>198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Y190*Source!I76</f>
        <v>1.512E-2</v>
      </c>
      <c r="CY190">
        <f t="shared" ref="CY190:CY197" si="39">AA190</f>
        <v>31.18</v>
      </c>
      <c r="CZ190">
        <f t="shared" ref="CZ190:CZ197" si="40">AE190</f>
        <v>2.44</v>
      </c>
      <c r="DA190">
        <f t="shared" ref="DA190:DA197" si="41">AI190</f>
        <v>12.78</v>
      </c>
      <c r="DB190">
        <f t="shared" ref="DB190:DB197" si="42">ROUND(ROUND(AT190*CZ190,2),2)</f>
        <v>0.02</v>
      </c>
      <c r="DC190">
        <f t="shared" ref="DC190:DC197" si="43">ROUND(ROUND(AT190*AG190,2),2)</f>
        <v>0</v>
      </c>
    </row>
    <row r="191" spans="1:107" x14ac:dyDescent="0.2">
      <c r="A191">
        <f>ROW(Source!A76)</f>
        <v>76</v>
      </c>
      <c r="B191">
        <v>68990560</v>
      </c>
      <c r="C191">
        <v>68991318</v>
      </c>
      <c r="D191">
        <v>55543000</v>
      </c>
      <c r="E191">
        <v>1</v>
      </c>
      <c r="F191">
        <v>1</v>
      </c>
      <c r="G191">
        <v>1</v>
      </c>
      <c r="H191">
        <v>3</v>
      </c>
      <c r="I191" t="s">
        <v>1059</v>
      </c>
      <c r="J191" t="s">
        <v>1060</v>
      </c>
      <c r="K191" t="s">
        <v>1061</v>
      </c>
      <c r="L191">
        <v>1327</v>
      </c>
      <c r="N191">
        <v>1005</v>
      </c>
      <c r="O191" t="s">
        <v>46</v>
      </c>
      <c r="P191" t="s">
        <v>46</v>
      </c>
      <c r="Q191">
        <v>1</v>
      </c>
      <c r="W191">
        <v>0</v>
      </c>
      <c r="X191">
        <v>2102012474</v>
      </c>
      <c r="Y191">
        <v>0.23</v>
      </c>
      <c r="AA191">
        <v>122.42</v>
      </c>
      <c r="AB191">
        <v>0</v>
      </c>
      <c r="AC191">
        <v>0</v>
      </c>
      <c r="AD191">
        <v>0</v>
      </c>
      <c r="AE191">
        <v>32.299999999999997</v>
      </c>
      <c r="AF191">
        <v>0</v>
      </c>
      <c r="AG191">
        <v>0</v>
      </c>
      <c r="AH191">
        <v>0</v>
      </c>
      <c r="AI191">
        <v>3.79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0</v>
      </c>
      <c r="AQ191">
        <v>0</v>
      </c>
      <c r="AR191">
        <v>0</v>
      </c>
      <c r="AS191" t="s">
        <v>3</v>
      </c>
      <c r="AT191">
        <v>0.23</v>
      </c>
      <c r="AU191" t="s">
        <v>3</v>
      </c>
      <c r="AV191">
        <v>0</v>
      </c>
      <c r="AW191">
        <v>2</v>
      </c>
      <c r="AX191">
        <v>68991340</v>
      </c>
      <c r="AY191">
        <v>1</v>
      </c>
      <c r="AZ191">
        <v>0</v>
      </c>
      <c r="BA191">
        <v>199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Y191*Source!I76</f>
        <v>0.41400000000000003</v>
      </c>
      <c r="CY191">
        <f t="shared" si="39"/>
        <v>122.42</v>
      </c>
      <c r="CZ191">
        <f t="shared" si="40"/>
        <v>32.299999999999997</v>
      </c>
      <c r="DA191">
        <f t="shared" si="41"/>
        <v>3.79</v>
      </c>
      <c r="DB191">
        <f t="shared" si="42"/>
        <v>7.43</v>
      </c>
      <c r="DC191">
        <f t="shared" si="43"/>
        <v>0</v>
      </c>
    </row>
    <row r="192" spans="1:107" x14ac:dyDescent="0.2">
      <c r="A192">
        <f>ROW(Source!A76)</f>
        <v>76</v>
      </c>
      <c r="B192">
        <v>68990560</v>
      </c>
      <c r="C192">
        <v>68991318</v>
      </c>
      <c r="D192">
        <v>53749395</v>
      </c>
      <c r="E192">
        <v>1</v>
      </c>
      <c r="F192">
        <v>1</v>
      </c>
      <c r="G192">
        <v>1</v>
      </c>
      <c r="H192">
        <v>3</v>
      </c>
      <c r="I192" t="s">
        <v>254</v>
      </c>
      <c r="J192" t="s">
        <v>256</v>
      </c>
      <c r="K192" t="s">
        <v>255</v>
      </c>
      <c r="L192">
        <v>1327</v>
      </c>
      <c r="N192">
        <v>1005</v>
      </c>
      <c r="O192" t="s">
        <v>46</v>
      </c>
      <c r="P192" t="s">
        <v>46</v>
      </c>
      <c r="Q192">
        <v>1</v>
      </c>
      <c r="W192">
        <v>0</v>
      </c>
      <c r="X192">
        <v>1085254478</v>
      </c>
      <c r="Y192">
        <v>2.8571430000000002</v>
      </c>
      <c r="AA192">
        <v>713.17</v>
      </c>
      <c r="AB192">
        <v>0</v>
      </c>
      <c r="AC192">
        <v>0</v>
      </c>
      <c r="AD192">
        <v>0</v>
      </c>
      <c r="AE192">
        <v>181.93</v>
      </c>
      <c r="AF192">
        <v>0</v>
      </c>
      <c r="AG192">
        <v>0</v>
      </c>
      <c r="AH192">
        <v>0</v>
      </c>
      <c r="AI192">
        <v>3.92</v>
      </c>
      <c r="AJ192">
        <v>1</v>
      </c>
      <c r="AK192">
        <v>1</v>
      </c>
      <c r="AL192">
        <v>1</v>
      </c>
      <c r="AN192">
        <v>0</v>
      </c>
      <c r="AO192">
        <v>0</v>
      </c>
      <c r="AP192">
        <v>0</v>
      </c>
      <c r="AQ192">
        <v>0</v>
      </c>
      <c r="AR192">
        <v>0</v>
      </c>
      <c r="AS192" t="s">
        <v>3</v>
      </c>
      <c r="AT192">
        <v>2.8571430000000002</v>
      </c>
      <c r="AU192" t="s">
        <v>3</v>
      </c>
      <c r="AV192">
        <v>0</v>
      </c>
      <c r="AW192">
        <v>1</v>
      </c>
      <c r="AX192">
        <v>-1</v>
      </c>
      <c r="AY192">
        <v>0</v>
      </c>
      <c r="AZ192">
        <v>0</v>
      </c>
      <c r="BA192" t="s">
        <v>3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Y192*Source!I76</f>
        <v>5.1428574000000005</v>
      </c>
      <c r="CY192">
        <f t="shared" si="39"/>
        <v>713.17</v>
      </c>
      <c r="CZ192">
        <f t="shared" si="40"/>
        <v>181.93</v>
      </c>
      <c r="DA192">
        <f t="shared" si="41"/>
        <v>3.92</v>
      </c>
      <c r="DB192">
        <f t="shared" si="42"/>
        <v>519.79999999999995</v>
      </c>
      <c r="DC192">
        <f t="shared" si="43"/>
        <v>0</v>
      </c>
    </row>
    <row r="193" spans="1:107" x14ac:dyDescent="0.2">
      <c r="A193">
        <f>ROW(Source!A76)</f>
        <v>76</v>
      </c>
      <c r="B193">
        <v>68990560</v>
      </c>
      <c r="C193">
        <v>68991318</v>
      </c>
      <c r="D193">
        <v>53747994</v>
      </c>
      <c r="E193">
        <v>1</v>
      </c>
      <c r="F193">
        <v>1</v>
      </c>
      <c r="G193">
        <v>1</v>
      </c>
      <c r="H193">
        <v>3</v>
      </c>
      <c r="I193" t="s">
        <v>250</v>
      </c>
      <c r="J193" t="s">
        <v>252</v>
      </c>
      <c r="K193" t="s">
        <v>251</v>
      </c>
      <c r="L193">
        <v>1339</v>
      </c>
      <c r="N193">
        <v>1007</v>
      </c>
      <c r="O193" t="s">
        <v>113</v>
      </c>
      <c r="P193" t="s">
        <v>113</v>
      </c>
      <c r="Q193">
        <v>1</v>
      </c>
      <c r="W193">
        <v>0</v>
      </c>
      <c r="X193">
        <v>-2058797209</v>
      </c>
      <c r="Y193">
        <v>1.0149999999999999</v>
      </c>
      <c r="AA193">
        <v>4338.63</v>
      </c>
      <c r="AB193">
        <v>0</v>
      </c>
      <c r="AC193">
        <v>0</v>
      </c>
      <c r="AD193">
        <v>0</v>
      </c>
      <c r="AE193">
        <v>748.04</v>
      </c>
      <c r="AF193">
        <v>0</v>
      </c>
      <c r="AG193">
        <v>0</v>
      </c>
      <c r="AH193">
        <v>0</v>
      </c>
      <c r="AI193">
        <v>5.8</v>
      </c>
      <c r="AJ193">
        <v>1</v>
      </c>
      <c r="AK193">
        <v>1</v>
      </c>
      <c r="AL193">
        <v>1</v>
      </c>
      <c r="AN193">
        <v>0</v>
      </c>
      <c r="AO193">
        <v>0</v>
      </c>
      <c r="AP193">
        <v>0</v>
      </c>
      <c r="AQ193">
        <v>0</v>
      </c>
      <c r="AR193">
        <v>0</v>
      </c>
      <c r="AS193" t="s">
        <v>3</v>
      </c>
      <c r="AT193">
        <v>1.0149999999999999</v>
      </c>
      <c r="AU193" t="s">
        <v>3</v>
      </c>
      <c r="AV193">
        <v>0</v>
      </c>
      <c r="AW193">
        <v>1</v>
      </c>
      <c r="AX193">
        <v>-1</v>
      </c>
      <c r="AY193">
        <v>0</v>
      </c>
      <c r="AZ193">
        <v>0</v>
      </c>
      <c r="BA193" t="s">
        <v>3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Y193*Source!I76</f>
        <v>1.827</v>
      </c>
      <c r="CY193">
        <f t="shared" si="39"/>
        <v>4338.63</v>
      </c>
      <c r="CZ193">
        <f t="shared" si="40"/>
        <v>748.04</v>
      </c>
      <c r="DA193">
        <f t="shared" si="41"/>
        <v>5.8</v>
      </c>
      <c r="DB193">
        <f t="shared" si="42"/>
        <v>759.26</v>
      </c>
      <c r="DC193">
        <f t="shared" si="43"/>
        <v>0</v>
      </c>
    </row>
    <row r="194" spans="1:107" x14ac:dyDescent="0.2">
      <c r="A194">
        <f>ROW(Source!A76)</f>
        <v>76</v>
      </c>
      <c r="B194">
        <v>68990560</v>
      </c>
      <c r="C194">
        <v>68991318</v>
      </c>
      <c r="D194">
        <v>55560204</v>
      </c>
      <c r="E194">
        <v>1</v>
      </c>
      <c r="F194">
        <v>1</v>
      </c>
      <c r="G194">
        <v>1</v>
      </c>
      <c r="H194">
        <v>3</v>
      </c>
      <c r="I194" t="s">
        <v>1062</v>
      </c>
      <c r="J194" t="s">
        <v>1063</v>
      </c>
      <c r="K194" t="s">
        <v>1064</v>
      </c>
      <c r="L194">
        <v>1346</v>
      </c>
      <c r="N194">
        <v>1009</v>
      </c>
      <c r="O194" t="s">
        <v>170</v>
      </c>
      <c r="P194" t="s">
        <v>170</v>
      </c>
      <c r="Q194">
        <v>1</v>
      </c>
      <c r="W194">
        <v>0</v>
      </c>
      <c r="X194">
        <v>-1965937480</v>
      </c>
      <c r="Y194">
        <v>0.3</v>
      </c>
      <c r="AA194">
        <v>54.15</v>
      </c>
      <c r="AB194">
        <v>0</v>
      </c>
      <c r="AC194">
        <v>0</v>
      </c>
      <c r="AD194">
        <v>0</v>
      </c>
      <c r="AE194">
        <v>9.5</v>
      </c>
      <c r="AF194">
        <v>0</v>
      </c>
      <c r="AG194">
        <v>0</v>
      </c>
      <c r="AH194">
        <v>0</v>
      </c>
      <c r="AI194">
        <v>5.7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3</v>
      </c>
      <c r="AT194">
        <v>0.3</v>
      </c>
      <c r="AU194" t="s">
        <v>3</v>
      </c>
      <c r="AV194">
        <v>0</v>
      </c>
      <c r="AW194">
        <v>2</v>
      </c>
      <c r="AX194">
        <v>68991343</v>
      </c>
      <c r="AY194">
        <v>1</v>
      </c>
      <c r="AZ194">
        <v>0</v>
      </c>
      <c r="BA194">
        <v>202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Y194*Source!I76</f>
        <v>0.54</v>
      </c>
      <c r="CY194">
        <f t="shared" si="39"/>
        <v>54.15</v>
      </c>
      <c r="CZ194">
        <f t="shared" si="40"/>
        <v>9.5</v>
      </c>
      <c r="DA194">
        <f t="shared" si="41"/>
        <v>5.7</v>
      </c>
      <c r="DB194">
        <f t="shared" si="42"/>
        <v>2.85</v>
      </c>
      <c r="DC194">
        <f t="shared" si="43"/>
        <v>0</v>
      </c>
    </row>
    <row r="195" spans="1:107" x14ac:dyDescent="0.2">
      <c r="A195">
        <f>ROW(Source!A76)</f>
        <v>76</v>
      </c>
      <c r="B195">
        <v>68990560</v>
      </c>
      <c r="C195">
        <v>68991318</v>
      </c>
      <c r="D195">
        <v>53748999</v>
      </c>
      <c r="E195">
        <v>1</v>
      </c>
      <c r="F195">
        <v>1</v>
      </c>
      <c r="G195">
        <v>1</v>
      </c>
      <c r="H195">
        <v>3</v>
      </c>
      <c r="I195" t="s">
        <v>258</v>
      </c>
      <c r="J195" t="s">
        <v>260</v>
      </c>
      <c r="K195" t="s">
        <v>259</v>
      </c>
      <c r="L195">
        <v>1348</v>
      </c>
      <c r="N195">
        <v>1009</v>
      </c>
      <c r="O195" t="s">
        <v>71</v>
      </c>
      <c r="P195" t="s">
        <v>71</v>
      </c>
      <c r="Q195">
        <v>1000</v>
      </c>
      <c r="W195">
        <v>0</v>
      </c>
      <c r="X195">
        <v>-425551073</v>
      </c>
      <c r="Y195">
        <v>0.123</v>
      </c>
      <c r="AA195">
        <v>45520.37</v>
      </c>
      <c r="AB195">
        <v>0</v>
      </c>
      <c r="AC195">
        <v>0</v>
      </c>
      <c r="AD195">
        <v>0</v>
      </c>
      <c r="AE195">
        <v>8014.15</v>
      </c>
      <c r="AF195">
        <v>0</v>
      </c>
      <c r="AG195">
        <v>0</v>
      </c>
      <c r="AH195">
        <v>0</v>
      </c>
      <c r="AI195">
        <v>5.68</v>
      </c>
      <c r="AJ195">
        <v>1</v>
      </c>
      <c r="AK195">
        <v>1</v>
      </c>
      <c r="AL195">
        <v>1</v>
      </c>
      <c r="AN195">
        <v>0</v>
      </c>
      <c r="AO195">
        <v>0</v>
      </c>
      <c r="AP195">
        <v>0</v>
      </c>
      <c r="AQ195">
        <v>0</v>
      </c>
      <c r="AR195">
        <v>0</v>
      </c>
      <c r="AS195" t="s">
        <v>3</v>
      </c>
      <c r="AT195">
        <v>0.123</v>
      </c>
      <c r="AU195" t="s">
        <v>3</v>
      </c>
      <c r="AV195">
        <v>0</v>
      </c>
      <c r="AW195">
        <v>1</v>
      </c>
      <c r="AX195">
        <v>-1</v>
      </c>
      <c r="AY195">
        <v>0</v>
      </c>
      <c r="AZ195">
        <v>0</v>
      </c>
      <c r="BA195" t="s">
        <v>3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Y195*Source!I76</f>
        <v>0.22140000000000001</v>
      </c>
      <c r="CY195">
        <f t="shared" si="39"/>
        <v>45520.37</v>
      </c>
      <c r="CZ195">
        <f t="shared" si="40"/>
        <v>8014.15</v>
      </c>
      <c r="DA195">
        <f t="shared" si="41"/>
        <v>5.68</v>
      </c>
      <c r="DB195">
        <f t="shared" si="42"/>
        <v>985.74</v>
      </c>
      <c r="DC195">
        <f t="shared" si="43"/>
        <v>0</v>
      </c>
    </row>
    <row r="196" spans="1:107" x14ac:dyDescent="0.2">
      <c r="A196">
        <f>ROW(Source!A76)</f>
        <v>76</v>
      </c>
      <c r="B196">
        <v>68990560</v>
      </c>
      <c r="C196">
        <v>68991318</v>
      </c>
      <c r="D196">
        <v>55564315</v>
      </c>
      <c r="E196">
        <v>1</v>
      </c>
      <c r="F196">
        <v>1</v>
      </c>
      <c r="G196">
        <v>1</v>
      </c>
      <c r="H196">
        <v>3</v>
      </c>
      <c r="I196" t="s">
        <v>1065</v>
      </c>
      <c r="J196" t="s">
        <v>1066</v>
      </c>
      <c r="K196" t="s">
        <v>1067</v>
      </c>
      <c r="L196">
        <v>1339</v>
      </c>
      <c r="N196">
        <v>1007</v>
      </c>
      <c r="O196" t="s">
        <v>113</v>
      </c>
      <c r="P196" t="s">
        <v>113</v>
      </c>
      <c r="Q196">
        <v>1</v>
      </c>
      <c r="W196">
        <v>0</v>
      </c>
      <c r="X196">
        <v>-903483581</v>
      </c>
      <c r="Y196">
        <v>1.7999999999999999E-2</v>
      </c>
      <c r="AA196">
        <v>6859.71</v>
      </c>
      <c r="AB196">
        <v>0</v>
      </c>
      <c r="AC196">
        <v>0</v>
      </c>
      <c r="AD196">
        <v>0</v>
      </c>
      <c r="AE196">
        <v>1287</v>
      </c>
      <c r="AF196">
        <v>0</v>
      </c>
      <c r="AG196">
        <v>0</v>
      </c>
      <c r="AH196">
        <v>0</v>
      </c>
      <c r="AI196">
        <v>5.33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3</v>
      </c>
      <c r="AT196">
        <v>1.7999999999999999E-2</v>
      </c>
      <c r="AU196" t="s">
        <v>3</v>
      </c>
      <c r="AV196">
        <v>0</v>
      </c>
      <c r="AW196">
        <v>2</v>
      </c>
      <c r="AX196">
        <v>68991345</v>
      </c>
      <c r="AY196">
        <v>1</v>
      </c>
      <c r="AZ196">
        <v>0</v>
      </c>
      <c r="BA196">
        <v>204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Y196*Source!I76</f>
        <v>3.2399999999999998E-2</v>
      </c>
      <c r="CY196">
        <f t="shared" si="39"/>
        <v>6859.71</v>
      </c>
      <c r="CZ196">
        <f t="shared" si="40"/>
        <v>1287</v>
      </c>
      <c r="DA196">
        <f t="shared" si="41"/>
        <v>5.33</v>
      </c>
      <c r="DB196">
        <f t="shared" si="42"/>
        <v>23.17</v>
      </c>
      <c r="DC196">
        <f t="shared" si="43"/>
        <v>0</v>
      </c>
    </row>
    <row r="197" spans="1:107" x14ac:dyDescent="0.2">
      <c r="A197">
        <f>ROW(Source!A76)</f>
        <v>76</v>
      </c>
      <c r="B197">
        <v>68990560</v>
      </c>
      <c r="C197">
        <v>68991318</v>
      </c>
      <c r="D197">
        <v>55564503</v>
      </c>
      <c r="E197">
        <v>1</v>
      </c>
      <c r="F197">
        <v>1</v>
      </c>
      <c r="G197">
        <v>1</v>
      </c>
      <c r="H197">
        <v>3</v>
      </c>
      <c r="I197" t="s">
        <v>1068</v>
      </c>
      <c r="J197" t="s">
        <v>1069</v>
      </c>
      <c r="K197" t="s">
        <v>1070</v>
      </c>
      <c r="L197">
        <v>1339</v>
      </c>
      <c r="N197">
        <v>1007</v>
      </c>
      <c r="O197" t="s">
        <v>113</v>
      </c>
      <c r="P197" t="s">
        <v>113</v>
      </c>
      <c r="Q197">
        <v>1</v>
      </c>
      <c r="W197">
        <v>0</v>
      </c>
      <c r="X197">
        <v>1624150769</v>
      </c>
      <c r="Y197">
        <v>0.13800000000000001</v>
      </c>
      <c r="AA197">
        <v>5290.56</v>
      </c>
      <c r="AB197">
        <v>0</v>
      </c>
      <c r="AC197">
        <v>0</v>
      </c>
      <c r="AD197">
        <v>0</v>
      </c>
      <c r="AE197">
        <v>1056</v>
      </c>
      <c r="AF197">
        <v>0</v>
      </c>
      <c r="AG197">
        <v>0</v>
      </c>
      <c r="AH197">
        <v>0</v>
      </c>
      <c r="AI197">
        <v>5.01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3</v>
      </c>
      <c r="AT197">
        <v>0.13800000000000001</v>
      </c>
      <c r="AU197" t="s">
        <v>3</v>
      </c>
      <c r="AV197">
        <v>0</v>
      </c>
      <c r="AW197">
        <v>2</v>
      </c>
      <c r="AX197">
        <v>68991346</v>
      </c>
      <c r="AY197">
        <v>1</v>
      </c>
      <c r="AZ197">
        <v>0</v>
      </c>
      <c r="BA197">
        <v>205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Y197*Source!I76</f>
        <v>0.24840000000000004</v>
      </c>
      <c r="CY197">
        <f t="shared" si="39"/>
        <v>5290.56</v>
      </c>
      <c r="CZ197">
        <f t="shared" si="40"/>
        <v>1056</v>
      </c>
      <c r="DA197">
        <f t="shared" si="41"/>
        <v>5.01</v>
      </c>
      <c r="DB197">
        <f t="shared" si="42"/>
        <v>145.72999999999999</v>
      </c>
      <c r="DC197">
        <f t="shared" si="43"/>
        <v>0</v>
      </c>
    </row>
    <row r="198" spans="1:107" x14ac:dyDescent="0.2">
      <c r="A198">
        <f>ROW(Source!A80)</f>
        <v>80</v>
      </c>
      <c r="B198">
        <v>68990560</v>
      </c>
      <c r="C198">
        <v>68991381</v>
      </c>
      <c r="D198">
        <v>64240937</v>
      </c>
      <c r="E198">
        <v>56</v>
      </c>
      <c r="F198">
        <v>1</v>
      </c>
      <c r="G198">
        <v>1</v>
      </c>
      <c r="H198">
        <v>1</v>
      </c>
      <c r="I198" t="s">
        <v>892</v>
      </c>
      <c r="J198" t="s">
        <v>3</v>
      </c>
      <c r="K198" t="s">
        <v>893</v>
      </c>
      <c r="L198">
        <v>1191</v>
      </c>
      <c r="N198">
        <v>1013</v>
      </c>
      <c r="O198" t="s">
        <v>818</v>
      </c>
      <c r="P198" t="s">
        <v>818</v>
      </c>
      <c r="Q198">
        <v>1</v>
      </c>
      <c r="W198">
        <v>0</v>
      </c>
      <c r="X198">
        <v>735429535</v>
      </c>
      <c r="Y198">
        <v>209.58750000000001</v>
      </c>
      <c r="AA198">
        <v>0</v>
      </c>
      <c r="AB198">
        <v>0</v>
      </c>
      <c r="AC198">
        <v>0</v>
      </c>
      <c r="AD198">
        <v>7.8</v>
      </c>
      <c r="AE198">
        <v>0</v>
      </c>
      <c r="AF198">
        <v>0</v>
      </c>
      <c r="AG198">
        <v>0</v>
      </c>
      <c r="AH198">
        <v>7.8</v>
      </c>
      <c r="AI198">
        <v>1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1</v>
      </c>
      <c r="AQ198">
        <v>0</v>
      </c>
      <c r="AR198">
        <v>0</v>
      </c>
      <c r="AS198" t="s">
        <v>3</v>
      </c>
      <c r="AT198">
        <v>135</v>
      </c>
      <c r="AU198" t="s">
        <v>147</v>
      </c>
      <c r="AV198">
        <v>1</v>
      </c>
      <c r="AW198">
        <v>2</v>
      </c>
      <c r="AX198">
        <v>68991382</v>
      </c>
      <c r="AY198">
        <v>1</v>
      </c>
      <c r="AZ198">
        <v>0</v>
      </c>
      <c r="BA198">
        <v>206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Y198*Source!I80</f>
        <v>0.70840575000000006</v>
      </c>
      <c r="CY198">
        <f>AD198</f>
        <v>7.8</v>
      </c>
      <c r="CZ198">
        <f>AH198</f>
        <v>7.8</v>
      </c>
      <c r="DA198">
        <f>AL198</f>
        <v>1</v>
      </c>
      <c r="DB198">
        <f>ROUND(((ROUND(AT198*CZ198,2)*1.15)*1.35),2)</f>
        <v>1634.78</v>
      </c>
      <c r="DC198">
        <f>ROUND(((ROUND(AT198*AG198,2)*1.15)*1.35),2)</f>
        <v>0</v>
      </c>
    </row>
    <row r="199" spans="1:107" x14ac:dyDescent="0.2">
      <c r="A199">
        <f>ROW(Source!A80)</f>
        <v>80</v>
      </c>
      <c r="B199">
        <v>68990560</v>
      </c>
      <c r="C199">
        <v>68991381</v>
      </c>
      <c r="D199">
        <v>64241154</v>
      </c>
      <c r="E199">
        <v>56</v>
      </c>
      <c r="F199">
        <v>1</v>
      </c>
      <c r="G199">
        <v>1</v>
      </c>
      <c r="H199">
        <v>1</v>
      </c>
      <c r="I199" t="s">
        <v>819</v>
      </c>
      <c r="J199" t="s">
        <v>3</v>
      </c>
      <c r="K199" t="s">
        <v>820</v>
      </c>
      <c r="L199">
        <v>1191</v>
      </c>
      <c r="N199">
        <v>1013</v>
      </c>
      <c r="O199" t="s">
        <v>818</v>
      </c>
      <c r="P199" t="s">
        <v>818</v>
      </c>
      <c r="Q199">
        <v>1</v>
      </c>
      <c r="W199">
        <v>0</v>
      </c>
      <c r="X199">
        <v>-1417349443</v>
      </c>
      <c r="Y199">
        <v>30.577500000000001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1</v>
      </c>
      <c r="AQ199">
        <v>0</v>
      </c>
      <c r="AR199">
        <v>0</v>
      </c>
      <c r="AS199" t="s">
        <v>3</v>
      </c>
      <c r="AT199">
        <v>18.12</v>
      </c>
      <c r="AU199" t="s">
        <v>146</v>
      </c>
      <c r="AV199">
        <v>2</v>
      </c>
      <c r="AW199">
        <v>2</v>
      </c>
      <c r="AX199">
        <v>68991383</v>
      </c>
      <c r="AY199">
        <v>1</v>
      </c>
      <c r="AZ199">
        <v>2048</v>
      </c>
      <c r="BA199">
        <v>207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Y199*Source!I80</f>
        <v>0.10335195000000001</v>
      </c>
      <c r="CY199">
        <f>AD199</f>
        <v>0</v>
      </c>
      <c r="CZ199">
        <f>AH199</f>
        <v>0</v>
      </c>
      <c r="DA199">
        <f>AL199</f>
        <v>1</v>
      </c>
      <c r="DB199">
        <f>ROUND(((ROUND(AT199*CZ199,2)*1.25)*1.35),2)</f>
        <v>0</v>
      </c>
      <c r="DC199">
        <f>ROUND(((ROUND(AT199*AG199,2)*1.25)*1.35),2)</f>
        <v>0</v>
      </c>
    </row>
    <row r="200" spans="1:107" x14ac:dyDescent="0.2">
      <c r="A200">
        <f>ROW(Source!A80)</f>
        <v>80</v>
      </c>
      <c r="B200">
        <v>68990560</v>
      </c>
      <c r="C200">
        <v>68991381</v>
      </c>
      <c r="D200">
        <v>64401705</v>
      </c>
      <c r="E200">
        <v>1</v>
      </c>
      <c r="F200">
        <v>1</v>
      </c>
      <c r="G200">
        <v>1</v>
      </c>
      <c r="H200">
        <v>2</v>
      </c>
      <c r="I200" t="s">
        <v>1071</v>
      </c>
      <c r="J200" t="s">
        <v>1072</v>
      </c>
      <c r="K200" t="s">
        <v>1073</v>
      </c>
      <c r="L200">
        <v>1368</v>
      </c>
      <c r="N200">
        <v>1011</v>
      </c>
      <c r="O200" t="s">
        <v>824</v>
      </c>
      <c r="P200" t="s">
        <v>824</v>
      </c>
      <c r="Q200">
        <v>1</v>
      </c>
      <c r="W200">
        <v>0</v>
      </c>
      <c r="X200">
        <v>-51223287</v>
      </c>
      <c r="Y200">
        <v>30.375</v>
      </c>
      <c r="AA200">
        <v>0</v>
      </c>
      <c r="AB200">
        <v>768.1</v>
      </c>
      <c r="AC200">
        <v>454.28</v>
      </c>
      <c r="AD200">
        <v>0</v>
      </c>
      <c r="AE200">
        <v>0</v>
      </c>
      <c r="AF200">
        <v>86.4</v>
      </c>
      <c r="AG200">
        <v>13.5</v>
      </c>
      <c r="AH200">
        <v>0</v>
      </c>
      <c r="AI200">
        <v>1</v>
      </c>
      <c r="AJ200">
        <v>8.89</v>
      </c>
      <c r="AK200">
        <v>33.65</v>
      </c>
      <c r="AL200">
        <v>1</v>
      </c>
      <c r="AN200">
        <v>0</v>
      </c>
      <c r="AO200">
        <v>1</v>
      </c>
      <c r="AP200">
        <v>1</v>
      </c>
      <c r="AQ200">
        <v>0</v>
      </c>
      <c r="AR200">
        <v>0</v>
      </c>
      <c r="AS200" t="s">
        <v>3</v>
      </c>
      <c r="AT200">
        <v>18</v>
      </c>
      <c r="AU200" t="s">
        <v>146</v>
      </c>
      <c r="AV200">
        <v>0</v>
      </c>
      <c r="AW200">
        <v>2</v>
      </c>
      <c r="AX200">
        <v>68991384</v>
      </c>
      <c r="AY200">
        <v>1</v>
      </c>
      <c r="AZ200">
        <v>2048</v>
      </c>
      <c r="BA200">
        <v>208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Y200*Source!I80</f>
        <v>0.10266750000000001</v>
      </c>
      <c r="CY200">
        <f>AB200</f>
        <v>768.1</v>
      </c>
      <c r="CZ200">
        <f>AF200</f>
        <v>86.4</v>
      </c>
      <c r="DA200">
        <f>AJ200</f>
        <v>8.89</v>
      </c>
      <c r="DB200">
        <f>ROUND(((ROUND(AT200*CZ200,2)*1.25)*1.35),2)</f>
        <v>2624.4</v>
      </c>
      <c r="DC200">
        <f>ROUND(((ROUND(AT200*AG200,2)*1.25)*1.35),2)</f>
        <v>410.06</v>
      </c>
    </row>
    <row r="201" spans="1:107" x14ac:dyDescent="0.2">
      <c r="A201">
        <f>ROW(Source!A80)</f>
        <v>80</v>
      </c>
      <c r="B201">
        <v>68990560</v>
      </c>
      <c r="C201">
        <v>68991381</v>
      </c>
      <c r="D201">
        <v>64402043</v>
      </c>
      <c r="E201">
        <v>1</v>
      </c>
      <c r="F201">
        <v>1</v>
      </c>
      <c r="G201">
        <v>1</v>
      </c>
      <c r="H201">
        <v>2</v>
      </c>
      <c r="I201" t="s">
        <v>1056</v>
      </c>
      <c r="J201" t="s">
        <v>1057</v>
      </c>
      <c r="K201" t="s">
        <v>1058</v>
      </c>
      <c r="L201">
        <v>1368</v>
      </c>
      <c r="N201">
        <v>1011</v>
      </c>
      <c r="O201" t="s">
        <v>824</v>
      </c>
      <c r="P201" t="s">
        <v>824</v>
      </c>
      <c r="Q201">
        <v>1</v>
      </c>
      <c r="W201">
        <v>0</v>
      </c>
      <c r="X201">
        <v>-1242712614</v>
      </c>
      <c r="Y201">
        <v>10.006875000000001</v>
      </c>
      <c r="AA201">
        <v>0</v>
      </c>
      <c r="AB201">
        <v>2.64</v>
      </c>
      <c r="AC201">
        <v>0</v>
      </c>
      <c r="AD201">
        <v>0</v>
      </c>
      <c r="AE201">
        <v>0</v>
      </c>
      <c r="AF201">
        <v>0.5</v>
      </c>
      <c r="AG201">
        <v>0</v>
      </c>
      <c r="AH201">
        <v>0</v>
      </c>
      <c r="AI201">
        <v>1</v>
      </c>
      <c r="AJ201">
        <v>5.28</v>
      </c>
      <c r="AK201">
        <v>33.65</v>
      </c>
      <c r="AL201">
        <v>1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3</v>
      </c>
      <c r="AT201">
        <v>5.93</v>
      </c>
      <c r="AU201" t="s">
        <v>146</v>
      </c>
      <c r="AV201">
        <v>0</v>
      </c>
      <c r="AW201">
        <v>2</v>
      </c>
      <c r="AX201">
        <v>68991385</v>
      </c>
      <c r="AY201">
        <v>1</v>
      </c>
      <c r="AZ201">
        <v>0</v>
      </c>
      <c r="BA201">
        <v>209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Y201*Source!I80</f>
        <v>3.3823237500000006E-2</v>
      </c>
      <c r="CY201">
        <f>AB201</f>
        <v>2.64</v>
      </c>
      <c r="CZ201">
        <f>AF201</f>
        <v>0.5</v>
      </c>
      <c r="DA201">
        <f>AJ201</f>
        <v>5.28</v>
      </c>
      <c r="DB201">
        <f>ROUND(((ROUND(AT201*CZ201,2)*1.25)*1.35),2)</f>
        <v>5.01</v>
      </c>
      <c r="DC201">
        <f>ROUND(((ROUND(AT201*AG201,2)*1.25)*1.35),2)</f>
        <v>0</v>
      </c>
    </row>
    <row r="202" spans="1:107" x14ac:dyDescent="0.2">
      <c r="A202">
        <f>ROW(Source!A80)</f>
        <v>80</v>
      </c>
      <c r="B202">
        <v>68990560</v>
      </c>
      <c r="C202">
        <v>68991381</v>
      </c>
      <c r="D202">
        <v>64402691</v>
      </c>
      <c r="E202">
        <v>1</v>
      </c>
      <c r="F202">
        <v>1</v>
      </c>
      <c r="G202">
        <v>1</v>
      </c>
      <c r="H202">
        <v>2</v>
      </c>
      <c r="I202" t="s">
        <v>825</v>
      </c>
      <c r="J202" t="s">
        <v>826</v>
      </c>
      <c r="K202" t="s">
        <v>827</v>
      </c>
      <c r="L202">
        <v>1368</v>
      </c>
      <c r="N202">
        <v>1011</v>
      </c>
      <c r="O202" t="s">
        <v>824</v>
      </c>
      <c r="P202" t="s">
        <v>824</v>
      </c>
      <c r="Q202">
        <v>1</v>
      </c>
      <c r="W202">
        <v>0</v>
      </c>
      <c r="X202">
        <v>-841254546</v>
      </c>
      <c r="Y202">
        <v>0.20250000000000001</v>
      </c>
      <c r="AA202">
        <v>0</v>
      </c>
      <c r="AB202">
        <v>776.04</v>
      </c>
      <c r="AC202">
        <v>390.34</v>
      </c>
      <c r="AD202">
        <v>0</v>
      </c>
      <c r="AE202">
        <v>0</v>
      </c>
      <c r="AF202">
        <v>65.709999999999994</v>
      </c>
      <c r="AG202">
        <v>11.6</v>
      </c>
      <c r="AH202">
        <v>0</v>
      </c>
      <c r="AI202">
        <v>1</v>
      </c>
      <c r="AJ202">
        <v>11.81</v>
      </c>
      <c r="AK202">
        <v>33.65</v>
      </c>
      <c r="AL202">
        <v>1</v>
      </c>
      <c r="AN202">
        <v>0</v>
      </c>
      <c r="AO202">
        <v>1</v>
      </c>
      <c r="AP202">
        <v>1</v>
      </c>
      <c r="AQ202">
        <v>0</v>
      </c>
      <c r="AR202">
        <v>0</v>
      </c>
      <c r="AS202" t="s">
        <v>3</v>
      </c>
      <c r="AT202">
        <v>0.12</v>
      </c>
      <c r="AU202" t="s">
        <v>146</v>
      </c>
      <c r="AV202">
        <v>0</v>
      </c>
      <c r="AW202">
        <v>2</v>
      </c>
      <c r="AX202">
        <v>68991386</v>
      </c>
      <c r="AY202">
        <v>1</v>
      </c>
      <c r="AZ202">
        <v>0</v>
      </c>
      <c r="BA202">
        <v>210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Y202*Source!I80</f>
        <v>6.8445000000000008E-4</v>
      </c>
      <c r="CY202">
        <f>AB202</f>
        <v>776.04</v>
      </c>
      <c r="CZ202">
        <f>AF202</f>
        <v>65.709999999999994</v>
      </c>
      <c r="DA202">
        <f>AJ202</f>
        <v>11.81</v>
      </c>
      <c r="DB202">
        <f>ROUND(((ROUND(AT202*CZ202,2)*1.25)*1.35),2)</f>
        <v>13.31</v>
      </c>
      <c r="DC202">
        <f>ROUND(((ROUND(AT202*AG202,2)*1.25)*1.35),2)</f>
        <v>2.35</v>
      </c>
    </row>
    <row r="203" spans="1:107" x14ac:dyDescent="0.2">
      <c r="A203">
        <f>ROW(Source!A80)</f>
        <v>80</v>
      </c>
      <c r="B203">
        <v>68990560</v>
      </c>
      <c r="C203">
        <v>68991381</v>
      </c>
      <c r="D203">
        <v>64252759</v>
      </c>
      <c r="E203">
        <v>1</v>
      </c>
      <c r="F203">
        <v>1</v>
      </c>
      <c r="G203">
        <v>1</v>
      </c>
      <c r="H203">
        <v>3</v>
      </c>
      <c r="I203" t="s">
        <v>988</v>
      </c>
      <c r="J203" t="s">
        <v>989</v>
      </c>
      <c r="K203" t="s">
        <v>990</v>
      </c>
      <c r="L203">
        <v>1339</v>
      </c>
      <c r="N203">
        <v>1007</v>
      </c>
      <c r="O203" t="s">
        <v>113</v>
      </c>
      <c r="P203" t="s">
        <v>113</v>
      </c>
      <c r="Q203">
        <v>1</v>
      </c>
      <c r="W203">
        <v>0</v>
      </c>
      <c r="X203">
        <v>-1161832183</v>
      </c>
      <c r="Y203">
        <v>1.75</v>
      </c>
      <c r="AA203">
        <v>31.18</v>
      </c>
      <c r="AB203">
        <v>0</v>
      </c>
      <c r="AC203">
        <v>0</v>
      </c>
      <c r="AD203">
        <v>0</v>
      </c>
      <c r="AE203">
        <v>2.44</v>
      </c>
      <c r="AF203">
        <v>0</v>
      </c>
      <c r="AG203">
        <v>0</v>
      </c>
      <c r="AH203">
        <v>0</v>
      </c>
      <c r="AI203">
        <v>12.78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3</v>
      </c>
      <c r="AT203">
        <v>1.75</v>
      </c>
      <c r="AU203" t="s">
        <v>3</v>
      </c>
      <c r="AV203">
        <v>0</v>
      </c>
      <c r="AW203">
        <v>2</v>
      </c>
      <c r="AX203">
        <v>68991387</v>
      </c>
      <c r="AY203">
        <v>1</v>
      </c>
      <c r="AZ203">
        <v>0</v>
      </c>
      <c r="BA203">
        <v>211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Y203*Source!I80</f>
        <v>5.9150000000000001E-3</v>
      </c>
      <c r="CY203">
        <f>AA203</f>
        <v>31.18</v>
      </c>
      <c r="CZ203">
        <f>AE203</f>
        <v>2.44</v>
      </c>
      <c r="DA203">
        <f>AI203</f>
        <v>12.78</v>
      </c>
      <c r="DB203">
        <f>ROUND(ROUND(AT203*CZ203,2),2)</f>
        <v>4.2699999999999996</v>
      </c>
      <c r="DC203">
        <f>ROUND(ROUND(AT203*AG203,2),2)</f>
        <v>0</v>
      </c>
    </row>
    <row r="204" spans="1:107" x14ac:dyDescent="0.2">
      <c r="A204">
        <f>ROW(Source!A80)</f>
        <v>80</v>
      </c>
      <c r="B204">
        <v>68990560</v>
      </c>
      <c r="C204">
        <v>68991381</v>
      </c>
      <c r="D204">
        <v>64253252</v>
      </c>
      <c r="E204">
        <v>1</v>
      </c>
      <c r="F204">
        <v>1</v>
      </c>
      <c r="G204">
        <v>1</v>
      </c>
      <c r="H204">
        <v>3</v>
      </c>
      <c r="I204" t="s">
        <v>1074</v>
      </c>
      <c r="J204" t="s">
        <v>1075</v>
      </c>
      <c r="K204" t="s">
        <v>1076</v>
      </c>
      <c r="L204">
        <v>1327</v>
      </c>
      <c r="N204">
        <v>1005</v>
      </c>
      <c r="O204" t="s">
        <v>46</v>
      </c>
      <c r="P204" t="s">
        <v>46</v>
      </c>
      <c r="Q204">
        <v>1</v>
      </c>
      <c r="W204">
        <v>0</v>
      </c>
      <c r="X204">
        <v>855253433</v>
      </c>
      <c r="Y204">
        <v>250</v>
      </c>
      <c r="AA204">
        <v>12.63</v>
      </c>
      <c r="AB204">
        <v>0</v>
      </c>
      <c r="AC204">
        <v>0</v>
      </c>
      <c r="AD204">
        <v>0</v>
      </c>
      <c r="AE204">
        <v>3.62</v>
      </c>
      <c r="AF204">
        <v>0</v>
      </c>
      <c r="AG204">
        <v>0</v>
      </c>
      <c r="AH204">
        <v>0</v>
      </c>
      <c r="AI204">
        <v>3.49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3</v>
      </c>
      <c r="AT204">
        <v>250</v>
      </c>
      <c r="AU204" t="s">
        <v>3</v>
      </c>
      <c r="AV204">
        <v>0</v>
      </c>
      <c r="AW204">
        <v>2</v>
      </c>
      <c r="AX204">
        <v>68991388</v>
      </c>
      <c r="AY204">
        <v>1</v>
      </c>
      <c r="AZ204">
        <v>0</v>
      </c>
      <c r="BA204">
        <v>212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Y204*Source!I80</f>
        <v>0.84500000000000008</v>
      </c>
      <c r="CY204">
        <f>AA204</f>
        <v>12.63</v>
      </c>
      <c r="CZ204">
        <f>AE204</f>
        <v>3.62</v>
      </c>
      <c r="DA204">
        <f>AI204</f>
        <v>3.49</v>
      </c>
      <c r="DB204">
        <f>ROUND(ROUND(AT204*CZ204,2),2)</f>
        <v>905</v>
      </c>
      <c r="DC204">
        <f>ROUND(ROUND(AT204*AG204,2),2)</f>
        <v>0</v>
      </c>
    </row>
    <row r="205" spans="1:107" x14ac:dyDescent="0.2">
      <c r="A205">
        <f>ROW(Source!A80)</f>
        <v>80</v>
      </c>
      <c r="B205">
        <v>68990560</v>
      </c>
      <c r="C205">
        <v>68991381</v>
      </c>
      <c r="D205">
        <v>53747994</v>
      </c>
      <c r="E205">
        <v>1</v>
      </c>
      <c r="F205">
        <v>1</v>
      </c>
      <c r="G205">
        <v>1</v>
      </c>
      <c r="H205">
        <v>3</v>
      </c>
      <c r="I205" t="s">
        <v>250</v>
      </c>
      <c r="J205" t="s">
        <v>252</v>
      </c>
      <c r="K205" t="s">
        <v>251</v>
      </c>
      <c r="L205">
        <v>1339</v>
      </c>
      <c r="N205">
        <v>1007</v>
      </c>
      <c r="O205" t="s">
        <v>113</v>
      </c>
      <c r="P205" t="s">
        <v>113</v>
      </c>
      <c r="Q205">
        <v>1</v>
      </c>
      <c r="W205">
        <v>0</v>
      </c>
      <c r="X205">
        <v>-2058797209</v>
      </c>
      <c r="Y205">
        <v>100</v>
      </c>
      <c r="AA205">
        <v>4338.63</v>
      </c>
      <c r="AB205">
        <v>0</v>
      </c>
      <c r="AC205">
        <v>0</v>
      </c>
      <c r="AD205">
        <v>0</v>
      </c>
      <c r="AE205">
        <v>748.04</v>
      </c>
      <c r="AF205">
        <v>0</v>
      </c>
      <c r="AG205">
        <v>0</v>
      </c>
      <c r="AH205">
        <v>0</v>
      </c>
      <c r="AI205">
        <v>5.8</v>
      </c>
      <c r="AJ205">
        <v>1</v>
      </c>
      <c r="AK205">
        <v>1</v>
      </c>
      <c r="AL205">
        <v>1</v>
      </c>
      <c r="AN205">
        <v>0</v>
      </c>
      <c r="AO205">
        <v>0</v>
      </c>
      <c r="AP205">
        <v>0</v>
      </c>
      <c r="AQ205">
        <v>0</v>
      </c>
      <c r="AR205">
        <v>0</v>
      </c>
      <c r="AS205" t="s">
        <v>3</v>
      </c>
      <c r="AT205">
        <v>100</v>
      </c>
      <c r="AU205" t="s">
        <v>3</v>
      </c>
      <c r="AV205">
        <v>0</v>
      </c>
      <c r="AW205">
        <v>1</v>
      </c>
      <c r="AX205">
        <v>-1</v>
      </c>
      <c r="AY205">
        <v>0</v>
      </c>
      <c r="AZ205">
        <v>0</v>
      </c>
      <c r="BA205" t="s">
        <v>3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Y205*Source!I80</f>
        <v>0.33800000000000002</v>
      </c>
      <c r="CY205">
        <f>AA205</f>
        <v>4338.63</v>
      </c>
      <c r="CZ205">
        <f>AE205</f>
        <v>748.04</v>
      </c>
      <c r="DA205">
        <f>AI205</f>
        <v>5.8</v>
      </c>
      <c r="DB205">
        <f>ROUND(ROUND(AT205*CZ205,2),2)</f>
        <v>74804</v>
      </c>
      <c r="DC205">
        <f>ROUND(ROUND(AT205*AG205,2),2)</f>
        <v>0</v>
      </c>
    </row>
    <row r="206" spans="1:107" x14ac:dyDescent="0.2">
      <c r="A206">
        <f>ROW(Source!A82)</f>
        <v>82</v>
      </c>
      <c r="B206">
        <v>68990560</v>
      </c>
      <c r="C206">
        <v>68991394</v>
      </c>
      <c r="D206">
        <v>64241003</v>
      </c>
      <c r="E206">
        <v>56</v>
      </c>
      <c r="F206">
        <v>1</v>
      </c>
      <c r="G206">
        <v>1</v>
      </c>
      <c r="H206">
        <v>1</v>
      </c>
      <c r="I206" t="s">
        <v>1077</v>
      </c>
      <c r="J206" t="s">
        <v>3</v>
      </c>
      <c r="K206" t="s">
        <v>1078</v>
      </c>
      <c r="L206">
        <v>1191</v>
      </c>
      <c r="N206">
        <v>1013</v>
      </c>
      <c r="O206" t="s">
        <v>818</v>
      </c>
      <c r="P206" t="s">
        <v>818</v>
      </c>
      <c r="Q206">
        <v>1</v>
      </c>
      <c r="W206">
        <v>0</v>
      </c>
      <c r="X206">
        <v>-598469600</v>
      </c>
      <c r="Y206">
        <v>22.356000000000002</v>
      </c>
      <c r="AA206">
        <v>0</v>
      </c>
      <c r="AB206">
        <v>0</v>
      </c>
      <c r="AC206">
        <v>0</v>
      </c>
      <c r="AD206">
        <v>9.2899999999999991</v>
      </c>
      <c r="AE206">
        <v>0</v>
      </c>
      <c r="AF206">
        <v>0</v>
      </c>
      <c r="AG206">
        <v>0</v>
      </c>
      <c r="AH206">
        <v>9.2899999999999991</v>
      </c>
      <c r="AI206">
        <v>1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1</v>
      </c>
      <c r="AQ206">
        <v>0</v>
      </c>
      <c r="AR206">
        <v>0</v>
      </c>
      <c r="AS206" t="s">
        <v>3</v>
      </c>
      <c r="AT206">
        <v>14.4</v>
      </c>
      <c r="AU206" t="s">
        <v>147</v>
      </c>
      <c r="AV206">
        <v>1</v>
      </c>
      <c r="AW206">
        <v>2</v>
      </c>
      <c r="AX206">
        <v>68991450</v>
      </c>
      <c r="AY206">
        <v>1</v>
      </c>
      <c r="AZ206">
        <v>2048</v>
      </c>
      <c r="BA206">
        <v>214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Y206*Source!I82</f>
        <v>1.5090300000000003</v>
      </c>
      <c r="CY206">
        <f>AD206</f>
        <v>9.2899999999999991</v>
      </c>
      <c r="CZ206">
        <f>AH206</f>
        <v>9.2899999999999991</v>
      </c>
      <c r="DA206">
        <f>AL206</f>
        <v>1</v>
      </c>
      <c r="DB206">
        <f>ROUND(((ROUND(AT206*CZ206,2)*1.15)*1.35),2)</f>
        <v>207.69</v>
      </c>
      <c r="DC206">
        <f>ROUND(((ROUND(AT206*AG206,2)*1.15)*1.35),2)</f>
        <v>0</v>
      </c>
    </row>
    <row r="207" spans="1:107" x14ac:dyDescent="0.2">
      <c r="A207">
        <f>ROW(Source!A82)</f>
        <v>82</v>
      </c>
      <c r="B207">
        <v>68990560</v>
      </c>
      <c r="C207">
        <v>68991394</v>
      </c>
      <c r="D207">
        <v>64241154</v>
      </c>
      <c r="E207">
        <v>56</v>
      </c>
      <c r="F207">
        <v>1</v>
      </c>
      <c r="G207">
        <v>1</v>
      </c>
      <c r="H207">
        <v>1</v>
      </c>
      <c r="I207" t="s">
        <v>819</v>
      </c>
      <c r="J207" t="s">
        <v>3</v>
      </c>
      <c r="K207" t="s">
        <v>820</v>
      </c>
      <c r="L207">
        <v>1191</v>
      </c>
      <c r="N207">
        <v>1013</v>
      </c>
      <c r="O207" t="s">
        <v>818</v>
      </c>
      <c r="P207" t="s">
        <v>818</v>
      </c>
      <c r="Q207">
        <v>1</v>
      </c>
      <c r="W207">
        <v>0</v>
      </c>
      <c r="X207">
        <v>-1417349443</v>
      </c>
      <c r="Y207">
        <v>0.11812499999999999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1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3</v>
      </c>
      <c r="AT207">
        <v>7.0000000000000007E-2</v>
      </c>
      <c r="AU207" t="s">
        <v>146</v>
      </c>
      <c r="AV207">
        <v>2</v>
      </c>
      <c r="AW207">
        <v>2</v>
      </c>
      <c r="AX207">
        <v>68991451</v>
      </c>
      <c r="AY207">
        <v>1</v>
      </c>
      <c r="AZ207">
        <v>2048</v>
      </c>
      <c r="BA207">
        <v>215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Y207*Source!I82</f>
        <v>7.9734374999999996E-3</v>
      </c>
      <c r="CY207">
        <f>AD207</f>
        <v>0</v>
      </c>
      <c r="CZ207">
        <f>AH207</f>
        <v>0</v>
      </c>
      <c r="DA207">
        <f>AL207</f>
        <v>1</v>
      </c>
      <c r="DB207">
        <f>ROUND(((ROUND(AT207*CZ207,2)*1.25)*1.35),2)</f>
        <v>0</v>
      </c>
      <c r="DC207">
        <f>ROUND(((ROUND(AT207*AG207,2)*1.25)*1.35),2)</f>
        <v>0</v>
      </c>
    </row>
    <row r="208" spans="1:107" x14ac:dyDescent="0.2">
      <c r="A208">
        <f>ROW(Source!A82)</f>
        <v>82</v>
      </c>
      <c r="B208">
        <v>68990560</v>
      </c>
      <c r="C208">
        <v>68991394</v>
      </c>
      <c r="D208">
        <v>64401763</v>
      </c>
      <c r="E208">
        <v>1</v>
      </c>
      <c r="F208">
        <v>1</v>
      </c>
      <c r="G208">
        <v>1</v>
      </c>
      <c r="H208">
        <v>2</v>
      </c>
      <c r="I208" t="s">
        <v>821</v>
      </c>
      <c r="J208" t="s">
        <v>822</v>
      </c>
      <c r="K208" t="s">
        <v>823</v>
      </c>
      <c r="L208">
        <v>1368</v>
      </c>
      <c r="N208">
        <v>1011</v>
      </c>
      <c r="O208" t="s">
        <v>824</v>
      </c>
      <c r="P208" t="s">
        <v>824</v>
      </c>
      <c r="Q208">
        <v>1</v>
      </c>
      <c r="W208">
        <v>0</v>
      </c>
      <c r="X208">
        <v>-1346461524</v>
      </c>
      <c r="Y208">
        <v>3.3750000000000002E-2</v>
      </c>
      <c r="AA208">
        <v>0</v>
      </c>
      <c r="AB208">
        <v>1074.3699999999999</v>
      </c>
      <c r="AC208">
        <v>454.28</v>
      </c>
      <c r="AD208">
        <v>0</v>
      </c>
      <c r="AE208">
        <v>0</v>
      </c>
      <c r="AF208">
        <v>115.4</v>
      </c>
      <c r="AG208">
        <v>13.5</v>
      </c>
      <c r="AH208">
        <v>0</v>
      </c>
      <c r="AI208">
        <v>1</v>
      </c>
      <c r="AJ208">
        <v>9.31</v>
      </c>
      <c r="AK208">
        <v>33.65</v>
      </c>
      <c r="AL208">
        <v>1</v>
      </c>
      <c r="AN208">
        <v>0</v>
      </c>
      <c r="AO208">
        <v>1</v>
      </c>
      <c r="AP208">
        <v>1</v>
      </c>
      <c r="AQ208">
        <v>0</v>
      </c>
      <c r="AR208">
        <v>0</v>
      </c>
      <c r="AS208" t="s">
        <v>3</v>
      </c>
      <c r="AT208">
        <v>0.02</v>
      </c>
      <c r="AU208" t="s">
        <v>146</v>
      </c>
      <c r="AV208">
        <v>0</v>
      </c>
      <c r="AW208">
        <v>2</v>
      </c>
      <c r="AX208">
        <v>68991452</v>
      </c>
      <c r="AY208">
        <v>1</v>
      </c>
      <c r="AZ208">
        <v>0</v>
      </c>
      <c r="BA208">
        <v>216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Y208*Source!I82</f>
        <v>2.2781250000000002E-3</v>
      </c>
      <c r="CY208">
        <f>AB208</f>
        <v>1074.3699999999999</v>
      </c>
      <c r="CZ208">
        <f>AF208</f>
        <v>115.4</v>
      </c>
      <c r="DA208">
        <f>AJ208</f>
        <v>9.31</v>
      </c>
      <c r="DB208">
        <f>ROUND(((ROUND(AT208*CZ208,2)*1.25)*1.35),2)</f>
        <v>3.9</v>
      </c>
      <c r="DC208">
        <f>ROUND(((ROUND(AT208*AG208,2)*1.25)*1.35),2)</f>
        <v>0.46</v>
      </c>
    </row>
    <row r="209" spans="1:107" x14ac:dyDescent="0.2">
      <c r="A209">
        <f>ROW(Source!A82)</f>
        <v>82</v>
      </c>
      <c r="B209">
        <v>68990560</v>
      </c>
      <c r="C209">
        <v>68991394</v>
      </c>
      <c r="D209">
        <v>64401921</v>
      </c>
      <c r="E209">
        <v>1</v>
      </c>
      <c r="F209">
        <v>1</v>
      </c>
      <c r="G209">
        <v>1</v>
      </c>
      <c r="H209">
        <v>2</v>
      </c>
      <c r="I209" t="s">
        <v>1020</v>
      </c>
      <c r="J209" t="s">
        <v>1021</v>
      </c>
      <c r="K209" t="s">
        <v>1022</v>
      </c>
      <c r="L209">
        <v>1368</v>
      </c>
      <c r="N209">
        <v>1011</v>
      </c>
      <c r="O209" t="s">
        <v>824</v>
      </c>
      <c r="P209" t="s">
        <v>824</v>
      </c>
      <c r="Q209">
        <v>1</v>
      </c>
      <c r="W209">
        <v>0</v>
      </c>
      <c r="X209">
        <v>-833260626</v>
      </c>
      <c r="Y209">
        <v>5.0625000000000003E-2</v>
      </c>
      <c r="AA209">
        <v>0</v>
      </c>
      <c r="AB209">
        <v>685.72</v>
      </c>
      <c r="AC209">
        <v>338.52</v>
      </c>
      <c r="AD209">
        <v>0</v>
      </c>
      <c r="AE209">
        <v>0</v>
      </c>
      <c r="AF209">
        <v>89.99</v>
      </c>
      <c r="AG209">
        <v>10.06</v>
      </c>
      <c r="AH209">
        <v>0</v>
      </c>
      <c r="AI209">
        <v>1</v>
      </c>
      <c r="AJ209">
        <v>7.62</v>
      </c>
      <c r="AK209">
        <v>33.65</v>
      </c>
      <c r="AL209">
        <v>1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3</v>
      </c>
      <c r="AT209">
        <v>0.03</v>
      </c>
      <c r="AU209" t="s">
        <v>146</v>
      </c>
      <c r="AV209">
        <v>0</v>
      </c>
      <c r="AW209">
        <v>2</v>
      </c>
      <c r="AX209">
        <v>68991453</v>
      </c>
      <c r="AY209">
        <v>1</v>
      </c>
      <c r="AZ209">
        <v>0</v>
      </c>
      <c r="BA209">
        <v>217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Y209*Source!I82</f>
        <v>3.4171875000000005E-3</v>
      </c>
      <c r="CY209">
        <f>AB209</f>
        <v>685.72</v>
      </c>
      <c r="CZ209">
        <f>AF209</f>
        <v>89.99</v>
      </c>
      <c r="DA209">
        <f>AJ209</f>
        <v>7.62</v>
      </c>
      <c r="DB209">
        <f>ROUND(((ROUND(AT209*CZ209,2)*1.25)*1.35),2)</f>
        <v>4.5599999999999996</v>
      </c>
      <c r="DC209">
        <f>ROUND(((ROUND(AT209*AG209,2)*1.25)*1.35),2)</f>
        <v>0.51</v>
      </c>
    </row>
    <row r="210" spans="1:107" x14ac:dyDescent="0.2">
      <c r="A210">
        <f>ROW(Source!A82)</f>
        <v>82</v>
      </c>
      <c r="B210">
        <v>68990560</v>
      </c>
      <c r="C210">
        <v>68991394</v>
      </c>
      <c r="D210">
        <v>64402231</v>
      </c>
      <c r="E210">
        <v>1</v>
      </c>
      <c r="F210">
        <v>1</v>
      </c>
      <c r="G210">
        <v>1</v>
      </c>
      <c r="H210">
        <v>2</v>
      </c>
      <c r="I210" t="s">
        <v>898</v>
      </c>
      <c r="J210" t="s">
        <v>899</v>
      </c>
      <c r="K210" t="s">
        <v>900</v>
      </c>
      <c r="L210">
        <v>1368</v>
      </c>
      <c r="N210">
        <v>1011</v>
      </c>
      <c r="O210" t="s">
        <v>824</v>
      </c>
      <c r="P210" t="s">
        <v>824</v>
      </c>
      <c r="Q210">
        <v>1</v>
      </c>
      <c r="W210">
        <v>0</v>
      </c>
      <c r="X210">
        <v>-1578298718</v>
      </c>
      <c r="Y210">
        <v>1.434375</v>
      </c>
      <c r="AA210">
        <v>0</v>
      </c>
      <c r="AB210">
        <v>317.39999999999998</v>
      </c>
      <c r="AC210">
        <v>0</v>
      </c>
      <c r="AD210">
        <v>0</v>
      </c>
      <c r="AE210">
        <v>0</v>
      </c>
      <c r="AF210">
        <v>60</v>
      </c>
      <c r="AG210">
        <v>0</v>
      </c>
      <c r="AH210">
        <v>0</v>
      </c>
      <c r="AI210">
        <v>1</v>
      </c>
      <c r="AJ210">
        <v>5.29</v>
      </c>
      <c r="AK210">
        <v>33.65</v>
      </c>
      <c r="AL210">
        <v>1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3</v>
      </c>
      <c r="AT210">
        <v>0.85</v>
      </c>
      <c r="AU210" t="s">
        <v>146</v>
      </c>
      <c r="AV210">
        <v>0</v>
      </c>
      <c r="AW210">
        <v>2</v>
      </c>
      <c r="AX210">
        <v>68991454</v>
      </c>
      <c r="AY210">
        <v>1</v>
      </c>
      <c r="AZ210">
        <v>2048</v>
      </c>
      <c r="BA210">
        <v>218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Y210*Source!I82</f>
        <v>9.6820312500000005E-2</v>
      </c>
      <c r="CY210">
        <f>AB210</f>
        <v>317.39999999999998</v>
      </c>
      <c r="CZ210">
        <f>AF210</f>
        <v>60</v>
      </c>
      <c r="DA210">
        <f>AJ210</f>
        <v>5.29</v>
      </c>
      <c r="DB210">
        <f>ROUND(((ROUND(AT210*CZ210,2)*1.25)*1.35),2)</f>
        <v>86.06</v>
      </c>
      <c r="DC210">
        <f>ROUND(((ROUND(AT210*AG210,2)*1.25)*1.35),2)</f>
        <v>0</v>
      </c>
    </row>
    <row r="211" spans="1:107" x14ac:dyDescent="0.2">
      <c r="A211">
        <f>ROW(Source!A82)</f>
        <v>82</v>
      </c>
      <c r="B211">
        <v>68990560</v>
      </c>
      <c r="C211">
        <v>68991394</v>
      </c>
      <c r="D211">
        <v>64402691</v>
      </c>
      <c r="E211">
        <v>1</v>
      </c>
      <c r="F211">
        <v>1</v>
      </c>
      <c r="G211">
        <v>1</v>
      </c>
      <c r="H211">
        <v>2</v>
      </c>
      <c r="I211" t="s">
        <v>825</v>
      </c>
      <c r="J211" t="s">
        <v>826</v>
      </c>
      <c r="K211" t="s">
        <v>827</v>
      </c>
      <c r="L211">
        <v>1368</v>
      </c>
      <c r="N211">
        <v>1011</v>
      </c>
      <c r="O211" t="s">
        <v>824</v>
      </c>
      <c r="P211" t="s">
        <v>824</v>
      </c>
      <c r="Q211">
        <v>1</v>
      </c>
      <c r="W211">
        <v>0</v>
      </c>
      <c r="X211">
        <v>-841254546</v>
      </c>
      <c r="Y211">
        <v>3.3750000000000002E-2</v>
      </c>
      <c r="AA211">
        <v>0</v>
      </c>
      <c r="AB211">
        <v>776.04</v>
      </c>
      <c r="AC211">
        <v>390.34</v>
      </c>
      <c r="AD211">
        <v>0</v>
      </c>
      <c r="AE211">
        <v>0</v>
      </c>
      <c r="AF211">
        <v>65.709999999999994</v>
      </c>
      <c r="AG211">
        <v>11.6</v>
      </c>
      <c r="AH211">
        <v>0</v>
      </c>
      <c r="AI211">
        <v>1</v>
      </c>
      <c r="AJ211">
        <v>11.81</v>
      </c>
      <c r="AK211">
        <v>33.65</v>
      </c>
      <c r="AL211">
        <v>1</v>
      </c>
      <c r="AN211">
        <v>0</v>
      </c>
      <c r="AO211">
        <v>1</v>
      </c>
      <c r="AP211">
        <v>1</v>
      </c>
      <c r="AQ211">
        <v>0</v>
      </c>
      <c r="AR211">
        <v>0</v>
      </c>
      <c r="AS211" t="s">
        <v>3</v>
      </c>
      <c r="AT211">
        <v>0.02</v>
      </c>
      <c r="AU211" t="s">
        <v>146</v>
      </c>
      <c r="AV211">
        <v>0</v>
      </c>
      <c r="AW211">
        <v>2</v>
      </c>
      <c r="AX211">
        <v>68991455</v>
      </c>
      <c r="AY211">
        <v>1</v>
      </c>
      <c r="AZ211">
        <v>0</v>
      </c>
      <c r="BA211">
        <v>219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Y211*Source!I82</f>
        <v>2.2781250000000002E-3</v>
      </c>
      <c r="CY211">
        <f>AB211</f>
        <v>776.04</v>
      </c>
      <c r="CZ211">
        <f>AF211</f>
        <v>65.709999999999994</v>
      </c>
      <c r="DA211">
        <f>AJ211</f>
        <v>11.81</v>
      </c>
      <c r="DB211">
        <f>ROUND(((ROUND(AT211*CZ211,2)*1.25)*1.35),2)</f>
        <v>2.21</v>
      </c>
      <c r="DC211">
        <f>ROUND(((ROUND(AT211*AG211,2)*1.25)*1.35),2)</f>
        <v>0.39</v>
      </c>
    </row>
    <row r="212" spans="1:107" x14ac:dyDescent="0.2">
      <c r="A212">
        <f>ROW(Source!A82)</f>
        <v>82</v>
      </c>
      <c r="B212">
        <v>68990560</v>
      </c>
      <c r="C212">
        <v>68991394</v>
      </c>
      <c r="D212">
        <v>64250888</v>
      </c>
      <c r="E212">
        <v>1</v>
      </c>
      <c r="F212">
        <v>1</v>
      </c>
      <c r="G212">
        <v>1</v>
      </c>
      <c r="H212">
        <v>3</v>
      </c>
      <c r="I212" t="s">
        <v>1079</v>
      </c>
      <c r="J212" t="s">
        <v>1080</v>
      </c>
      <c r="K212" t="s">
        <v>1081</v>
      </c>
      <c r="L212">
        <v>1348</v>
      </c>
      <c r="N212">
        <v>1009</v>
      </c>
      <c r="O212" t="s">
        <v>71</v>
      </c>
      <c r="P212" t="s">
        <v>71</v>
      </c>
      <c r="Q212">
        <v>1000</v>
      </c>
      <c r="W212">
        <v>0</v>
      </c>
      <c r="X212">
        <v>-2111678952</v>
      </c>
      <c r="Y212">
        <v>0.06</v>
      </c>
      <c r="AA212">
        <v>18319.599999999999</v>
      </c>
      <c r="AB212">
        <v>0</v>
      </c>
      <c r="AC212">
        <v>0</v>
      </c>
      <c r="AD212">
        <v>0</v>
      </c>
      <c r="AE212">
        <v>1690</v>
      </c>
      <c r="AF212">
        <v>0</v>
      </c>
      <c r="AG212">
        <v>0</v>
      </c>
      <c r="AH212">
        <v>0</v>
      </c>
      <c r="AI212">
        <v>10.84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3</v>
      </c>
      <c r="AT212">
        <v>0.06</v>
      </c>
      <c r="AU212" t="s">
        <v>3</v>
      </c>
      <c r="AV212">
        <v>0</v>
      </c>
      <c r="AW212">
        <v>2</v>
      </c>
      <c r="AX212">
        <v>68991456</v>
      </c>
      <c r="AY212">
        <v>1</v>
      </c>
      <c r="AZ212">
        <v>0</v>
      </c>
      <c r="BA212">
        <v>220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Y212*Source!I82</f>
        <v>4.0499999999999998E-3</v>
      </c>
      <c r="CY212">
        <f>AA212</f>
        <v>18319.599999999999</v>
      </c>
      <c r="CZ212">
        <f>AE212</f>
        <v>1690</v>
      </c>
      <c r="DA212">
        <f>AI212</f>
        <v>10.84</v>
      </c>
      <c r="DB212">
        <f>ROUND(ROUND(AT212*CZ212,2),2)</f>
        <v>101.4</v>
      </c>
      <c r="DC212">
        <f>ROUND(ROUND(AT212*AG212,2),2)</f>
        <v>0</v>
      </c>
    </row>
    <row r="213" spans="1:107" x14ac:dyDescent="0.2">
      <c r="A213">
        <f>ROW(Source!A82)</f>
        <v>82</v>
      </c>
      <c r="B213">
        <v>68990560</v>
      </c>
      <c r="C213">
        <v>68991394</v>
      </c>
      <c r="D213">
        <v>64256934</v>
      </c>
      <c r="E213">
        <v>1</v>
      </c>
      <c r="F213">
        <v>1</v>
      </c>
      <c r="G213">
        <v>1</v>
      </c>
      <c r="H213">
        <v>3</v>
      </c>
      <c r="I213" t="s">
        <v>1082</v>
      </c>
      <c r="J213" t="s">
        <v>1083</v>
      </c>
      <c r="K213" t="s">
        <v>1084</v>
      </c>
      <c r="L213">
        <v>1339</v>
      </c>
      <c r="N213">
        <v>1007</v>
      </c>
      <c r="O213" t="s">
        <v>113</v>
      </c>
      <c r="P213" t="s">
        <v>113</v>
      </c>
      <c r="Q213">
        <v>1</v>
      </c>
      <c r="W213">
        <v>0</v>
      </c>
      <c r="X213">
        <v>-407187311</v>
      </c>
      <c r="Y213">
        <v>0.5</v>
      </c>
      <c r="AA213">
        <v>497.92</v>
      </c>
      <c r="AB213">
        <v>0</v>
      </c>
      <c r="AC213">
        <v>0</v>
      </c>
      <c r="AD213">
        <v>0</v>
      </c>
      <c r="AE213">
        <v>59.99</v>
      </c>
      <c r="AF213">
        <v>0</v>
      </c>
      <c r="AG213">
        <v>0</v>
      </c>
      <c r="AH213">
        <v>0</v>
      </c>
      <c r="AI213">
        <v>8.3000000000000007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3</v>
      </c>
      <c r="AT213">
        <v>0.5</v>
      </c>
      <c r="AU213" t="s">
        <v>3</v>
      </c>
      <c r="AV213">
        <v>0</v>
      </c>
      <c r="AW213">
        <v>2</v>
      </c>
      <c r="AX213">
        <v>68991457</v>
      </c>
      <c r="AY213">
        <v>1</v>
      </c>
      <c r="AZ213">
        <v>0</v>
      </c>
      <c r="BA213">
        <v>221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Y213*Source!I82</f>
        <v>3.3750000000000002E-2</v>
      </c>
      <c r="CY213">
        <f>AA213</f>
        <v>497.92</v>
      </c>
      <c r="CZ213">
        <f>AE213</f>
        <v>59.99</v>
      </c>
      <c r="DA213">
        <f>AI213</f>
        <v>8.3000000000000007</v>
      </c>
      <c r="DB213">
        <f>ROUND(ROUND(AT213*CZ213,2),2)</f>
        <v>30</v>
      </c>
      <c r="DC213">
        <f>ROUND(ROUND(AT213*AG213,2),2)</f>
        <v>0</v>
      </c>
    </row>
    <row r="214" spans="1:107" x14ac:dyDescent="0.2">
      <c r="A214">
        <f>ROW(Source!A82)</f>
        <v>82</v>
      </c>
      <c r="B214">
        <v>68990560</v>
      </c>
      <c r="C214">
        <v>68991394</v>
      </c>
      <c r="D214">
        <v>57889462</v>
      </c>
      <c r="E214">
        <v>1</v>
      </c>
      <c r="F214">
        <v>1</v>
      </c>
      <c r="G214">
        <v>1</v>
      </c>
      <c r="H214">
        <v>3</v>
      </c>
      <c r="I214" t="s">
        <v>271</v>
      </c>
      <c r="J214" t="s">
        <v>273</v>
      </c>
      <c r="K214" t="s">
        <v>272</v>
      </c>
      <c r="L214">
        <v>1348</v>
      </c>
      <c r="N214">
        <v>1009</v>
      </c>
      <c r="O214" t="s">
        <v>71</v>
      </c>
      <c r="P214" t="s">
        <v>71</v>
      </c>
      <c r="Q214">
        <v>1000</v>
      </c>
      <c r="W214">
        <v>0</v>
      </c>
      <c r="X214">
        <v>1555233590</v>
      </c>
      <c r="Y214">
        <v>7.5</v>
      </c>
      <c r="AA214">
        <v>2846.93</v>
      </c>
      <c r="AB214">
        <v>0</v>
      </c>
      <c r="AC214">
        <v>0</v>
      </c>
      <c r="AD214">
        <v>0</v>
      </c>
      <c r="AE214">
        <v>480.09</v>
      </c>
      <c r="AF214">
        <v>0</v>
      </c>
      <c r="AG214">
        <v>0</v>
      </c>
      <c r="AH214">
        <v>0</v>
      </c>
      <c r="AI214">
        <v>5.93</v>
      </c>
      <c r="AJ214">
        <v>1</v>
      </c>
      <c r="AK214">
        <v>1</v>
      </c>
      <c r="AL214">
        <v>1</v>
      </c>
      <c r="AN214">
        <v>0</v>
      </c>
      <c r="AO214">
        <v>0</v>
      </c>
      <c r="AP214">
        <v>0</v>
      </c>
      <c r="AQ214">
        <v>0</v>
      </c>
      <c r="AR214">
        <v>0</v>
      </c>
      <c r="AS214" t="s">
        <v>3</v>
      </c>
      <c r="AT214">
        <v>7.5</v>
      </c>
      <c r="AU214" t="s">
        <v>3</v>
      </c>
      <c r="AV214">
        <v>0</v>
      </c>
      <c r="AW214">
        <v>1</v>
      </c>
      <c r="AX214">
        <v>-1</v>
      </c>
      <c r="AY214">
        <v>0</v>
      </c>
      <c r="AZ214">
        <v>0</v>
      </c>
      <c r="BA214" t="s">
        <v>3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Y214*Source!I82</f>
        <v>0.50625000000000009</v>
      </c>
      <c r="CY214">
        <f>AA214</f>
        <v>2846.93</v>
      </c>
      <c r="CZ214">
        <f>AE214</f>
        <v>480.09</v>
      </c>
      <c r="DA214">
        <f>AI214</f>
        <v>5.93</v>
      </c>
      <c r="DB214">
        <f>ROUND(ROUND(AT214*CZ214,2),2)</f>
        <v>3600.68</v>
      </c>
      <c r="DC214">
        <f>ROUND(ROUND(AT214*AG214,2),2)</f>
        <v>0</v>
      </c>
    </row>
    <row r="215" spans="1:107" x14ac:dyDescent="0.2">
      <c r="A215">
        <f>ROW(Source!A84)</f>
        <v>84</v>
      </c>
      <c r="B215">
        <v>68990560</v>
      </c>
      <c r="C215">
        <v>68991414</v>
      </c>
      <c r="D215">
        <v>64241003</v>
      </c>
      <c r="E215">
        <v>56</v>
      </c>
      <c r="F215">
        <v>1</v>
      </c>
      <c r="G215">
        <v>1</v>
      </c>
      <c r="H215">
        <v>1</v>
      </c>
      <c r="I215" t="s">
        <v>1077</v>
      </c>
      <c r="J215" t="s">
        <v>3</v>
      </c>
      <c r="K215" t="s">
        <v>1078</v>
      </c>
      <c r="L215">
        <v>1191</v>
      </c>
      <c r="N215">
        <v>1013</v>
      </c>
      <c r="O215" t="s">
        <v>818</v>
      </c>
      <c r="P215" t="s">
        <v>818</v>
      </c>
      <c r="Q215">
        <v>1</v>
      </c>
      <c r="W215">
        <v>0</v>
      </c>
      <c r="X215">
        <v>-598469600</v>
      </c>
      <c r="Y215">
        <v>14.4072</v>
      </c>
      <c r="AA215">
        <v>0</v>
      </c>
      <c r="AB215">
        <v>0</v>
      </c>
      <c r="AC215">
        <v>0</v>
      </c>
      <c r="AD215">
        <v>9.2899999999999991</v>
      </c>
      <c r="AE215">
        <v>0</v>
      </c>
      <c r="AF215">
        <v>0</v>
      </c>
      <c r="AG215">
        <v>0</v>
      </c>
      <c r="AH215">
        <v>9.2899999999999991</v>
      </c>
      <c r="AI215">
        <v>1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1</v>
      </c>
      <c r="AQ215">
        <v>0</v>
      </c>
      <c r="AR215">
        <v>0</v>
      </c>
      <c r="AS215" t="s">
        <v>3</v>
      </c>
      <c r="AT215">
        <v>2.3199999999999998</v>
      </c>
      <c r="AU215" t="s">
        <v>279</v>
      </c>
      <c r="AV215">
        <v>1</v>
      </c>
      <c r="AW215">
        <v>2</v>
      </c>
      <c r="AX215">
        <v>68991471</v>
      </c>
      <c r="AY215">
        <v>1</v>
      </c>
      <c r="AZ215">
        <v>0</v>
      </c>
      <c r="BA215">
        <v>223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Y215*Source!I84</f>
        <v>0.97248600000000007</v>
      </c>
      <c r="CY215">
        <f>AD215</f>
        <v>9.2899999999999991</v>
      </c>
      <c r="CZ215">
        <f>AH215</f>
        <v>9.2899999999999991</v>
      </c>
      <c r="DA215">
        <f>AL215</f>
        <v>1</v>
      </c>
      <c r="DB215">
        <f>ROUND(((ROUND(AT215*CZ215,2)*1.15)*1.35*4),2)</f>
        <v>133.83000000000001</v>
      </c>
      <c r="DC215">
        <f>ROUND(((ROUND(AT215*AG215,2)*1.15)*1.35*4),2)</f>
        <v>0</v>
      </c>
    </row>
    <row r="216" spans="1:107" x14ac:dyDescent="0.2">
      <c r="A216">
        <f>ROW(Source!A84)</f>
        <v>84</v>
      </c>
      <c r="B216">
        <v>68990560</v>
      </c>
      <c r="C216">
        <v>68991414</v>
      </c>
      <c r="D216">
        <v>64402231</v>
      </c>
      <c r="E216">
        <v>1</v>
      </c>
      <c r="F216">
        <v>1</v>
      </c>
      <c r="G216">
        <v>1</v>
      </c>
      <c r="H216">
        <v>2</v>
      </c>
      <c r="I216" t="s">
        <v>898</v>
      </c>
      <c r="J216" t="s">
        <v>899</v>
      </c>
      <c r="K216" t="s">
        <v>900</v>
      </c>
      <c r="L216">
        <v>1368</v>
      </c>
      <c r="N216">
        <v>1011</v>
      </c>
      <c r="O216" t="s">
        <v>824</v>
      </c>
      <c r="P216" t="s">
        <v>824</v>
      </c>
      <c r="Q216">
        <v>1</v>
      </c>
      <c r="W216">
        <v>0</v>
      </c>
      <c r="X216">
        <v>-1578298718</v>
      </c>
      <c r="Y216">
        <v>0.94499999999999995</v>
      </c>
      <c r="AA216">
        <v>0</v>
      </c>
      <c r="AB216">
        <v>317.39999999999998</v>
      </c>
      <c r="AC216">
        <v>0</v>
      </c>
      <c r="AD216">
        <v>0</v>
      </c>
      <c r="AE216">
        <v>0</v>
      </c>
      <c r="AF216">
        <v>60</v>
      </c>
      <c r="AG216">
        <v>0</v>
      </c>
      <c r="AH216">
        <v>0</v>
      </c>
      <c r="AI216">
        <v>1</v>
      </c>
      <c r="AJ216">
        <v>5.29</v>
      </c>
      <c r="AK216">
        <v>33.65</v>
      </c>
      <c r="AL216">
        <v>1</v>
      </c>
      <c r="AN216">
        <v>0</v>
      </c>
      <c r="AO216">
        <v>1</v>
      </c>
      <c r="AP216">
        <v>1</v>
      </c>
      <c r="AQ216">
        <v>0</v>
      </c>
      <c r="AR216">
        <v>0</v>
      </c>
      <c r="AS216" t="s">
        <v>3</v>
      </c>
      <c r="AT216">
        <v>0.14000000000000001</v>
      </c>
      <c r="AU216" t="s">
        <v>278</v>
      </c>
      <c r="AV216">
        <v>0</v>
      </c>
      <c r="AW216">
        <v>2</v>
      </c>
      <c r="AX216">
        <v>68991472</v>
      </c>
      <c r="AY216">
        <v>1</v>
      </c>
      <c r="AZ216">
        <v>2048</v>
      </c>
      <c r="BA216">
        <v>224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Y216*Source!I84</f>
        <v>6.3787499999999997E-2</v>
      </c>
      <c r="CY216">
        <f>AB216</f>
        <v>317.39999999999998</v>
      </c>
      <c r="CZ216">
        <f>AF216</f>
        <v>60</v>
      </c>
      <c r="DA216">
        <f>AJ216</f>
        <v>5.29</v>
      </c>
      <c r="DB216">
        <f>ROUND(((ROUND(AT216*CZ216,2)*1.25)*1.35*4),2)</f>
        <v>56.7</v>
      </c>
      <c r="DC216">
        <f>ROUND(((ROUND(AT216*AG216,2)*1.25)*1.35*4),2)</f>
        <v>0</v>
      </c>
    </row>
    <row r="217" spans="1:107" x14ac:dyDescent="0.2">
      <c r="A217">
        <f>ROW(Source!A84)</f>
        <v>84</v>
      </c>
      <c r="B217">
        <v>68990560</v>
      </c>
      <c r="C217">
        <v>68991414</v>
      </c>
      <c r="D217">
        <v>57889462</v>
      </c>
      <c r="E217">
        <v>1</v>
      </c>
      <c r="F217">
        <v>1</v>
      </c>
      <c r="G217">
        <v>1</v>
      </c>
      <c r="H217">
        <v>3</v>
      </c>
      <c r="I217" t="s">
        <v>271</v>
      </c>
      <c r="J217" t="s">
        <v>273</v>
      </c>
      <c r="K217" t="s">
        <v>272</v>
      </c>
      <c r="L217">
        <v>1348</v>
      </c>
      <c r="N217">
        <v>1009</v>
      </c>
      <c r="O217" t="s">
        <v>71</v>
      </c>
      <c r="P217" t="s">
        <v>71</v>
      </c>
      <c r="Q217">
        <v>1000</v>
      </c>
      <c r="W217">
        <v>0</v>
      </c>
      <c r="X217">
        <v>1555233590</v>
      </c>
      <c r="Y217">
        <v>5</v>
      </c>
      <c r="AA217">
        <v>2846.93</v>
      </c>
      <c r="AB217">
        <v>0</v>
      </c>
      <c r="AC217">
        <v>0</v>
      </c>
      <c r="AD217">
        <v>0</v>
      </c>
      <c r="AE217">
        <v>480.09</v>
      </c>
      <c r="AF217">
        <v>0</v>
      </c>
      <c r="AG217">
        <v>0</v>
      </c>
      <c r="AH217">
        <v>0</v>
      </c>
      <c r="AI217">
        <v>5.93</v>
      </c>
      <c r="AJ217">
        <v>1</v>
      </c>
      <c r="AK217">
        <v>1</v>
      </c>
      <c r="AL217">
        <v>1</v>
      </c>
      <c r="AN217">
        <v>0</v>
      </c>
      <c r="AO217">
        <v>0</v>
      </c>
      <c r="AP217">
        <v>0</v>
      </c>
      <c r="AQ217">
        <v>0</v>
      </c>
      <c r="AR217">
        <v>0</v>
      </c>
      <c r="AS217" t="s">
        <v>3</v>
      </c>
      <c r="AT217">
        <v>5</v>
      </c>
      <c r="AU217" t="s">
        <v>3</v>
      </c>
      <c r="AV217">
        <v>0</v>
      </c>
      <c r="AW217">
        <v>1</v>
      </c>
      <c r="AX217">
        <v>-1</v>
      </c>
      <c r="AY217">
        <v>0</v>
      </c>
      <c r="AZ217">
        <v>0</v>
      </c>
      <c r="BA217" t="s">
        <v>3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Y217*Source!I84</f>
        <v>0.33750000000000002</v>
      </c>
      <c r="CY217">
        <f>AA217</f>
        <v>2846.93</v>
      </c>
      <c r="CZ217">
        <f>AE217</f>
        <v>480.09</v>
      </c>
      <c r="DA217">
        <f>AI217</f>
        <v>5.93</v>
      </c>
      <c r="DB217">
        <f>ROUND(ROUND(AT217*CZ217,2),2)</f>
        <v>2400.4499999999998</v>
      </c>
      <c r="DC217">
        <f>ROUND(ROUND(AT217*AG217,2),2)</f>
        <v>0</v>
      </c>
    </row>
    <row r="218" spans="1:107" x14ac:dyDescent="0.2">
      <c r="A218">
        <f>ROW(Source!A86)</f>
        <v>86</v>
      </c>
      <c r="B218">
        <v>68990560</v>
      </c>
      <c r="C218">
        <v>68991477</v>
      </c>
      <c r="D218">
        <v>37066717</v>
      </c>
      <c r="E218">
        <v>56</v>
      </c>
      <c r="F218">
        <v>1</v>
      </c>
      <c r="G218">
        <v>1</v>
      </c>
      <c r="H218">
        <v>1</v>
      </c>
      <c r="I218" t="s">
        <v>896</v>
      </c>
      <c r="J218" t="s">
        <v>3</v>
      </c>
      <c r="K218" t="s">
        <v>897</v>
      </c>
      <c r="L218">
        <v>1191</v>
      </c>
      <c r="N218">
        <v>1013</v>
      </c>
      <c r="O218" t="s">
        <v>818</v>
      </c>
      <c r="P218" t="s">
        <v>818</v>
      </c>
      <c r="Q218">
        <v>1</v>
      </c>
      <c r="W218">
        <v>0</v>
      </c>
      <c r="X218">
        <v>-509590494</v>
      </c>
      <c r="Y218">
        <v>71.104500000000002</v>
      </c>
      <c r="AA218">
        <v>0</v>
      </c>
      <c r="AB218">
        <v>0</v>
      </c>
      <c r="AC218">
        <v>0</v>
      </c>
      <c r="AD218">
        <v>8.17</v>
      </c>
      <c r="AE218">
        <v>0</v>
      </c>
      <c r="AF218">
        <v>0</v>
      </c>
      <c r="AG218">
        <v>0</v>
      </c>
      <c r="AH218">
        <v>8.17</v>
      </c>
      <c r="AI218">
        <v>1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1</v>
      </c>
      <c r="AQ218">
        <v>0</v>
      </c>
      <c r="AR218">
        <v>0</v>
      </c>
      <c r="AS218" t="s">
        <v>3</v>
      </c>
      <c r="AT218">
        <v>45.8</v>
      </c>
      <c r="AU218" t="s">
        <v>147</v>
      </c>
      <c r="AV218">
        <v>1</v>
      </c>
      <c r="AW218">
        <v>2</v>
      </c>
      <c r="AX218">
        <v>68991485</v>
      </c>
      <c r="AY218">
        <v>1</v>
      </c>
      <c r="AZ218">
        <v>0</v>
      </c>
      <c r="BA218">
        <v>226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Y218*Source!I86</f>
        <v>1.4931945000000002</v>
      </c>
      <c r="CY218">
        <f>AD218</f>
        <v>8.17</v>
      </c>
      <c r="CZ218">
        <f>AH218</f>
        <v>8.17</v>
      </c>
      <c r="DA218">
        <f>AL218</f>
        <v>1</v>
      </c>
      <c r="DB218">
        <f>ROUND(((ROUND(AT218*CZ218,2)*1.15)*1.35),2)</f>
        <v>580.92999999999995</v>
      </c>
      <c r="DC218">
        <f>ROUND(((ROUND(AT218*AG218,2)*1.15)*1.35),2)</f>
        <v>0</v>
      </c>
    </row>
    <row r="219" spans="1:107" x14ac:dyDescent="0.2">
      <c r="A219">
        <f>ROW(Source!A86)</f>
        <v>86</v>
      </c>
      <c r="B219">
        <v>68990560</v>
      </c>
      <c r="C219">
        <v>68991477</v>
      </c>
      <c r="D219">
        <v>37064876</v>
      </c>
      <c r="E219">
        <v>56</v>
      </c>
      <c r="F219">
        <v>1</v>
      </c>
      <c r="G219">
        <v>1</v>
      </c>
      <c r="H219">
        <v>1</v>
      </c>
      <c r="I219" t="s">
        <v>819</v>
      </c>
      <c r="J219" t="s">
        <v>3</v>
      </c>
      <c r="K219" t="s">
        <v>820</v>
      </c>
      <c r="L219">
        <v>1191</v>
      </c>
      <c r="N219">
        <v>1013</v>
      </c>
      <c r="O219" t="s">
        <v>818</v>
      </c>
      <c r="P219" t="s">
        <v>818</v>
      </c>
      <c r="Q219">
        <v>1</v>
      </c>
      <c r="W219">
        <v>0</v>
      </c>
      <c r="X219">
        <v>-1417349443</v>
      </c>
      <c r="Y219">
        <v>1.5018750000000001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3</v>
      </c>
      <c r="AT219">
        <v>0.89</v>
      </c>
      <c r="AU219" t="s">
        <v>146</v>
      </c>
      <c r="AV219">
        <v>2</v>
      </c>
      <c r="AW219">
        <v>2</v>
      </c>
      <c r="AX219">
        <v>68991486</v>
      </c>
      <c r="AY219">
        <v>1</v>
      </c>
      <c r="AZ219">
        <v>0</v>
      </c>
      <c r="BA219">
        <v>227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Y219*Source!I86</f>
        <v>3.1539375000000001E-2</v>
      </c>
      <c r="CY219">
        <f>AD219</f>
        <v>0</v>
      </c>
      <c r="CZ219">
        <f>AH219</f>
        <v>0</v>
      </c>
      <c r="DA219">
        <f>AL219</f>
        <v>1</v>
      </c>
      <c r="DB219">
        <f>ROUND(((ROUND(AT219*CZ219,2)*1.25)*1.35),2)</f>
        <v>0</v>
      </c>
      <c r="DC219">
        <f>ROUND(((ROUND(AT219*AG219,2)*1.25)*1.35),2)</f>
        <v>0</v>
      </c>
    </row>
    <row r="220" spans="1:107" x14ac:dyDescent="0.2">
      <c r="A220">
        <f>ROW(Source!A86)</f>
        <v>86</v>
      </c>
      <c r="B220">
        <v>68990560</v>
      </c>
      <c r="C220">
        <v>68991477</v>
      </c>
      <c r="D220">
        <v>64401763</v>
      </c>
      <c r="E220">
        <v>1</v>
      </c>
      <c r="F220">
        <v>1</v>
      </c>
      <c r="G220">
        <v>1</v>
      </c>
      <c r="H220">
        <v>2</v>
      </c>
      <c r="I220" t="s">
        <v>821</v>
      </c>
      <c r="J220" t="s">
        <v>822</v>
      </c>
      <c r="K220" t="s">
        <v>823</v>
      </c>
      <c r="L220">
        <v>1368</v>
      </c>
      <c r="N220">
        <v>1011</v>
      </c>
      <c r="O220" t="s">
        <v>824</v>
      </c>
      <c r="P220" t="s">
        <v>824</v>
      </c>
      <c r="Q220">
        <v>1</v>
      </c>
      <c r="W220">
        <v>0</v>
      </c>
      <c r="X220">
        <v>-1346461524</v>
      </c>
      <c r="Y220">
        <v>0.64124999999999999</v>
      </c>
      <c r="AA220">
        <v>0</v>
      </c>
      <c r="AB220">
        <v>1074.3699999999999</v>
      </c>
      <c r="AC220">
        <v>454.28</v>
      </c>
      <c r="AD220">
        <v>0</v>
      </c>
      <c r="AE220">
        <v>0</v>
      </c>
      <c r="AF220">
        <v>115.4</v>
      </c>
      <c r="AG220">
        <v>13.5</v>
      </c>
      <c r="AH220">
        <v>0</v>
      </c>
      <c r="AI220">
        <v>1</v>
      </c>
      <c r="AJ220">
        <v>9.31</v>
      </c>
      <c r="AK220">
        <v>33.65</v>
      </c>
      <c r="AL220">
        <v>1</v>
      </c>
      <c r="AN220">
        <v>0</v>
      </c>
      <c r="AO220">
        <v>1</v>
      </c>
      <c r="AP220">
        <v>1</v>
      </c>
      <c r="AQ220">
        <v>0</v>
      </c>
      <c r="AR220">
        <v>0</v>
      </c>
      <c r="AS220" t="s">
        <v>3</v>
      </c>
      <c r="AT220">
        <v>0.38</v>
      </c>
      <c r="AU220" t="s">
        <v>146</v>
      </c>
      <c r="AV220">
        <v>0</v>
      </c>
      <c r="AW220">
        <v>2</v>
      </c>
      <c r="AX220">
        <v>68991487</v>
      </c>
      <c r="AY220">
        <v>1</v>
      </c>
      <c r="AZ220">
        <v>0</v>
      </c>
      <c r="BA220">
        <v>228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Y220*Source!I86</f>
        <v>1.3466250000000001E-2</v>
      </c>
      <c r="CY220">
        <f>AB220</f>
        <v>1074.3699999999999</v>
      </c>
      <c r="CZ220">
        <f>AF220</f>
        <v>115.4</v>
      </c>
      <c r="DA220">
        <f>AJ220</f>
        <v>9.31</v>
      </c>
      <c r="DB220">
        <f>ROUND(((ROUND(AT220*CZ220,2)*1.25)*1.35),2)</f>
        <v>74</v>
      </c>
      <c r="DC220">
        <f>ROUND(((ROUND(AT220*AG220,2)*1.25)*1.35),2)</f>
        <v>8.66</v>
      </c>
    </row>
    <row r="221" spans="1:107" x14ac:dyDescent="0.2">
      <c r="A221">
        <f>ROW(Source!A86)</f>
        <v>86</v>
      </c>
      <c r="B221">
        <v>68990560</v>
      </c>
      <c r="C221">
        <v>68991477</v>
      </c>
      <c r="D221">
        <v>64402231</v>
      </c>
      <c r="E221">
        <v>1</v>
      </c>
      <c r="F221">
        <v>1</v>
      </c>
      <c r="G221">
        <v>1</v>
      </c>
      <c r="H221">
        <v>2</v>
      </c>
      <c r="I221" t="s">
        <v>898</v>
      </c>
      <c r="J221" t="s">
        <v>899</v>
      </c>
      <c r="K221" t="s">
        <v>900</v>
      </c>
      <c r="L221">
        <v>1368</v>
      </c>
      <c r="N221">
        <v>1011</v>
      </c>
      <c r="O221" t="s">
        <v>824</v>
      </c>
      <c r="P221" t="s">
        <v>824</v>
      </c>
      <c r="Q221">
        <v>1</v>
      </c>
      <c r="W221">
        <v>0</v>
      </c>
      <c r="X221">
        <v>-1578298718</v>
      </c>
      <c r="Y221">
        <v>9.4837500000000006</v>
      </c>
      <c r="AA221">
        <v>0</v>
      </c>
      <c r="AB221">
        <v>317.39999999999998</v>
      </c>
      <c r="AC221">
        <v>0</v>
      </c>
      <c r="AD221">
        <v>0</v>
      </c>
      <c r="AE221">
        <v>0</v>
      </c>
      <c r="AF221">
        <v>60</v>
      </c>
      <c r="AG221">
        <v>0</v>
      </c>
      <c r="AH221">
        <v>0</v>
      </c>
      <c r="AI221">
        <v>1</v>
      </c>
      <c r="AJ221">
        <v>5.29</v>
      </c>
      <c r="AK221">
        <v>33.65</v>
      </c>
      <c r="AL221">
        <v>1</v>
      </c>
      <c r="AN221">
        <v>0</v>
      </c>
      <c r="AO221">
        <v>1</v>
      </c>
      <c r="AP221">
        <v>1</v>
      </c>
      <c r="AQ221">
        <v>0</v>
      </c>
      <c r="AR221">
        <v>0</v>
      </c>
      <c r="AS221" t="s">
        <v>3</v>
      </c>
      <c r="AT221">
        <v>5.62</v>
      </c>
      <c r="AU221" t="s">
        <v>146</v>
      </c>
      <c r="AV221">
        <v>0</v>
      </c>
      <c r="AW221">
        <v>2</v>
      </c>
      <c r="AX221">
        <v>68991488</v>
      </c>
      <c r="AY221">
        <v>1</v>
      </c>
      <c r="AZ221">
        <v>0</v>
      </c>
      <c r="BA221">
        <v>229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Y221*Source!I86</f>
        <v>0.19915875000000002</v>
      </c>
      <c r="CY221">
        <f>AB221</f>
        <v>317.39999999999998</v>
      </c>
      <c r="CZ221">
        <f>AF221</f>
        <v>60</v>
      </c>
      <c r="DA221">
        <f>AJ221</f>
        <v>5.29</v>
      </c>
      <c r="DB221">
        <f>ROUND(((ROUND(AT221*CZ221,2)*1.25)*1.35),2)</f>
        <v>569.03</v>
      </c>
      <c r="DC221">
        <f>ROUND(((ROUND(AT221*AG221,2)*1.25)*1.35),2)</f>
        <v>0</v>
      </c>
    </row>
    <row r="222" spans="1:107" x14ac:dyDescent="0.2">
      <c r="A222">
        <f>ROW(Source!A86)</f>
        <v>86</v>
      </c>
      <c r="B222">
        <v>68990560</v>
      </c>
      <c r="C222">
        <v>68991477</v>
      </c>
      <c r="D222">
        <v>64402691</v>
      </c>
      <c r="E222">
        <v>1</v>
      </c>
      <c r="F222">
        <v>1</v>
      </c>
      <c r="G222">
        <v>1</v>
      </c>
      <c r="H222">
        <v>2</v>
      </c>
      <c r="I222" t="s">
        <v>825</v>
      </c>
      <c r="J222" t="s">
        <v>826</v>
      </c>
      <c r="K222" t="s">
        <v>827</v>
      </c>
      <c r="L222">
        <v>1368</v>
      </c>
      <c r="N222">
        <v>1011</v>
      </c>
      <c r="O222" t="s">
        <v>824</v>
      </c>
      <c r="P222" t="s">
        <v>824</v>
      </c>
      <c r="Q222">
        <v>1</v>
      </c>
      <c r="W222">
        <v>0</v>
      </c>
      <c r="X222">
        <v>-841254546</v>
      </c>
      <c r="Y222">
        <v>0.86062499999999997</v>
      </c>
      <c r="AA222">
        <v>0</v>
      </c>
      <c r="AB222">
        <v>776.04</v>
      </c>
      <c r="AC222">
        <v>390.34</v>
      </c>
      <c r="AD222">
        <v>0</v>
      </c>
      <c r="AE222">
        <v>0</v>
      </c>
      <c r="AF222">
        <v>65.709999999999994</v>
      </c>
      <c r="AG222">
        <v>11.6</v>
      </c>
      <c r="AH222">
        <v>0</v>
      </c>
      <c r="AI222">
        <v>1</v>
      </c>
      <c r="AJ222">
        <v>11.81</v>
      </c>
      <c r="AK222">
        <v>33.65</v>
      </c>
      <c r="AL222">
        <v>1</v>
      </c>
      <c r="AN222">
        <v>0</v>
      </c>
      <c r="AO222">
        <v>1</v>
      </c>
      <c r="AP222">
        <v>1</v>
      </c>
      <c r="AQ222">
        <v>0</v>
      </c>
      <c r="AR222">
        <v>0</v>
      </c>
      <c r="AS222" t="s">
        <v>3</v>
      </c>
      <c r="AT222">
        <v>0.51</v>
      </c>
      <c r="AU222" t="s">
        <v>146</v>
      </c>
      <c r="AV222">
        <v>0</v>
      </c>
      <c r="AW222">
        <v>2</v>
      </c>
      <c r="AX222">
        <v>68991489</v>
      </c>
      <c r="AY222">
        <v>1</v>
      </c>
      <c r="AZ222">
        <v>0</v>
      </c>
      <c r="BA222">
        <v>230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Y222*Source!I86</f>
        <v>1.8073124999999999E-2</v>
      </c>
      <c r="CY222">
        <f>AB222</f>
        <v>776.04</v>
      </c>
      <c r="CZ222">
        <f>AF222</f>
        <v>65.709999999999994</v>
      </c>
      <c r="DA222">
        <f>AJ222</f>
        <v>11.81</v>
      </c>
      <c r="DB222">
        <f>ROUND(((ROUND(AT222*CZ222,2)*1.25)*1.35),2)</f>
        <v>56.55</v>
      </c>
      <c r="DC222">
        <f>ROUND(((ROUND(AT222*AG222,2)*1.25)*1.35),2)</f>
        <v>9.99</v>
      </c>
    </row>
    <row r="223" spans="1:107" x14ac:dyDescent="0.2">
      <c r="A223">
        <f>ROW(Source!A86)</f>
        <v>86</v>
      </c>
      <c r="B223">
        <v>68990560</v>
      </c>
      <c r="C223">
        <v>68991477</v>
      </c>
      <c r="D223">
        <v>64258007</v>
      </c>
      <c r="E223">
        <v>1</v>
      </c>
      <c r="F223">
        <v>1</v>
      </c>
      <c r="G223">
        <v>1</v>
      </c>
      <c r="H223">
        <v>3</v>
      </c>
      <c r="I223" t="s">
        <v>901</v>
      </c>
      <c r="J223" t="s">
        <v>902</v>
      </c>
      <c r="K223" t="s">
        <v>903</v>
      </c>
      <c r="L223">
        <v>1339</v>
      </c>
      <c r="N223">
        <v>1007</v>
      </c>
      <c r="O223" t="s">
        <v>113</v>
      </c>
      <c r="P223" t="s">
        <v>113</v>
      </c>
      <c r="Q223">
        <v>1</v>
      </c>
      <c r="W223">
        <v>0</v>
      </c>
      <c r="X223">
        <v>404167651</v>
      </c>
      <c r="Y223">
        <v>0.05</v>
      </c>
      <c r="AA223">
        <v>2833.38</v>
      </c>
      <c r="AB223">
        <v>0</v>
      </c>
      <c r="AC223">
        <v>0</v>
      </c>
      <c r="AD223">
        <v>0</v>
      </c>
      <c r="AE223">
        <v>486</v>
      </c>
      <c r="AF223">
        <v>0</v>
      </c>
      <c r="AG223">
        <v>0</v>
      </c>
      <c r="AH223">
        <v>0</v>
      </c>
      <c r="AI223">
        <v>5.83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3</v>
      </c>
      <c r="AT223">
        <v>0.05</v>
      </c>
      <c r="AU223" t="s">
        <v>3</v>
      </c>
      <c r="AV223">
        <v>0</v>
      </c>
      <c r="AW223">
        <v>2</v>
      </c>
      <c r="AX223">
        <v>68991490</v>
      </c>
      <c r="AY223">
        <v>1</v>
      </c>
      <c r="AZ223">
        <v>0</v>
      </c>
      <c r="BA223">
        <v>231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Y223*Source!I86</f>
        <v>1.0500000000000002E-3</v>
      </c>
      <c r="CY223">
        <f>AA223</f>
        <v>2833.38</v>
      </c>
      <c r="CZ223">
        <f>AE223</f>
        <v>486</v>
      </c>
      <c r="DA223">
        <f>AI223</f>
        <v>5.83</v>
      </c>
      <c r="DB223">
        <f>ROUND(ROUND(AT223*CZ223,2),2)</f>
        <v>24.3</v>
      </c>
      <c r="DC223">
        <f>ROUND(ROUND(AT223*AG223,2),2)</f>
        <v>0</v>
      </c>
    </row>
    <row r="224" spans="1:107" x14ac:dyDescent="0.2">
      <c r="A224">
        <f>ROW(Source!A86)</f>
        <v>86</v>
      </c>
      <c r="B224">
        <v>68990560</v>
      </c>
      <c r="C224">
        <v>68991477</v>
      </c>
      <c r="D224">
        <v>53752231</v>
      </c>
      <c r="E224">
        <v>1</v>
      </c>
      <c r="F224">
        <v>1</v>
      </c>
      <c r="G224">
        <v>1</v>
      </c>
      <c r="H224">
        <v>3</v>
      </c>
      <c r="I224" t="s">
        <v>284</v>
      </c>
      <c r="J224" t="s">
        <v>286</v>
      </c>
      <c r="K224" t="s">
        <v>285</v>
      </c>
      <c r="L224">
        <v>1327</v>
      </c>
      <c r="N224">
        <v>1005</v>
      </c>
      <c r="O224" t="s">
        <v>46</v>
      </c>
      <c r="P224" t="s">
        <v>46</v>
      </c>
      <c r="Q224">
        <v>1</v>
      </c>
      <c r="W224">
        <v>0</v>
      </c>
      <c r="X224">
        <v>-21910343</v>
      </c>
      <c r="Y224">
        <v>100</v>
      </c>
      <c r="AA224">
        <v>1099.31</v>
      </c>
      <c r="AB224">
        <v>0</v>
      </c>
      <c r="AC224">
        <v>0</v>
      </c>
      <c r="AD224">
        <v>0</v>
      </c>
      <c r="AE224">
        <v>178.46</v>
      </c>
      <c r="AF224">
        <v>0</v>
      </c>
      <c r="AG224">
        <v>0</v>
      </c>
      <c r="AH224">
        <v>0</v>
      </c>
      <c r="AI224">
        <v>6.16</v>
      </c>
      <c r="AJ224">
        <v>1</v>
      </c>
      <c r="AK224">
        <v>1</v>
      </c>
      <c r="AL224">
        <v>1</v>
      </c>
      <c r="AN224">
        <v>0</v>
      </c>
      <c r="AO224">
        <v>0</v>
      </c>
      <c r="AP224">
        <v>0</v>
      </c>
      <c r="AQ224">
        <v>0</v>
      </c>
      <c r="AR224">
        <v>0</v>
      </c>
      <c r="AS224" t="s">
        <v>3</v>
      </c>
      <c r="AT224">
        <v>100</v>
      </c>
      <c r="AU224" t="s">
        <v>3</v>
      </c>
      <c r="AV224">
        <v>0</v>
      </c>
      <c r="AW224">
        <v>1</v>
      </c>
      <c r="AX224">
        <v>-1</v>
      </c>
      <c r="AY224">
        <v>0</v>
      </c>
      <c r="AZ224">
        <v>0</v>
      </c>
      <c r="BA224" t="s">
        <v>3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Y224*Source!I86</f>
        <v>2.1</v>
      </c>
      <c r="CY224">
        <f>AA224</f>
        <v>1099.31</v>
      </c>
      <c r="CZ224">
        <f>AE224</f>
        <v>178.46</v>
      </c>
      <c r="DA224">
        <f>AI224</f>
        <v>6.16</v>
      </c>
      <c r="DB224">
        <f>ROUND(ROUND(AT224*CZ224,2),2)</f>
        <v>17846</v>
      </c>
      <c r="DC224">
        <f>ROUND(ROUND(AT224*AG224,2),2)</f>
        <v>0</v>
      </c>
    </row>
    <row r="225" spans="1:107" x14ac:dyDescent="0.2">
      <c r="A225">
        <f>ROW(Source!A88)</f>
        <v>88</v>
      </c>
      <c r="B225">
        <v>68990560</v>
      </c>
      <c r="C225">
        <v>68991493</v>
      </c>
      <c r="D225">
        <v>37066717</v>
      </c>
      <c r="E225">
        <v>56</v>
      </c>
      <c r="F225">
        <v>1</v>
      </c>
      <c r="G225">
        <v>1</v>
      </c>
      <c r="H225">
        <v>1</v>
      </c>
      <c r="I225" t="s">
        <v>896</v>
      </c>
      <c r="J225" t="s">
        <v>3</v>
      </c>
      <c r="K225" t="s">
        <v>897</v>
      </c>
      <c r="L225">
        <v>1191</v>
      </c>
      <c r="N225">
        <v>1013</v>
      </c>
      <c r="O225" t="s">
        <v>818</v>
      </c>
      <c r="P225" t="s">
        <v>818</v>
      </c>
      <c r="Q225">
        <v>1</v>
      </c>
      <c r="W225">
        <v>0</v>
      </c>
      <c r="X225">
        <v>-509590494</v>
      </c>
      <c r="Y225">
        <v>71.104500000000002</v>
      </c>
      <c r="AA225">
        <v>0</v>
      </c>
      <c r="AB225">
        <v>0</v>
      </c>
      <c r="AC225">
        <v>0</v>
      </c>
      <c r="AD225">
        <v>8.17</v>
      </c>
      <c r="AE225">
        <v>0</v>
      </c>
      <c r="AF225">
        <v>0</v>
      </c>
      <c r="AG225">
        <v>0</v>
      </c>
      <c r="AH225">
        <v>8.17</v>
      </c>
      <c r="AI225">
        <v>1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1</v>
      </c>
      <c r="AQ225">
        <v>0</v>
      </c>
      <c r="AR225">
        <v>0</v>
      </c>
      <c r="AS225" t="s">
        <v>3</v>
      </c>
      <c r="AT225">
        <v>45.8</v>
      </c>
      <c r="AU225" t="s">
        <v>147</v>
      </c>
      <c r="AV225">
        <v>1</v>
      </c>
      <c r="AW225">
        <v>2</v>
      </c>
      <c r="AX225">
        <v>68991501</v>
      </c>
      <c r="AY225">
        <v>1</v>
      </c>
      <c r="AZ225">
        <v>0</v>
      </c>
      <c r="BA225">
        <v>233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Y225*Source!I88</f>
        <v>4.8351060000000006</v>
      </c>
      <c r="CY225">
        <f>AD225</f>
        <v>8.17</v>
      </c>
      <c r="CZ225">
        <f>AH225</f>
        <v>8.17</v>
      </c>
      <c r="DA225">
        <f>AL225</f>
        <v>1</v>
      </c>
      <c r="DB225">
        <f>ROUND(((ROUND(AT225*CZ225,2)*1.15)*1.35),2)</f>
        <v>580.92999999999995</v>
      </c>
      <c r="DC225">
        <f>ROUND(((ROUND(AT225*AG225,2)*1.15)*1.35),2)</f>
        <v>0</v>
      </c>
    </row>
    <row r="226" spans="1:107" x14ac:dyDescent="0.2">
      <c r="A226">
        <f>ROW(Source!A88)</f>
        <v>88</v>
      </c>
      <c r="B226">
        <v>68990560</v>
      </c>
      <c r="C226">
        <v>68991493</v>
      </c>
      <c r="D226">
        <v>37064876</v>
      </c>
      <c r="E226">
        <v>56</v>
      </c>
      <c r="F226">
        <v>1</v>
      </c>
      <c r="G226">
        <v>1</v>
      </c>
      <c r="H226">
        <v>1</v>
      </c>
      <c r="I226" t="s">
        <v>819</v>
      </c>
      <c r="J226" t="s">
        <v>3</v>
      </c>
      <c r="K226" t="s">
        <v>820</v>
      </c>
      <c r="L226">
        <v>1191</v>
      </c>
      <c r="N226">
        <v>1013</v>
      </c>
      <c r="O226" t="s">
        <v>818</v>
      </c>
      <c r="P226" t="s">
        <v>818</v>
      </c>
      <c r="Q226">
        <v>1</v>
      </c>
      <c r="W226">
        <v>0</v>
      </c>
      <c r="X226">
        <v>-1417349443</v>
      </c>
      <c r="Y226">
        <v>1.5018750000000001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1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3</v>
      </c>
      <c r="AT226">
        <v>0.89</v>
      </c>
      <c r="AU226" t="s">
        <v>146</v>
      </c>
      <c r="AV226">
        <v>2</v>
      </c>
      <c r="AW226">
        <v>2</v>
      </c>
      <c r="AX226">
        <v>68991502</v>
      </c>
      <c r="AY226">
        <v>1</v>
      </c>
      <c r="AZ226">
        <v>0</v>
      </c>
      <c r="BA226">
        <v>234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Y226*Source!I88</f>
        <v>0.10212750000000001</v>
      </c>
      <c r="CY226">
        <f>AD226</f>
        <v>0</v>
      </c>
      <c r="CZ226">
        <f>AH226</f>
        <v>0</v>
      </c>
      <c r="DA226">
        <f>AL226</f>
        <v>1</v>
      </c>
      <c r="DB226">
        <f>ROUND(((ROUND(AT226*CZ226,2)*1.25)*1.35),2)</f>
        <v>0</v>
      </c>
      <c r="DC226">
        <f>ROUND(((ROUND(AT226*AG226,2)*1.25)*1.35),2)</f>
        <v>0</v>
      </c>
    </row>
    <row r="227" spans="1:107" x14ac:dyDescent="0.2">
      <c r="A227">
        <f>ROW(Source!A88)</f>
        <v>88</v>
      </c>
      <c r="B227">
        <v>68990560</v>
      </c>
      <c r="C227">
        <v>68991493</v>
      </c>
      <c r="D227">
        <v>64401763</v>
      </c>
      <c r="E227">
        <v>1</v>
      </c>
      <c r="F227">
        <v>1</v>
      </c>
      <c r="G227">
        <v>1</v>
      </c>
      <c r="H227">
        <v>2</v>
      </c>
      <c r="I227" t="s">
        <v>821</v>
      </c>
      <c r="J227" t="s">
        <v>822</v>
      </c>
      <c r="K227" t="s">
        <v>823</v>
      </c>
      <c r="L227">
        <v>1368</v>
      </c>
      <c r="N227">
        <v>1011</v>
      </c>
      <c r="O227" t="s">
        <v>824</v>
      </c>
      <c r="P227" t="s">
        <v>824</v>
      </c>
      <c r="Q227">
        <v>1</v>
      </c>
      <c r="W227">
        <v>0</v>
      </c>
      <c r="X227">
        <v>-1346461524</v>
      </c>
      <c r="Y227">
        <v>0.64124999999999999</v>
      </c>
      <c r="AA227">
        <v>0</v>
      </c>
      <c r="AB227">
        <v>1074.3699999999999</v>
      </c>
      <c r="AC227">
        <v>454.28</v>
      </c>
      <c r="AD227">
        <v>0</v>
      </c>
      <c r="AE227">
        <v>0</v>
      </c>
      <c r="AF227">
        <v>115.4</v>
      </c>
      <c r="AG227">
        <v>13.5</v>
      </c>
      <c r="AH227">
        <v>0</v>
      </c>
      <c r="AI227">
        <v>1</v>
      </c>
      <c r="AJ227">
        <v>9.31</v>
      </c>
      <c r="AK227">
        <v>33.65</v>
      </c>
      <c r="AL227">
        <v>1</v>
      </c>
      <c r="AN227">
        <v>0</v>
      </c>
      <c r="AO227">
        <v>1</v>
      </c>
      <c r="AP227">
        <v>1</v>
      </c>
      <c r="AQ227">
        <v>0</v>
      </c>
      <c r="AR227">
        <v>0</v>
      </c>
      <c r="AS227" t="s">
        <v>3</v>
      </c>
      <c r="AT227">
        <v>0.38</v>
      </c>
      <c r="AU227" t="s">
        <v>146</v>
      </c>
      <c r="AV227">
        <v>0</v>
      </c>
      <c r="AW227">
        <v>2</v>
      </c>
      <c r="AX227">
        <v>68991503</v>
      </c>
      <c r="AY227">
        <v>1</v>
      </c>
      <c r="AZ227">
        <v>0</v>
      </c>
      <c r="BA227">
        <v>235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Y227*Source!I88</f>
        <v>4.3605000000000005E-2</v>
      </c>
      <c r="CY227">
        <f>AB227</f>
        <v>1074.3699999999999</v>
      </c>
      <c r="CZ227">
        <f>AF227</f>
        <v>115.4</v>
      </c>
      <c r="DA227">
        <f>AJ227</f>
        <v>9.31</v>
      </c>
      <c r="DB227">
        <f>ROUND(((ROUND(AT227*CZ227,2)*1.25)*1.35),2)</f>
        <v>74</v>
      </c>
      <c r="DC227">
        <f>ROUND(((ROUND(AT227*AG227,2)*1.25)*1.35),2)</f>
        <v>8.66</v>
      </c>
    </row>
    <row r="228" spans="1:107" x14ac:dyDescent="0.2">
      <c r="A228">
        <f>ROW(Source!A88)</f>
        <v>88</v>
      </c>
      <c r="B228">
        <v>68990560</v>
      </c>
      <c r="C228">
        <v>68991493</v>
      </c>
      <c r="D228">
        <v>64402231</v>
      </c>
      <c r="E228">
        <v>1</v>
      </c>
      <c r="F228">
        <v>1</v>
      </c>
      <c r="G228">
        <v>1</v>
      </c>
      <c r="H228">
        <v>2</v>
      </c>
      <c r="I228" t="s">
        <v>898</v>
      </c>
      <c r="J228" t="s">
        <v>899</v>
      </c>
      <c r="K228" t="s">
        <v>900</v>
      </c>
      <c r="L228">
        <v>1368</v>
      </c>
      <c r="N228">
        <v>1011</v>
      </c>
      <c r="O228" t="s">
        <v>824</v>
      </c>
      <c r="P228" t="s">
        <v>824</v>
      </c>
      <c r="Q228">
        <v>1</v>
      </c>
      <c r="W228">
        <v>0</v>
      </c>
      <c r="X228">
        <v>-1578298718</v>
      </c>
      <c r="Y228">
        <v>9.4837500000000006</v>
      </c>
      <c r="AA228">
        <v>0</v>
      </c>
      <c r="AB228">
        <v>317.39999999999998</v>
      </c>
      <c r="AC228">
        <v>0</v>
      </c>
      <c r="AD228">
        <v>0</v>
      </c>
      <c r="AE228">
        <v>0</v>
      </c>
      <c r="AF228">
        <v>60</v>
      </c>
      <c r="AG228">
        <v>0</v>
      </c>
      <c r="AH228">
        <v>0</v>
      </c>
      <c r="AI228">
        <v>1</v>
      </c>
      <c r="AJ228">
        <v>5.29</v>
      </c>
      <c r="AK228">
        <v>33.65</v>
      </c>
      <c r="AL228">
        <v>1</v>
      </c>
      <c r="AN228">
        <v>0</v>
      </c>
      <c r="AO228">
        <v>1</v>
      </c>
      <c r="AP228">
        <v>1</v>
      </c>
      <c r="AQ228">
        <v>0</v>
      </c>
      <c r="AR228">
        <v>0</v>
      </c>
      <c r="AS228" t="s">
        <v>3</v>
      </c>
      <c r="AT228">
        <v>5.62</v>
      </c>
      <c r="AU228" t="s">
        <v>146</v>
      </c>
      <c r="AV228">
        <v>0</v>
      </c>
      <c r="AW228">
        <v>2</v>
      </c>
      <c r="AX228">
        <v>68991504</v>
      </c>
      <c r="AY228">
        <v>1</v>
      </c>
      <c r="AZ228">
        <v>0</v>
      </c>
      <c r="BA228">
        <v>236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Y228*Source!I88</f>
        <v>0.64489500000000011</v>
      </c>
      <c r="CY228">
        <f>AB228</f>
        <v>317.39999999999998</v>
      </c>
      <c r="CZ228">
        <f>AF228</f>
        <v>60</v>
      </c>
      <c r="DA228">
        <f>AJ228</f>
        <v>5.29</v>
      </c>
      <c r="DB228">
        <f>ROUND(((ROUND(AT228*CZ228,2)*1.25)*1.35),2)</f>
        <v>569.03</v>
      </c>
      <c r="DC228">
        <f>ROUND(((ROUND(AT228*AG228,2)*1.25)*1.35),2)</f>
        <v>0</v>
      </c>
    </row>
    <row r="229" spans="1:107" x14ac:dyDescent="0.2">
      <c r="A229">
        <f>ROW(Source!A88)</f>
        <v>88</v>
      </c>
      <c r="B229">
        <v>68990560</v>
      </c>
      <c r="C229">
        <v>68991493</v>
      </c>
      <c r="D229">
        <v>64402691</v>
      </c>
      <c r="E229">
        <v>1</v>
      </c>
      <c r="F229">
        <v>1</v>
      </c>
      <c r="G229">
        <v>1</v>
      </c>
      <c r="H229">
        <v>2</v>
      </c>
      <c r="I229" t="s">
        <v>825</v>
      </c>
      <c r="J229" t="s">
        <v>826</v>
      </c>
      <c r="K229" t="s">
        <v>827</v>
      </c>
      <c r="L229">
        <v>1368</v>
      </c>
      <c r="N229">
        <v>1011</v>
      </c>
      <c r="O229" t="s">
        <v>824</v>
      </c>
      <c r="P229" t="s">
        <v>824</v>
      </c>
      <c r="Q229">
        <v>1</v>
      </c>
      <c r="W229">
        <v>0</v>
      </c>
      <c r="X229">
        <v>-841254546</v>
      </c>
      <c r="Y229">
        <v>0.86062499999999997</v>
      </c>
      <c r="AA229">
        <v>0</v>
      </c>
      <c r="AB229">
        <v>776.04</v>
      </c>
      <c r="AC229">
        <v>390.34</v>
      </c>
      <c r="AD229">
        <v>0</v>
      </c>
      <c r="AE229">
        <v>0</v>
      </c>
      <c r="AF229">
        <v>65.709999999999994</v>
      </c>
      <c r="AG229">
        <v>11.6</v>
      </c>
      <c r="AH229">
        <v>0</v>
      </c>
      <c r="AI229">
        <v>1</v>
      </c>
      <c r="AJ229">
        <v>11.81</v>
      </c>
      <c r="AK229">
        <v>33.65</v>
      </c>
      <c r="AL229">
        <v>1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3</v>
      </c>
      <c r="AT229">
        <v>0.51</v>
      </c>
      <c r="AU229" t="s">
        <v>146</v>
      </c>
      <c r="AV229">
        <v>0</v>
      </c>
      <c r="AW229">
        <v>2</v>
      </c>
      <c r="AX229">
        <v>68991505</v>
      </c>
      <c r="AY229">
        <v>1</v>
      </c>
      <c r="AZ229">
        <v>0</v>
      </c>
      <c r="BA229">
        <v>237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Y229*Source!I88</f>
        <v>5.8522500000000005E-2</v>
      </c>
      <c r="CY229">
        <f>AB229</f>
        <v>776.04</v>
      </c>
      <c r="CZ229">
        <f>AF229</f>
        <v>65.709999999999994</v>
      </c>
      <c r="DA229">
        <f>AJ229</f>
        <v>11.81</v>
      </c>
      <c r="DB229">
        <f>ROUND(((ROUND(AT229*CZ229,2)*1.25)*1.35),2)</f>
        <v>56.55</v>
      </c>
      <c r="DC229">
        <f>ROUND(((ROUND(AT229*AG229,2)*1.25)*1.35),2)</f>
        <v>9.99</v>
      </c>
    </row>
    <row r="230" spans="1:107" x14ac:dyDescent="0.2">
      <c r="A230">
        <f>ROW(Source!A88)</f>
        <v>88</v>
      </c>
      <c r="B230">
        <v>68990560</v>
      </c>
      <c r="C230">
        <v>68991493</v>
      </c>
      <c r="D230">
        <v>64258007</v>
      </c>
      <c r="E230">
        <v>1</v>
      </c>
      <c r="F230">
        <v>1</v>
      </c>
      <c r="G230">
        <v>1</v>
      </c>
      <c r="H230">
        <v>3</v>
      </c>
      <c r="I230" t="s">
        <v>901</v>
      </c>
      <c r="J230" t="s">
        <v>902</v>
      </c>
      <c r="K230" t="s">
        <v>903</v>
      </c>
      <c r="L230">
        <v>1339</v>
      </c>
      <c r="N230">
        <v>1007</v>
      </c>
      <c r="O230" t="s">
        <v>113</v>
      </c>
      <c r="P230" t="s">
        <v>113</v>
      </c>
      <c r="Q230">
        <v>1</v>
      </c>
      <c r="W230">
        <v>0</v>
      </c>
      <c r="X230">
        <v>404167651</v>
      </c>
      <c r="Y230">
        <v>0.05</v>
      </c>
      <c r="AA230">
        <v>2833.38</v>
      </c>
      <c r="AB230">
        <v>0</v>
      </c>
      <c r="AC230">
        <v>0</v>
      </c>
      <c r="AD230">
        <v>0</v>
      </c>
      <c r="AE230">
        <v>486</v>
      </c>
      <c r="AF230">
        <v>0</v>
      </c>
      <c r="AG230">
        <v>0</v>
      </c>
      <c r="AH230">
        <v>0</v>
      </c>
      <c r="AI230">
        <v>5.83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3</v>
      </c>
      <c r="AT230">
        <v>0.05</v>
      </c>
      <c r="AU230" t="s">
        <v>3</v>
      </c>
      <c r="AV230">
        <v>0</v>
      </c>
      <c r="AW230">
        <v>2</v>
      </c>
      <c r="AX230">
        <v>68991506</v>
      </c>
      <c r="AY230">
        <v>1</v>
      </c>
      <c r="AZ230">
        <v>0</v>
      </c>
      <c r="BA230">
        <v>238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Y230*Source!I88</f>
        <v>3.4000000000000002E-3</v>
      </c>
      <c r="CY230">
        <f>AA230</f>
        <v>2833.38</v>
      </c>
      <c r="CZ230">
        <f>AE230</f>
        <v>486</v>
      </c>
      <c r="DA230">
        <f>AI230</f>
        <v>5.83</v>
      </c>
      <c r="DB230">
        <f>ROUND(ROUND(AT230*CZ230,2),2)</f>
        <v>24.3</v>
      </c>
      <c r="DC230">
        <f>ROUND(ROUND(AT230*AG230,2),2)</f>
        <v>0</v>
      </c>
    </row>
    <row r="231" spans="1:107" x14ac:dyDescent="0.2">
      <c r="A231">
        <f>ROW(Source!A88)</f>
        <v>88</v>
      </c>
      <c r="B231">
        <v>68990560</v>
      </c>
      <c r="C231">
        <v>68991493</v>
      </c>
      <c r="D231">
        <v>53778541</v>
      </c>
      <c r="E231">
        <v>1</v>
      </c>
      <c r="F231">
        <v>1</v>
      </c>
      <c r="G231">
        <v>1</v>
      </c>
      <c r="H231">
        <v>3</v>
      </c>
      <c r="I231" t="s">
        <v>290</v>
      </c>
      <c r="J231" t="s">
        <v>292</v>
      </c>
      <c r="K231" t="s">
        <v>291</v>
      </c>
      <c r="L231">
        <v>1327</v>
      </c>
      <c r="N231">
        <v>1005</v>
      </c>
      <c r="O231" t="s">
        <v>46</v>
      </c>
      <c r="P231" t="s">
        <v>46</v>
      </c>
      <c r="Q231">
        <v>1</v>
      </c>
      <c r="W231">
        <v>0</v>
      </c>
      <c r="X231">
        <v>668707339</v>
      </c>
      <c r="Y231">
        <v>100</v>
      </c>
      <c r="AA231">
        <v>323.86</v>
      </c>
      <c r="AB231">
        <v>0</v>
      </c>
      <c r="AC231">
        <v>0</v>
      </c>
      <c r="AD231">
        <v>0</v>
      </c>
      <c r="AE231">
        <v>70.099999999999994</v>
      </c>
      <c r="AF231">
        <v>0</v>
      </c>
      <c r="AG231">
        <v>0</v>
      </c>
      <c r="AH231">
        <v>0</v>
      </c>
      <c r="AI231">
        <v>4.62</v>
      </c>
      <c r="AJ231">
        <v>1</v>
      </c>
      <c r="AK231">
        <v>1</v>
      </c>
      <c r="AL231">
        <v>1</v>
      </c>
      <c r="AN231">
        <v>0</v>
      </c>
      <c r="AO231">
        <v>0</v>
      </c>
      <c r="AP231">
        <v>0</v>
      </c>
      <c r="AQ231">
        <v>0</v>
      </c>
      <c r="AR231">
        <v>0</v>
      </c>
      <c r="AS231" t="s">
        <v>3</v>
      </c>
      <c r="AT231">
        <v>100</v>
      </c>
      <c r="AU231" t="s">
        <v>3</v>
      </c>
      <c r="AV231">
        <v>0</v>
      </c>
      <c r="AW231">
        <v>1</v>
      </c>
      <c r="AX231">
        <v>-1</v>
      </c>
      <c r="AY231">
        <v>0</v>
      </c>
      <c r="AZ231">
        <v>0</v>
      </c>
      <c r="BA231" t="s">
        <v>3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Y231*Source!I88</f>
        <v>6.8000000000000007</v>
      </c>
      <c r="CY231">
        <f>AA231</f>
        <v>323.86</v>
      </c>
      <c r="CZ231">
        <f>AE231</f>
        <v>70.099999999999994</v>
      </c>
      <c r="DA231">
        <f>AI231</f>
        <v>4.62</v>
      </c>
      <c r="DB231">
        <f>ROUND(ROUND(AT231*CZ231,2),2)</f>
        <v>7010</v>
      </c>
      <c r="DC231">
        <f>ROUND(ROUND(AT231*AG231,2),2)</f>
        <v>0</v>
      </c>
    </row>
    <row r="232" spans="1:107" x14ac:dyDescent="0.2">
      <c r="A232">
        <f>ROW(Source!A90)</f>
        <v>90</v>
      </c>
      <c r="B232">
        <v>68990560</v>
      </c>
      <c r="C232">
        <v>68991509</v>
      </c>
      <c r="D232">
        <v>37072887</v>
      </c>
      <c r="E232">
        <v>56</v>
      </c>
      <c r="F232">
        <v>1</v>
      </c>
      <c r="G232">
        <v>1</v>
      </c>
      <c r="H232">
        <v>1</v>
      </c>
      <c r="I232" t="s">
        <v>1085</v>
      </c>
      <c r="J232" t="s">
        <v>3</v>
      </c>
      <c r="K232" t="s">
        <v>1086</v>
      </c>
      <c r="L232">
        <v>1191</v>
      </c>
      <c r="N232">
        <v>1013</v>
      </c>
      <c r="O232" t="s">
        <v>818</v>
      </c>
      <c r="P232" t="s">
        <v>818</v>
      </c>
      <c r="Q232">
        <v>1</v>
      </c>
      <c r="W232">
        <v>0</v>
      </c>
      <c r="X232">
        <v>1799141607</v>
      </c>
      <c r="Y232">
        <v>79.612200000000001</v>
      </c>
      <c r="AA232">
        <v>0</v>
      </c>
      <c r="AB232">
        <v>0</v>
      </c>
      <c r="AC232">
        <v>0</v>
      </c>
      <c r="AD232">
        <v>10.210000000000001</v>
      </c>
      <c r="AE232">
        <v>0</v>
      </c>
      <c r="AF232">
        <v>0</v>
      </c>
      <c r="AG232">
        <v>0</v>
      </c>
      <c r="AH232">
        <v>10.210000000000001</v>
      </c>
      <c r="AI232">
        <v>1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1</v>
      </c>
      <c r="AQ232">
        <v>0</v>
      </c>
      <c r="AR232">
        <v>0</v>
      </c>
      <c r="AS232" t="s">
        <v>3</v>
      </c>
      <c r="AT232">
        <v>51.28</v>
      </c>
      <c r="AU232" t="s">
        <v>147</v>
      </c>
      <c r="AV232">
        <v>1</v>
      </c>
      <c r="AW232">
        <v>2</v>
      </c>
      <c r="AX232">
        <v>68991520</v>
      </c>
      <c r="AY232">
        <v>1</v>
      </c>
      <c r="AZ232">
        <v>0</v>
      </c>
      <c r="BA232">
        <v>240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Y232*Source!I90</f>
        <v>0.28660392000000001</v>
      </c>
      <c r="CY232">
        <f>AD232</f>
        <v>10.210000000000001</v>
      </c>
      <c r="CZ232">
        <f>AH232</f>
        <v>10.210000000000001</v>
      </c>
      <c r="DA232">
        <f>AL232</f>
        <v>1</v>
      </c>
      <c r="DB232">
        <f>ROUND(((ROUND(AT232*CZ232,2)*1.15)*1.35),2)</f>
        <v>812.84</v>
      </c>
      <c r="DC232">
        <f>ROUND(((ROUND(AT232*AG232,2)*1.15)*1.35),2)</f>
        <v>0</v>
      </c>
    </row>
    <row r="233" spans="1:107" x14ac:dyDescent="0.2">
      <c r="A233">
        <f>ROW(Source!A90)</f>
        <v>90</v>
      </c>
      <c r="B233">
        <v>68990560</v>
      </c>
      <c r="C233">
        <v>68991509</v>
      </c>
      <c r="D233">
        <v>37064876</v>
      </c>
      <c r="E233">
        <v>56</v>
      </c>
      <c r="F233">
        <v>1</v>
      </c>
      <c r="G233">
        <v>1</v>
      </c>
      <c r="H233">
        <v>1</v>
      </c>
      <c r="I233" t="s">
        <v>819</v>
      </c>
      <c r="J233" t="s">
        <v>3</v>
      </c>
      <c r="K233" t="s">
        <v>820</v>
      </c>
      <c r="L233">
        <v>1191</v>
      </c>
      <c r="N233">
        <v>1013</v>
      </c>
      <c r="O233" t="s">
        <v>818</v>
      </c>
      <c r="P233" t="s">
        <v>818</v>
      </c>
      <c r="Q233">
        <v>1</v>
      </c>
      <c r="W233">
        <v>0</v>
      </c>
      <c r="X233">
        <v>-1417349443</v>
      </c>
      <c r="Y233">
        <v>0.13500000000000001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1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1</v>
      </c>
      <c r="AQ233">
        <v>0</v>
      </c>
      <c r="AR233">
        <v>0</v>
      </c>
      <c r="AS233" t="s">
        <v>3</v>
      </c>
      <c r="AT233">
        <v>0.08</v>
      </c>
      <c r="AU233" t="s">
        <v>146</v>
      </c>
      <c r="AV233">
        <v>2</v>
      </c>
      <c r="AW233">
        <v>2</v>
      </c>
      <c r="AX233">
        <v>68991521</v>
      </c>
      <c r="AY233">
        <v>1</v>
      </c>
      <c r="AZ233">
        <v>0</v>
      </c>
      <c r="BA233">
        <v>241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Y233*Source!I90</f>
        <v>4.86E-4</v>
      </c>
      <c r="CY233">
        <f>AD233</f>
        <v>0</v>
      </c>
      <c r="CZ233">
        <f>AH233</f>
        <v>0</v>
      </c>
      <c r="DA233">
        <f>AL233</f>
        <v>1</v>
      </c>
      <c r="DB233">
        <f>ROUND(((ROUND(AT233*CZ233,2)*1.25)*1.35),2)</f>
        <v>0</v>
      </c>
      <c r="DC233">
        <f>ROUND(((ROUND(AT233*AG233,2)*1.25)*1.35),2)</f>
        <v>0</v>
      </c>
    </row>
    <row r="234" spans="1:107" x14ac:dyDescent="0.2">
      <c r="A234">
        <f>ROW(Source!A90)</f>
        <v>90</v>
      </c>
      <c r="B234">
        <v>68990560</v>
      </c>
      <c r="C234">
        <v>68991509</v>
      </c>
      <c r="D234">
        <v>64401959</v>
      </c>
      <c r="E234">
        <v>1</v>
      </c>
      <c r="F234">
        <v>1</v>
      </c>
      <c r="G234">
        <v>1</v>
      </c>
      <c r="H234">
        <v>2</v>
      </c>
      <c r="I234" t="s">
        <v>859</v>
      </c>
      <c r="J234" t="s">
        <v>860</v>
      </c>
      <c r="K234" t="s">
        <v>861</v>
      </c>
      <c r="L234">
        <v>1368</v>
      </c>
      <c r="N234">
        <v>1011</v>
      </c>
      <c r="O234" t="s">
        <v>824</v>
      </c>
      <c r="P234" t="s">
        <v>824</v>
      </c>
      <c r="Q234">
        <v>1</v>
      </c>
      <c r="W234">
        <v>0</v>
      </c>
      <c r="X234">
        <v>10009565</v>
      </c>
      <c r="Y234">
        <v>5.0625000000000003E-2</v>
      </c>
      <c r="AA234">
        <v>0</v>
      </c>
      <c r="AB234">
        <v>465.15</v>
      </c>
      <c r="AC234">
        <v>454.28</v>
      </c>
      <c r="AD234">
        <v>0</v>
      </c>
      <c r="AE234">
        <v>0</v>
      </c>
      <c r="AF234">
        <v>31.26</v>
      </c>
      <c r="AG234">
        <v>13.5</v>
      </c>
      <c r="AH234">
        <v>0</v>
      </c>
      <c r="AI234">
        <v>1</v>
      </c>
      <c r="AJ234">
        <v>14.88</v>
      </c>
      <c r="AK234">
        <v>33.65</v>
      </c>
      <c r="AL234">
        <v>1</v>
      </c>
      <c r="AN234">
        <v>0</v>
      </c>
      <c r="AO234">
        <v>1</v>
      </c>
      <c r="AP234">
        <v>1</v>
      </c>
      <c r="AQ234">
        <v>0</v>
      </c>
      <c r="AR234">
        <v>0</v>
      </c>
      <c r="AS234" t="s">
        <v>3</v>
      </c>
      <c r="AT234">
        <v>0.03</v>
      </c>
      <c r="AU234" t="s">
        <v>146</v>
      </c>
      <c r="AV234">
        <v>0</v>
      </c>
      <c r="AW234">
        <v>2</v>
      </c>
      <c r="AX234">
        <v>68991522</v>
      </c>
      <c r="AY234">
        <v>1</v>
      </c>
      <c r="AZ234">
        <v>0</v>
      </c>
      <c r="BA234">
        <v>242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Y234*Source!I90</f>
        <v>1.8225000000000001E-4</v>
      </c>
      <c r="CY234">
        <f>AB234</f>
        <v>465.15</v>
      </c>
      <c r="CZ234">
        <f>AF234</f>
        <v>31.26</v>
      </c>
      <c r="DA234">
        <f>AJ234</f>
        <v>14.88</v>
      </c>
      <c r="DB234">
        <f>ROUND(((ROUND(AT234*CZ234,2)*1.25)*1.35),2)</f>
        <v>1.59</v>
      </c>
      <c r="DC234">
        <f>ROUND(((ROUND(AT234*AG234,2)*1.25)*1.35),2)</f>
        <v>0.69</v>
      </c>
    </row>
    <row r="235" spans="1:107" x14ac:dyDescent="0.2">
      <c r="A235">
        <f>ROW(Source!A90)</f>
        <v>90</v>
      </c>
      <c r="B235">
        <v>68990560</v>
      </c>
      <c r="C235">
        <v>68991509</v>
      </c>
      <c r="D235">
        <v>64402691</v>
      </c>
      <c r="E235">
        <v>1</v>
      </c>
      <c r="F235">
        <v>1</v>
      </c>
      <c r="G235">
        <v>1</v>
      </c>
      <c r="H235">
        <v>2</v>
      </c>
      <c r="I235" t="s">
        <v>825</v>
      </c>
      <c r="J235" t="s">
        <v>826</v>
      </c>
      <c r="K235" t="s">
        <v>827</v>
      </c>
      <c r="L235">
        <v>1368</v>
      </c>
      <c r="N235">
        <v>1011</v>
      </c>
      <c r="O235" t="s">
        <v>824</v>
      </c>
      <c r="P235" t="s">
        <v>824</v>
      </c>
      <c r="Q235">
        <v>1</v>
      </c>
      <c r="W235">
        <v>0</v>
      </c>
      <c r="X235">
        <v>-841254546</v>
      </c>
      <c r="Y235">
        <v>8.4375000000000006E-2</v>
      </c>
      <c r="AA235">
        <v>0</v>
      </c>
      <c r="AB235">
        <v>776.04</v>
      </c>
      <c r="AC235">
        <v>390.34</v>
      </c>
      <c r="AD235">
        <v>0</v>
      </c>
      <c r="AE235">
        <v>0</v>
      </c>
      <c r="AF235">
        <v>65.709999999999994</v>
      </c>
      <c r="AG235">
        <v>11.6</v>
      </c>
      <c r="AH235">
        <v>0</v>
      </c>
      <c r="AI235">
        <v>1</v>
      </c>
      <c r="AJ235">
        <v>11.81</v>
      </c>
      <c r="AK235">
        <v>33.65</v>
      </c>
      <c r="AL235">
        <v>1</v>
      </c>
      <c r="AN235">
        <v>0</v>
      </c>
      <c r="AO235">
        <v>1</v>
      </c>
      <c r="AP235">
        <v>1</v>
      </c>
      <c r="AQ235">
        <v>0</v>
      </c>
      <c r="AR235">
        <v>0</v>
      </c>
      <c r="AS235" t="s">
        <v>3</v>
      </c>
      <c r="AT235">
        <v>0.05</v>
      </c>
      <c r="AU235" t="s">
        <v>146</v>
      </c>
      <c r="AV235">
        <v>0</v>
      </c>
      <c r="AW235">
        <v>2</v>
      </c>
      <c r="AX235">
        <v>68991523</v>
      </c>
      <c r="AY235">
        <v>1</v>
      </c>
      <c r="AZ235">
        <v>0</v>
      </c>
      <c r="BA235">
        <v>243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Y235*Source!I90</f>
        <v>3.0375000000000004E-4</v>
      </c>
      <c r="CY235">
        <f>AB235</f>
        <v>776.04</v>
      </c>
      <c r="CZ235">
        <f>AF235</f>
        <v>65.709999999999994</v>
      </c>
      <c r="DA235">
        <f>AJ235</f>
        <v>11.81</v>
      </c>
      <c r="DB235">
        <f>ROUND(((ROUND(AT235*CZ235,2)*1.25)*1.35),2)</f>
        <v>5.55</v>
      </c>
      <c r="DC235">
        <f>ROUND(((ROUND(AT235*AG235,2)*1.25)*1.35),2)</f>
        <v>0.98</v>
      </c>
    </row>
    <row r="236" spans="1:107" x14ac:dyDescent="0.2">
      <c r="A236">
        <f>ROW(Source!A90)</f>
        <v>90</v>
      </c>
      <c r="B236">
        <v>68990560</v>
      </c>
      <c r="C236">
        <v>68991509</v>
      </c>
      <c r="D236">
        <v>64403361</v>
      </c>
      <c r="E236">
        <v>1</v>
      </c>
      <c r="F236">
        <v>1</v>
      </c>
      <c r="G236">
        <v>1</v>
      </c>
      <c r="H236">
        <v>2</v>
      </c>
      <c r="I236" t="s">
        <v>1087</v>
      </c>
      <c r="J236" t="s">
        <v>1088</v>
      </c>
      <c r="K236" t="s">
        <v>1089</v>
      </c>
      <c r="L236">
        <v>1368</v>
      </c>
      <c r="N236">
        <v>1011</v>
      </c>
      <c r="O236" t="s">
        <v>824</v>
      </c>
      <c r="P236" t="s">
        <v>824</v>
      </c>
      <c r="Q236">
        <v>1</v>
      </c>
      <c r="W236">
        <v>0</v>
      </c>
      <c r="X236">
        <v>-676883502</v>
      </c>
      <c r="Y236">
        <v>15.1875</v>
      </c>
      <c r="AA236">
        <v>0</v>
      </c>
      <c r="AB236">
        <v>12.05</v>
      </c>
      <c r="AC236">
        <v>0</v>
      </c>
      <c r="AD236">
        <v>0</v>
      </c>
      <c r="AE236">
        <v>0</v>
      </c>
      <c r="AF236">
        <v>1.5</v>
      </c>
      <c r="AG236">
        <v>0</v>
      </c>
      <c r="AH236">
        <v>0</v>
      </c>
      <c r="AI236">
        <v>1</v>
      </c>
      <c r="AJ236">
        <v>8.0299999999999994</v>
      </c>
      <c r="AK236">
        <v>33.65</v>
      </c>
      <c r="AL236">
        <v>1</v>
      </c>
      <c r="AN236">
        <v>0</v>
      </c>
      <c r="AO236">
        <v>1</v>
      </c>
      <c r="AP236">
        <v>1</v>
      </c>
      <c r="AQ236">
        <v>0</v>
      </c>
      <c r="AR236">
        <v>0</v>
      </c>
      <c r="AS236" t="s">
        <v>3</v>
      </c>
      <c r="AT236">
        <v>9</v>
      </c>
      <c r="AU236" t="s">
        <v>146</v>
      </c>
      <c r="AV236">
        <v>0</v>
      </c>
      <c r="AW236">
        <v>2</v>
      </c>
      <c r="AX236">
        <v>68991524</v>
      </c>
      <c r="AY236">
        <v>1</v>
      </c>
      <c r="AZ236">
        <v>2048</v>
      </c>
      <c r="BA236">
        <v>244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Y236*Source!I90</f>
        <v>5.4675000000000001E-2</v>
      </c>
      <c r="CY236">
        <f>AB236</f>
        <v>12.05</v>
      </c>
      <c r="CZ236">
        <f>AF236</f>
        <v>1.5</v>
      </c>
      <c r="DA236">
        <f>AJ236</f>
        <v>8.0299999999999994</v>
      </c>
      <c r="DB236">
        <f>ROUND(((ROUND(AT236*CZ236,2)*1.25)*1.35),2)</f>
        <v>22.78</v>
      </c>
      <c r="DC236">
        <f>ROUND(((ROUND(AT236*AG236,2)*1.25)*1.35),2)</f>
        <v>0</v>
      </c>
    </row>
    <row r="237" spans="1:107" x14ac:dyDescent="0.2">
      <c r="A237">
        <f>ROW(Source!A90)</f>
        <v>90</v>
      </c>
      <c r="B237">
        <v>68990560</v>
      </c>
      <c r="C237">
        <v>68991509</v>
      </c>
      <c r="D237">
        <v>64252428</v>
      </c>
      <c r="E237">
        <v>1</v>
      </c>
      <c r="F237">
        <v>1</v>
      </c>
      <c r="G237">
        <v>1</v>
      </c>
      <c r="H237">
        <v>3</v>
      </c>
      <c r="I237" t="s">
        <v>1090</v>
      </c>
      <c r="J237" t="s">
        <v>1091</v>
      </c>
      <c r="K237" t="s">
        <v>1092</v>
      </c>
      <c r="L237">
        <v>1327</v>
      </c>
      <c r="N237">
        <v>1005</v>
      </c>
      <c r="O237" t="s">
        <v>46</v>
      </c>
      <c r="P237" t="s">
        <v>46</v>
      </c>
      <c r="Q237">
        <v>1</v>
      </c>
      <c r="W237">
        <v>0</v>
      </c>
      <c r="X237">
        <v>-1544241056</v>
      </c>
      <c r="Y237">
        <v>0</v>
      </c>
      <c r="AA237">
        <v>355.08</v>
      </c>
      <c r="AB237">
        <v>0</v>
      </c>
      <c r="AC237">
        <v>0</v>
      </c>
      <c r="AD237">
        <v>0</v>
      </c>
      <c r="AE237">
        <v>132</v>
      </c>
      <c r="AF237">
        <v>0</v>
      </c>
      <c r="AG237">
        <v>0</v>
      </c>
      <c r="AH237">
        <v>0</v>
      </c>
      <c r="AI237">
        <v>2.69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1</v>
      </c>
      <c r="AQ237">
        <v>0</v>
      </c>
      <c r="AR237">
        <v>0</v>
      </c>
      <c r="AS237" t="s">
        <v>3</v>
      </c>
      <c r="AT237">
        <v>102</v>
      </c>
      <c r="AU237" t="s">
        <v>297</v>
      </c>
      <c r="AV237">
        <v>0</v>
      </c>
      <c r="AW237">
        <v>2</v>
      </c>
      <c r="AX237">
        <v>68991525</v>
      </c>
      <c r="AY237">
        <v>1</v>
      </c>
      <c r="AZ237">
        <v>0</v>
      </c>
      <c r="BA237">
        <v>245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Y237*Source!I90</f>
        <v>0</v>
      </c>
      <c r="CY237">
        <f>AA237</f>
        <v>355.08</v>
      </c>
      <c r="CZ237">
        <f>AE237</f>
        <v>132</v>
      </c>
      <c r="DA237">
        <f>AI237</f>
        <v>2.69</v>
      </c>
      <c r="DB237">
        <f>ROUND((ROUND(AT237*CZ237,2)*0),2)</f>
        <v>0</v>
      </c>
      <c r="DC237">
        <f>ROUND((ROUND(AT237*AG237,2)*0),2)</f>
        <v>0</v>
      </c>
    </row>
    <row r="238" spans="1:107" x14ac:dyDescent="0.2">
      <c r="A238">
        <f>ROW(Source!A90)</f>
        <v>90</v>
      </c>
      <c r="B238">
        <v>68990560</v>
      </c>
      <c r="C238">
        <v>68991509</v>
      </c>
      <c r="D238">
        <v>64255622</v>
      </c>
      <c r="E238">
        <v>1</v>
      </c>
      <c r="F238">
        <v>1</v>
      </c>
      <c r="G238">
        <v>1</v>
      </c>
      <c r="H238">
        <v>3</v>
      </c>
      <c r="I238" t="s">
        <v>1093</v>
      </c>
      <c r="J238" t="s">
        <v>1094</v>
      </c>
      <c r="K238" t="s">
        <v>1095</v>
      </c>
      <c r="L238">
        <v>1346</v>
      </c>
      <c r="N238">
        <v>1009</v>
      </c>
      <c r="O238" t="s">
        <v>170</v>
      </c>
      <c r="P238" t="s">
        <v>170</v>
      </c>
      <c r="Q238">
        <v>1</v>
      </c>
      <c r="W238">
        <v>0</v>
      </c>
      <c r="X238">
        <v>1282785568</v>
      </c>
      <c r="Y238">
        <v>0</v>
      </c>
      <c r="AA238">
        <v>82.74</v>
      </c>
      <c r="AB238">
        <v>0</v>
      </c>
      <c r="AC238">
        <v>0</v>
      </c>
      <c r="AD238">
        <v>0</v>
      </c>
      <c r="AE238">
        <v>5.71</v>
      </c>
      <c r="AF238">
        <v>0</v>
      </c>
      <c r="AG238">
        <v>0</v>
      </c>
      <c r="AH238">
        <v>0</v>
      </c>
      <c r="AI238">
        <v>14.49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1</v>
      </c>
      <c r="AQ238">
        <v>0</v>
      </c>
      <c r="AR238">
        <v>0</v>
      </c>
      <c r="AS238" t="s">
        <v>3</v>
      </c>
      <c r="AT238">
        <v>1</v>
      </c>
      <c r="AU238" t="s">
        <v>297</v>
      </c>
      <c r="AV238">
        <v>0</v>
      </c>
      <c r="AW238">
        <v>2</v>
      </c>
      <c r="AX238">
        <v>68991526</v>
      </c>
      <c r="AY238">
        <v>1</v>
      </c>
      <c r="AZ238">
        <v>0</v>
      </c>
      <c r="BA238">
        <v>246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Y238*Source!I90</f>
        <v>0</v>
      </c>
      <c r="CY238">
        <f>AA238</f>
        <v>82.74</v>
      </c>
      <c r="CZ238">
        <f>AE238</f>
        <v>5.71</v>
      </c>
      <c r="DA238">
        <f>AI238</f>
        <v>14.49</v>
      </c>
      <c r="DB238">
        <f>ROUND((ROUND(AT238*CZ238,2)*0),2)</f>
        <v>0</v>
      </c>
      <c r="DC238">
        <f>ROUND((ROUND(AT238*AG238,2)*0),2)</f>
        <v>0</v>
      </c>
    </row>
    <row r="239" spans="1:107" x14ac:dyDescent="0.2">
      <c r="A239">
        <f>ROW(Source!A90)</f>
        <v>90</v>
      </c>
      <c r="B239">
        <v>68990560</v>
      </c>
      <c r="C239">
        <v>68991509</v>
      </c>
      <c r="D239">
        <v>64256200</v>
      </c>
      <c r="E239">
        <v>1</v>
      </c>
      <c r="F239">
        <v>1</v>
      </c>
      <c r="G239">
        <v>1</v>
      </c>
      <c r="H239">
        <v>3</v>
      </c>
      <c r="I239" t="s">
        <v>1034</v>
      </c>
      <c r="J239" t="s">
        <v>1035</v>
      </c>
      <c r="K239" t="s">
        <v>1036</v>
      </c>
      <c r="L239">
        <v>1346</v>
      </c>
      <c r="N239">
        <v>1009</v>
      </c>
      <c r="O239" t="s">
        <v>170</v>
      </c>
      <c r="P239" t="s">
        <v>170</v>
      </c>
      <c r="Q239">
        <v>1</v>
      </c>
      <c r="W239">
        <v>0</v>
      </c>
      <c r="X239">
        <v>1103561696</v>
      </c>
      <c r="Y239">
        <v>0</v>
      </c>
      <c r="AA239">
        <v>48.18</v>
      </c>
      <c r="AB239">
        <v>0</v>
      </c>
      <c r="AC239">
        <v>0</v>
      </c>
      <c r="AD239">
        <v>0</v>
      </c>
      <c r="AE239">
        <v>1.82</v>
      </c>
      <c r="AF239">
        <v>0</v>
      </c>
      <c r="AG239">
        <v>0</v>
      </c>
      <c r="AH239">
        <v>0</v>
      </c>
      <c r="AI239">
        <v>26.47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3</v>
      </c>
      <c r="AT239">
        <v>1</v>
      </c>
      <c r="AU239" t="s">
        <v>297</v>
      </c>
      <c r="AV239">
        <v>0</v>
      </c>
      <c r="AW239">
        <v>2</v>
      </c>
      <c r="AX239">
        <v>68991527</v>
      </c>
      <c r="AY239">
        <v>1</v>
      </c>
      <c r="AZ239">
        <v>0</v>
      </c>
      <c r="BA239">
        <v>247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Y239*Source!I90</f>
        <v>0</v>
      </c>
      <c r="CY239">
        <f>AA239</f>
        <v>48.18</v>
      </c>
      <c r="CZ239">
        <f>AE239</f>
        <v>1.82</v>
      </c>
      <c r="DA239">
        <f>AI239</f>
        <v>26.47</v>
      </c>
      <c r="DB239">
        <f>ROUND((ROUND(AT239*CZ239,2)*0),2)</f>
        <v>0</v>
      </c>
      <c r="DC239">
        <f>ROUND((ROUND(AT239*AG239,2)*0),2)</f>
        <v>0</v>
      </c>
    </row>
    <row r="240" spans="1:107" x14ac:dyDescent="0.2">
      <c r="A240">
        <f>ROW(Source!A90)</f>
        <v>90</v>
      </c>
      <c r="B240">
        <v>68990560</v>
      </c>
      <c r="C240">
        <v>68991509</v>
      </c>
      <c r="D240">
        <v>64284828</v>
      </c>
      <c r="E240">
        <v>1</v>
      </c>
      <c r="F240">
        <v>1</v>
      </c>
      <c r="G240">
        <v>1</v>
      </c>
      <c r="H240">
        <v>3</v>
      </c>
      <c r="I240" t="s">
        <v>1096</v>
      </c>
      <c r="J240" t="s">
        <v>1097</v>
      </c>
      <c r="K240" t="s">
        <v>1098</v>
      </c>
      <c r="L240">
        <v>1346</v>
      </c>
      <c r="N240">
        <v>1009</v>
      </c>
      <c r="O240" t="s">
        <v>170</v>
      </c>
      <c r="P240" t="s">
        <v>170</v>
      </c>
      <c r="Q240">
        <v>1</v>
      </c>
      <c r="W240">
        <v>0</v>
      </c>
      <c r="X240">
        <v>-224287004</v>
      </c>
      <c r="Y240">
        <v>0</v>
      </c>
      <c r="AA240">
        <v>172.38</v>
      </c>
      <c r="AB240">
        <v>0</v>
      </c>
      <c r="AC240">
        <v>0</v>
      </c>
      <c r="AD240">
        <v>0</v>
      </c>
      <c r="AE240">
        <v>8.36</v>
      </c>
      <c r="AF240">
        <v>0</v>
      </c>
      <c r="AG240">
        <v>0</v>
      </c>
      <c r="AH240">
        <v>0</v>
      </c>
      <c r="AI240">
        <v>20.62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1</v>
      </c>
      <c r="AQ240">
        <v>0</v>
      </c>
      <c r="AR240">
        <v>0</v>
      </c>
      <c r="AS240" t="s">
        <v>3</v>
      </c>
      <c r="AT240">
        <v>52</v>
      </c>
      <c r="AU240" t="s">
        <v>297</v>
      </c>
      <c r="AV240">
        <v>0</v>
      </c>
      <c r="AW240">
        <v>2</v>
      </c>
      <c r="AX240">
        <v>68991528</v>
      </c>
      <c r="AY240">
        <v>1</v>
      </c>
      <c r="AZ240">
        <v>0</v>
      </c>
      <c r="BA240">
        <v>248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Y240*Source!I90</f>
        <v>0</v>
      </c>
      <c r="CY240">
        <f>AA240</f>
        <v>172.38</v>
      </c>
      <c r="CZ240">
        <f>AE240</f>
        <v>8.36</v>
      </c>
      <c r="DA240">
        <f>AI240</f>
        <v>20.62</v>
      </c>
      <c r="DB240">
        <f>ROUND((ROUND(AT240*CZ240,2)*0),2)</f>
        <v>0</v>
      </c>
      <c r="DC240">
        <f>ROUND((ROUND(AT240*AG240,2)*0),2)</f>
        <v>0</v>
      </c>
    </row>
    <row r="241" spans="1:107" x14ac:dyDescent="0.2">
      <c r="A241">
        <f>ROW(Source!A90)</f>
        <v>90</v>
      </c>
      <c r="B241">
        <v>68990560</v>
      </c>
      <c r="C241">
        <v>68991509</v>
      </c>
      <c r="D241">
        <v>53879315</v>
      </c>
      <c r="E241">
        <v>1</v>
      </c>
      <c r="F241">
        <v>1</v>
      </c>
      <c r="G241">
        <v>1</v>
      </c>
      <c r="H241">
        <v>3</v>
      </c>
      <c r="I241" t="s">
        <v>299</v>
      </c>
      <c r="J241" t="s">
        <v>301</v>
      </c>
      <c r="K241" t="s">
        <v>300</v>
      </c>
      <c r="L241">
        <v>1327</v>
      </c>
      <c r="N241">
        <v>1005</v>
      </c>
      <c r="O241" t="s">
        <v>46</v>
      </c>
      <c r="P241" t="s">
        <v>46</v>
      </c>
      <c r="Q241">
        <v>1</v>
      </c>
      <c r="W241">
        <v>0</v>
      </c>
      <c r="X241">
        <v>1523228957</v>
      </c>
      <c r="Y241">
        <v>100</v>
      </c>
      <c r="AA241">
        <v>1821.96</v>
      </c>
      <c r="AB241">
        <v>0</v>
      </c>
      <c r="AC241">
        <v>0</v>
      </c>
      <c r="AD241">
        <v>0</v>
      </c>
      <c r="AE241">
        <v>218.46</v>
      </c>
      <c r="AF241">
        <v>0</v>
      </c>
      <c r="AG241">
        <v>0</v>
      </c>
      <c r="AH241">
        <v>0</v>
      </c>
      <c r="AI241">
        <v>8.34</v>
      </c>
      <c r="AJ241">
        <v>1</v>
      </c>
      <c r="AK241">
        <v>1</v>
      </c>
      <c r="AL241">
        <v>1</v>
      </c>
      <c r="AN241">
        <v>0</v>
      </c>
      <c r="AO241">
        <v>0</v>
      </c>
      <c r="AP241">
        <v>1</v>
      </c>
      <c r="AQ241">
        <v>0</v>
      </c>
      <c r="AR241">
        <v>0</v>
      </c>
      <c r="AS241" t="s">
        <v>3</v>
      </c>
      <c r="AT241">
        <v>100</v>
      </c>
      <c r="AU241" t="s">
        <v>3</v>
      </c>
      <c r="AV241">
        <v>0</v>
      </c>
      <c r="AW241">
        <v>1</v>
      </c>
      <c r="AX241">
        <v>-1</v>
      </c>
      <c r="AY241">
        <v>0</v>
      </c>
      <c r="AZ241">
        <v>0</v>
      </c>
      <c r="BA241" t="s">
        <v>3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Y241*Source!I90</f>
        <v>0.36</v>
      </c>
      <c r="CY241">
        <f>AA241</f>
        <v>1821.96</v>
      </c>
      <c r="CZ241">
        <f>AE241</f>
        <v>218.46</v>
      </c>
      <c r="DA241">
        <f>AI241</f>
        <v>8.34</v>
      </c>
      <c r="DB241">
        <f>ROUND(ROUND(AT241*CZ241,2),2)</f>
        <v>21846</v>
      </c>
      <c r="DC241">
        <f>ROUND(ROUND(AT241*AG241,2),2)</f>
        <v>0</v>
      </c>
    </row>
    <row r="242" spans="1:107" x14ac:dyDescent="0.2">
      <c r="A242">
        <f>ROW(Source!A92)</f>
        <v>92</v>
      </c>
      <c r="B242">
        <v>68990560</v>
      </c>
      <c r="C242">
        <v>68991550</v>
      </c>
      <c r="D242">
        <v>64240953</v>
      </c>
      <c r="E242">
        <v>56</v>
      </c>
      <c r="F242">
        <v>1</v>
      </c>
      <c r="G242">
        <v>1</v>
      </c>
      <c r="H242">
        <v>1</v>
      </c>
      <c r="I242" t="s">
        <v>1099</v>
      </c>
      <c r="J242" t="s">
        <v>3</v>
      </c>
      <c r="K242" t="s">
        <v>1100</v>
      </c>
      <c r="L242">
        <v>1191</v>
      </c>
      <c r="N242">
        <v>1013</v>
      </c>
      <c r="O242" t="s">
        <v>818</v>
      </c>
      <c r="P242" t="s">
        <v>818</v>
      </c>
      <c r="Q242">
        <v>1</v>
      </c>
      <c r="W242">
        <v>0</v>
      </c>
      <c r="X242">
        <v>-228054128</v>
      </c>
      <c r="Y242">
        <v>22.356000000000002</v>
      </c>
      <c r="AA242">
        <v>0</v>
      </c>
      <c r="AB242">
        <v>0</v>
      </c>
      <c r="AC242">
        <v>0</v>
      </c>
      <c r="AD242">
        <v>8.02</v>
      </c>
      <c r="AE242">
        <v>0</v>
      </c>
      <c r="AF242">
        <v>0</v>
      </c>
      <c r="AG242">
        <v>0</v>
      </c>
      <c r="AH242">
        <v>8.02</v>
      </c>
      <c r="AI242">
        <v>1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1</v>
      </c>
      <c r="AQ242">
        <v>0</v>
      </c>
      <c r="AR242">
        <v>0</v>
      </c>
      <c r="AS242" t="s">
        <v>3</v>
      </c>
      <c r="AT242">
        <v>14.4</v>
      </c>
      <c r="AU242" t="s">
        <v>147</v>
      </c>
      <c r="AV242">
        <v>1</v>
      </c>
      <c r="AW242">
        <v>2</v>
      </c>
      <c r="AX242">
        <v>68991568</v>
      </c>
      <c r="AY242">
        <v>1</v>
      </c>
      <c r="AZ242">
        <v>2048</v>
      </c>
      <c r="BA242">
        <v>250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Y242*Source!I92</f>
        <v>4.1358600000000002E-2</v>
      </c>
      <c r="CY242">
        <f>AD242</f>
        <v>8.02</v>
      </c>
      <c r="CZ242">
        <f>AH242</f>
        <v>8.02</v>
      </c>
      <c r="DA242">
        <f>AL242</f>
        <v>1</v>
      </c>
      <c r="DB242">
        <f>ROUND(((ROUND(AT242*CZ242,2)*1.15)*1.35),2)</f>
        <v>179.3</v>
      </c>
      <c r="DC242">
        <f>ROUND(((ROUND(AT242*AG242,2)*1.15)*1.35),2)</f>
        <v>0</v>
      </c>
    </row>
    <row r="243" spans="1:107" x14ac:dyDescent="0.2">
      <c r="A243">
        <f>ROW(Source!A92)</f>
        <v>92</v>
      </c>
      <c r="B243">
        <v>68990560</v>
      </c>
      <c r="C243">
        <v>68991550</v>
      </c>
      <c r="D243">
        <v>64241154</v>
      </c>
      <c r="E243">
        <v>56</v>
      </c>
      <c r="F243">
        <v>1</v>
      </c>
      <c r="G243">
        <v>1</v>
      </c>
      <c r="H243">
        <v>1</v>
      </c>
      <c r="I243" t="s">
        <v>819</v>
      </c>
      <c r="J243" t="s">
        <v>3</v>
      </c>
      <c r="K243" t="s">
        <v>820</v>
      </c>
      <c r="L243">
        <v>1191</v>
      </c>
      <c r="N243">
        <v>1013</v>
      </c>
      <c r="O243" t="s">
        <v>818</v>
      </c>
      <c r="P243" t="s">
        <v>818</v>
      </c>
      <c r="Q243">
        <v>1</v>
      </c>
      <c r="W243">
        <v>0</v>
      </c>
      <c r="X243">
        <v>-1417349443</v>
      </c>
      <c r="Y243">
        <v>23.422499999999999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1</v>
      </c>
      <c r="AJ243">
        <v>1</v>
      </c>
      <c r="AK243">
        <v>1</v>
      </c>
      <c r="AL243">
        <v>1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3</v>
      </c>
      <c r="AT243">
        <v>13.88</v>
      </c>
      <c r="AU243" t="s">
        <v>146</v>
      </c>
      <c r="AV243">
        <v>2</v>
      </c>
      <c r="AW243">
        <v>2</v>
      </c>
      <c r="AX243">
        <v>68991569</v>
      </c>
      <c r="AY243">
        <v>1</v>
      </c>
      <c r="AZ243">
        <v>2048</v>
      </c>
      <c r="BA243">
        <v>251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Y243*Source!I92</f>
        <v>4.3331624999999999E-2</v>
      </c>
      <c r="CY243">
        <f>AD243</f>
        <v>0</v>
      </c>
      <c r="CZ243">
        <f>AH243</f>
        <v>0</v>
      </c>
      <c r="DA243">
        <f>AL243</f>
        <v>1</v>
      </c>
      <c r="DB243">
        <f>ROUND(((ROUND(AT243*CZ243,2)*1.25)*1.35),2)</f>
        <v>0</v>
      </c>
      <c r="DC243">
        <f>ROUND(((ROUND(AT243*AG243,2)*1.25)*1.35),2)</f>
        <v>0</v>
      </c>
    </row>
    <row r="244" spans="1:107" x14ac:dyDescent="0.2">
      <c r="A244">
        <f>ROW(Source!A92)</f>
        <v>92</v>
      </c>
      <c r="B244">
        <v>68990560</v>
      </c>
      <c r="C244">
        <v>68991550</v>
      </c>
      <c r="D244">
        <v>64401227</v>
      </c>
      <c r="E244">
        <v>1</v>
      </c>
      <c r="F244">
        <v>1</v>
      </c>
      <c r="G244">
        <v>1</v>
      </c>
      <c r="H244">
        <v>2</v>
      </c>
      <c r="I244" t="s">
        <v>971</v>
      </c>
      <c r="J244" t="s">
        <v>972</v>
      </c>
      <c r="K244" t="s">
        <v>973</v>
      </c>
      <c r="L244">
        <v>1368</v>
      </c>
      <c r="N244">
        <v>1011</v>
      </c>
      <c r="O244" t="s">
        <v>824</v>
      </c>
      <c r="P244" t="s">
        <v>824</v>
      </c>
      <c r="Q244">
        <v>1</v>
      </c>
      <c r="W244">
        <v>0</v>
      </c>
      <c r="X244">
        <v>523150352</v>
      </c>
      <c r="Y244">
        <v>2.9868749999999999</v>
      </c>
      <c r="AA244">
        <v>0</v>
      </c>
      <c r="AB244">
        <v>1394.82</v>
      </c>
      <c r="AC244">
        <v>454.28</v>
      </c>
      <c r="AD244">
        <v>0</v>
      </c>
      <c r="AE244">
        <v>0</v>
      </c>
      <c r="AF244">
        <v>123</v>
      </c>
      <c r="AG244">
        <v>13.5</v>
      </c>
      <c r="AH244">
        <v>0</v>
      </c>
      <c r="AI244">
        <v>1</v>
      </c>
      <c r="AJ244">
        <v>11.34</v>
      </c>
      <c r="AK244">
        <v>33.65</v>
      </c>
      <c r="AL244">
        <v>1</v>
      </c>
      <c r="AN244">
        <v>0</v>
      </c>
      <c r="AO244">
        <v>1</v>
      </c>
      <c r="AP244">
        <v>1</v>
      </c>
      <c r="AQ244">
        <v>0</v>
      </c>
      <c r="AR244">
        <v>0</v>
      </c>
      <c r="AS244" t="s">
        <v>3</v>
      </c>
      <c r="AT244">
        <v>1.77</v>
      </c>
      <c r="AU244" t="s">
        <v>146</v>
      </c>
      <c r="AV244">
        <v>0</v>
      </c>
      <c r="AW244">
        <v>2</v>
      </c>
      <c r="AX244">
        <v>68991570</v>
      </c>
      <c r="AY244">
        <v>1</v>
      </c>
      <c r="AZ244">
        <v>0</v>
      </c>
      <c r="BA244">
        <v>252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Y244*Source!I92</f>
        <v>5.5257187500000002E-3</v>
      </c>
      <c r="CY244">
        <f>AB244</f>
        <v>1394.82</v>
      </c>
      <c r="CZ244">
        <f>AF244</f>
        <v>123</v>
      </c>
      <c r="DA244">
        <f>AJ244</f>
        <v>11.34</v>
      </c>
      <c r="DB244">
        <f>ROUND(((ROUND(AT244*CZ244,2)*1.25)*1.35),2)</f>
        <v>367.39</v>
      </c>
      <c r="DC244">
        <f>ROUND(((ROUND(AT244*AG244,2)*1.25)*1.35),2)</f>
        <v>40.33</v>
      </c>
    </row>
    <row r="245" spans="1:107" x14ac:dyDescent="0.2">
      <c r="A245">
        <f>ROW(Source!A92)</f>
        <v>92</v>
      </c>
      <c r="B245">
        <v>68990560</v>
      </c>
      <c r="C245">
        <v>68991550</v>
      </c>
      <c r="D245">
        <v>64401921</v>
      </c>
      <c r="E245">
        <v>1</v>
      </c>
      <c r="F245">
        <v>1</v>
      </c>
      <c r="G245">
        <v>1</v>
      </c>
      <c r="H245">
        <v>2</v>
      </c>
      <c r="I245" t="s">
        <v>1020</v>
      </c>
      <c r="J245" t="s">
        <v>1021</v>
      </c>
      <c r="K245" t="s">
        <v>1022</v>
      </c>
      <c r="L245">
        <v>1368</v>
      </c>
      <c r="N245">
        <v>1011</v>
      </c>
      <c r="O245" t="s">
        <v>824</v>
      </c>
      <c r="P245" t="s">
        <v>824</v>
      </c>
      <c r="Q245">
        <v>1</v>
      </c>
      <c r="W245">
        <v>0</v>
      </c>
      <c r="X245">
        <v>-833260626</v>
      </c>
      <c r="Y245">
        <v>7.2393749999999999</v>
      </c>
      <c r="AA245">
        <v>0</v>
      </c>
      <c r="AB245">
        <v>685.72</v>
      </c>
      <c r="AC245">
        <v>338.52</v>
      </c>
      <c r="AD245">
        <v>0</v>
      </c>
      <c r="AE245">
        <v>0</v>
      </c>
      <c r="AF245">
        <v>89.99</v>
      </c>
      <c r="AG245">
        <v>10.06</v>
      </c>
      <c r="AH245">
        <v>0</v>
      </c>
      <c r="AI245">
        <v>1</v>
      </c>
      <c r="AJ245">
        <v>7.62</v>
      </c>
      <c r="AK245">
        <v>33.65</v>
      </c>
      <c r="AL245">
        <v>1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3</v>
      </c>
      <c r="AT245">
        <v>4.29</v>
      </c>
      <c r="AU245" t="s">
        <v>146</v>
      </c>
      <c r="AV245">
        <v>0</v>
      </c>
      <c r="AW245">
        <v>2</v>
      </c>
      <c r="AX245">
        <v>68991571</v>
      </c>
      <c r="AY245">
        <v>1</v>
      </c>
      <c r="AZ245">
        <v>0</v>
      </c>
      <c r="BA245">
        <v>253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Y245*Source!I92</f>
        <v>1.3392843750000001E-2</v>
      </c>
      <c r="CY245">
        <f>AB245</f>
        <v>685.72</v>
      </c>
      <c r="CZ245">
        <f>AF245</f>
        <v>89.99</v>
      </c>
      <c r="DA245">
        <f>AJ245</f>
        <v>7.62</v>
      </c>
      <c r="DB245">
        <f>ROUND(((ROUND(AT245*CZ245,2)*1.25)*1.35),2)</f>
        <v>651.48</v>
      </c>
      <c r="DC245">
        <f>ROUND(((ROUND(AT245*AG245,2)*1.25)*1.35),2)</f>
        <v>72.83</v>
      </c>
    </row>
    <row r="246" spans="1:107" x14ac:dyDescent="0.2">
      <c r="A246">
        <f>ROW(Source!A92)</f>
        <v>92</v>
      </c>
      <c r="B246">
        <v>68990560</v>
      </c>
      <c r="C246">
        <v>68991550</v>
      </c>
      <c r="D246">
        <v>64402151</v>
      </c>
      <c r="E246">
        <v>1</v>
      </c>
      <c r="F246">
        <v>1</v>
      </c>
      <c r="G246">
        <v>1</v>
      </c>
      <c r="H246">
        <v>2</v>
      </c>
      <c r="I246" t="s">
        <v>1101</v>
      </c>
      <c r="J246" t="s">
        <v>1102</v>
      </c>
      <c r="K246" t="s">
        <v>1103</v>
      </c>
      <c r="L246">
        <v>1368</v>
      </c>
      <c r="N246">
        <v>1011</v>
      </c>
      <c r="O246" t="s">
        <v>824</v>
      </c>
      <c r="P246" t="s">
        <v>824</v>
      </c>
      <c r="Q246">
        <v>1</v>
      </c>
      <c r="W246">
        <v>0</v>
      </c>
      <c r="X246">
        <v>-394554592</v>
      </c>
      <c r="Y246">
        <v>11.9475</v>
      </c>
      <c r="AA246">
        <v>0</v>
      </c>
      <c r="AB246">
        <v>1434.44</v>
      </c>
      <c r="AC246">
        <v>454.28</v>
      </c>
      <c r="AD246">
        <v>0</v>
      </c>
      <c r="AE246">
        <v>0</v>
      </c>
      <c r="AF246">
        <v>364.07</v>
      </c>
      <c r="AG246">
        <v>13.5</v>
      </c>
      <c r="AH246">
        <v>0</v>
      </c>
      <c r="AI246">
        <v>1</v>
      </c>
      <c r="AJ246">
        <v>3.94</v>
      </c>
      <c r="AK246">
        <v>33.65</v>
      </c>
      <c r="AL246">
        <v>1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3</v>
      </c>
      <c r="AT246">
        <v>7.08</v>
      </c>
      <c r="AU246" t="s">
        <v>146</v>
      </c>
      <c r="AV246">
        <v>0</v>
      </c>
      <c r="AW246">
        <v>2</v>
      </c>
      <c r="AX246">
        <v>68991572</v>
      </c>
      <c r="AY246">
        <v>1</v>
      </c>
      <c r="AZ246">
        <v>0</v>
      </c>
      <c r="BA246">
        <v>254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Y246*Source!I92</f>
        <v>2.2102875000000001E-2</v>
      </c>
      <c r="CY246">
        <f>AB246</f>
        <v>1434.44</v>
      </c>
      <c r="CZ246">
        <f>AF246</f>
        <v>364.07</v>
      </c>
      <c r="DA246">
        <f>AJ246</f>
        <v>3.94</v>
      </c>
      <c r="DB246">
        <f>ROUND(((ROUND(AT246*CZ246,2)*1.25)*1.35),2)</f>
        <v>4349.7299999999996</v>
      </c>
      <c r="DC246">
        <f>ROUND(((ROUND(AT246*AG246,2)*1.25)*1.35),2)</f>
        <v>161.29</v>
      </c>
    </row>
    <row r="247" spans="1:107" x14ac:dyDescent="0.2">
      <c r="A247">
        <f>ROW(Source!A92)</f>
        <v>92</v>
      </c>
      <c r="B247">
        <v>68990560</v>
      </c>
      <c r="C247">
        <v>68991550</v>
      </c>
      <c r="D247">
        <v>64402639</v>
      </c>
      <c r="E247">
        <v>1</v>
      </c>
      <c r="F247">
        <v>1</v>
      </c>
      <c r="G247">
        <v>1</v>
      </c>
      <c r="H247">
        <v>2</v>
      </c>
      <c r="I247" t="s">
        <v>1104</v>
      </c>
      <c r="J247" t="s">
        <v>1105</v>
      </c>
      <c r="K247" t="s">
        <v>1106</v>
      </c>
      <c r="L247">
        <v>1368</v>
      </c>
      <c r="N247">
        <v>1011</v>
      </c>
      <c r="O247" t="s">
        <v>824</v>
      </c>
      <c r="P247" t="s">
        <v>824</v>
      </c>
      <c r="Q247">
        <v>1</v>
      </c>
      <c r="W247">
        <v>0</v>
      </c>
      <c r="X247">
        <v>-2060870261</v>
      </c>
      <c r="Y247">
        <v>1.24875</v>
      </c>
      <c r="AA247">
        <v>0</v>
      </c>
      <c r="AB247">
        <v>1006.5</v>
      </c>
      <c r="AC247">
        <v>390.34</v>
      </c>
      <c r="AD247">
        <v>0</v>
      </c>
      <c r="AE247">
        <v>0</v>
      </c>
      <c r="AF247">
        <v>110</v>
      </c>
      <c r="AG247">
        <v>11.6</v>
      </c>
      <c r="AH247">
        <v>0</v>
      </c>
      <c r="AI247">
        <v>1</v>
      </c>
      <c r="AJ247">
        <v>9.15</v>
      </c>
      <c r="AK247">
        <v>33.65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3</v>
      </c>
      <c r="AT247">
        <v>0.74</v>
      </c>
      <c r="AU247" t="s">
        <v>146</v>
      </c>
      <c r="AV247">
        <v>0</v>
      </c>
      <c r="AW247">
        <v>2</v>
      </c>
      <c r="AX247">
        <v>68991573</v>
      </c>
      <c r="AY247">
        <v>1</v>
      </c>
      <c r="AZ247">
        <v>2048</v>
      </c>
      <c r="BA247">
        <v>255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Y247*Source!I92</f>
        <v>2.3101875000000002E-3</v>
      </c>
      <c r="CY247">
        <f>AB247</f>
        <v>1006.5</v>
      </c>
      <c r="CZ247">
        <f>AF247</f>
        <v>110</v>
      </c>
      <c r="DA247">
        <f>AJ247</f>
        <v>9.15</v>
      </c>
      <c r="DB247">
        <f>ROUND(((ROUND(AT247*CZ247,2)*1.25)*1.35),2)</f>
        <v>137.36000000000001</v>
      </c>
      <c r="DC247">
        <f>ROUND(((ROUND(AT247*AG247,2)*1.25)*1.35),2)</f>
        <v>14.48</v>
      </c>
    </row>
    <row r="248" spans="1:107" x14ac:dyDescent="0.2">
      <c r="A248">
        <f>ROW(Source!A92)</f>
        <v>92</v>
      </c>
      <c r="B248">
        <v>68990560</v>
      </c>
      <c r="C248">
        <v>68991550</v>
      </c>
      <c r="D248">
        <v>64252759</v>
      </c>
      <c r="E248">
        <v>1</v>
      </c>
      <c r="F248">
        <v>1</v>
      </c>
      <c r="G248">
        <v>1</v>
      </c>
      <c r="H248">
        <v>3</v>
      </c>
      <c r="I248" t="s">
        <v>988</v>
      </c>
      <c r="J248" t="s">
        <v>989</v>
      </c>
      <c r="K248" t="s">
        <v>990</v>
      </c>
      <c r="L248">
        <v>1339</v>
      </c>
      <c r="N248">
        <v>1007</v>
      </c>
      <c r="O248" t="s">
        <v>113</v>
      </c>
      <c r="P248" t="s">
        <v>113</v>
      </c>
      <c r="Q248">
        <v>1</v>
      </c>
      <c r="W248">
        <v>0</v>
      </c>
      <c r="X248">
        <v>-1161832183</v>
      </c>
      <c r="Y248">
        <v>5</v>
      </c>
      <c r="AA248">
        <v>31.18</v>
      </c>
      <c r="AB248">
        <v>0</v>
      </c>
      <c r="AC248">
        <v>0</v>
      </c>
      <c r="AD248">
        <v>0</v>
      </c>
      <c r="AE248">
        <v>2.44</v>
      </c>
      <c r="AF248">
        <v>0</v>
      </c>
      <c r="AG248">
        <v>0</v>
      </c>
      <c r="AH248">
        <v>0</v>
      </c>
      <c r="AI248">
        <v>12.78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3</v>
      </c>
      <c r="AT248">
        <v>5</v>
      </c>
      <c r="AU248" t="s">
        <v>3</v>
      </c>
      <c r="AV248">
        <v>0</v>
      </c>
      <c r="AW248">
        <v>2</v>
      </c>
      <c r="AX248">
        <v>68991574</v>
      </c>
      <c r="AY248">
        <v>1</v>
      </c>
      <c r="AZ248">
        <v>0</v>
      </c>
      <c r="BA248">
        <v>256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Y248*Source!I92</f>
        <v>9.2500000000000013E-3</v>
      </c>
      <c r="CY248">
        <f>AA248</f>
        <v>31.18</v>
      </c>
      <c r="CZ248">
        <f>AE248</f>
        <v>2.44</v>
      </c>
      <c r="DA248">
        <f>AI248</f>
        <v>12.78</v>
      </c>
      <c r="DB248">
        <f>ROUND(ROUND(AT248*CZ248,2),2)</f>
        <v>12.2</v>
      </c>
      <c r="DC248">
        <f>ROUND(ROUND(AT248*AG248,2),2)</f>
        <v>0</v>
      </c>
    </row>
    <row r="249" spans="1:107" x14ac:dyDescent="0.2">
      <c r="A249">
        <f>ROW(Source!A92)</f>
        <v>92</v>
      </c>
      <c r="B249">
        <v>68990560</v>
      </c>
      <c r="C249">
        <v>68991550</v>
      </c>
      <c r="D249">
        <v>64256928</v>
      </c>
      <c r="E249">
        <v>1</v>
      </c>
      <c r="F249">
        <v>1</v>
      </c>
      <c r="G249">
        <v>1</v>
      </c>
      <c r="H249">
        <v>3</v>
      </c>
      <c r="I249" t="s">
        <v>307</v>
      </c>
      <c r="J249" t="s">
        <v>309</v>
      </c>
      <c r="K249" t="s">
        <v>308</v>
      </c>
      <c r="L249">
        <v>1339</v>
      </c>
      <c r="N249">
        <v>1007</v>
      </c>
      <c r="O249" t="s">
        <v>113</v>
      </c>
      <c r="P249" t="s">
        <v>113</v>
      </c>
      <c r="Q249">
        <v>1</v>
      </c>
      <c r="W249">
        <v>0</v>
      </c>
      <c r="X249">
        <v>-1703056074</v>
      </c>
      <c r="Y249">
        <v>110</v>
      </c>
      <c r="AA249">
        <v>911.45</v>
      </c>
      <c r="AB249">
        <v>0</v>
      </c>
      <c r="AC249">
        <v>0</v>
      </c>
      <c r="AD249">
        <v>0</v>
      </c>
      <c r="AE249">
        <v>70.599999999999994</v>
      </c>
      <c r="AF249">
        <v>0</v>
      </c>
      <c r="AG249">
        <v>0</v>
      </c>
      <c r="AH249">
        <v>0</v>
      </c>
      <c r="AI249">
        <v>12.91</v>
      </c>
      <c r="AJ249">
        <v>1</v>
      </c>
      <c r="AK249">
        <v>1</v>
      </c>
      <c r="AL249">
        <v>1</v>
      </c>
      <c r="AN249">
        <v>1</v>
      </c>
      <c r="AO249">
        <v>0</v>
      </c>
      <c r="AP249">
        <v>0</v>
      </c>
      <c r="AQ249">
        <v>0</v>
      </c>
      <c r="AR249">
        <v>0</v>
      </c>
      <c r="AS249" t="s">
        <v>3</v>
      </c>
      <c r="AT249">
        <v>110</v>
      </c>
      <c r="AU249" t="s">
        <v>3</v>
      </c>
      <c r="AV249">
        <v>0</v>
      </c>
      <c r="AW249">
        <v>1</v>
      </c>
      <c r="AX249">
        <v>-1</v>
      </c>
      <c r="AY249">
        <v>0</v>
      </c>
      <c r="AZ249">
        <v>0</v>
      </c>
      <c r="BA249" t="s">
        <v>3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Y249*Source!I92</f>
        <v>0.20350000000000001</v>
      </c>
      <c r="CY249">
        <f>AA249</f>
        <v>911.45</v>
      </c>
      <c r="CZ249">
        <f>AE249</f>
        <v>70.599999999999994</v>
      </c>
      <c r="DA249">
        <f>AI249</f>
        <v>12.91</v>
      </c>
      <c r="DB249">
        <f>ROUND(ROUND(AT249*CZ249,2),2)</f>
        <v>7766</v>
      </c>
      <c r="DC249">
        <f>ROUND(ROUND(AT249*AG249,2),2)</f>
        <v>0</v>
      </c>
    </row>
    <row r="250" spans="1:107" x14ac:dyDescent="0.2">
      <c r="A250">
        <f>ROW(Source!A94)</f>
        <v>94</v>
      </c>
      <c r="B250">
        <v>68990560</v>
      </c>
      <c r="C250">
        <v>68991577</v>
      </c>
      <c r="D250">
        <v>37068121</v>
      </c>
      <c r="E250">
        <v>56</v>
      </c>
      <c r="F250">
        <v>1</v>
      </c>
      <c r="G250">
        <v>1</v>
      </c>
      <c r="H250">
        <v>1</v>
      </c>
      <c r="I250" t="s">
        <v>1107</v>
      </c>
      <c r="J250" t="s">
        <v>3</v>
      </c>
      <c r="K250" t="s">
        <v>1108</v>
      </c>
      <c r="L250">
        <v>1191</v>
      </c>
      <c r="N250">
        <v>1013</v>
      </c>
      <c r="O250" t="s">
        <v>818</v>
      </c>
      <c r="P250" t="s">
        <v>818</v>
      </c>
      <c r="Q250">
        <v>1</v>
      </c>
      <c r="W250">
        <v>0</v>
      </c>
      <c r="X250">
        <v>-1366118074</v>
      </c>
      <c r="Y250">
        <v>55.268999999999998</v>
      </c>
      <c r="AA250">
        <v>0</v>
      </c>
      <c r="AB250">
        <v>0</v>
      </c>
      <c r="AC250">
        <v>0</v>
      </c>
      <c r="AD250">
        <v>7.94</v>
      </c>
      <c r="AE250">
        <v>0</v>
      </c>
      <c r="AF250">
        <v>0</v>
      </c>
      <c r="AG250">
        <v>0</v>
      </c>
      <c r="AH250">
        <v>7.94</v>
      </c>
      <c r="AI250">
        <v>1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1</v>
      </c>
      <c r="AQ250">
        <v>0</v>
      </c>
      <c r="AR250">
        <v>0</v>
      </c>
      <c r="AS250" t="s">
        <v>3</v>
      </c>
      <c r="AT250">
        <v>35.6</v>
      </c>
      <c r="AU250" t="s">
        <v>147</v>
      </c>
      <c r="AV250">
        <v>1</v>
      </c>
      <c r="AW250">
        <v>2</v>
      </c>
      <c r="AX250">
        <v>68991584</v>
      </c>
      <c r="AY250">
        <v>1</v>
      </c>
      <c r="AZ250">
        <v>0</v>
      </c>
      <c r="BA250">
        <v>258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Y250*Source!I94</f>
        <v>3.758292</v>
      </c>
      <c r="CY250">
        <f>AD250</f>
        <v>7.94</v>
      </c>
      <c r="CZ250">
        <f>AH250</f>
        <v>7.94</v>
      </c>
      <c r="DA250">
        <f>AL250</f>
        <v>1</v>
      </c>
      <c r="DB250">
        <f>ROUND(((ROUND(AT250*CZ250,2)*1.15)*1.35),2)</f>
        <v>438.83</v>
      </c>
      <c r="DC250">
        <f>ROUND(((ROUND(AT250*AG250,2)*1.15)*1.35),2)</f>
        <v>0</v>
      </c>
    </row>
    <row r="251" spans="1:107" x14ac:dyDescent="0.2">
      <c r="A251">
        <f>ROW(Source!A94)</f>
        <v>94</v>
      </c>
      <c r="B251">
        <v>68990560</v>
      </c>
      <c r="C251">
        <v>68991577</v>
      </c>
      <c r="D251">
        <v>37064876</v>
      </c>
      <c r="E251">
        <v>56</v>
      </c>
      <c r="F251">
        <v>1</v>
      </c>
      <c r="G251">
        <v>1</v>
      </c>
      <c r="H251">
        <v>1</v>
      </c>
      <c r="I251" t="s">
        <v>819</v>
      </c>
      <c r="J251" t="s">
        <v>3</v>
      </c>
      <c r="K251" t="s">
        <v>820</v>
      </c>
      <c r="L251">
        <v>1191</v>
      </c>
      <c r="N251">
        <v>1013</v>
      </c>
      <c r="O251" t="s">
        <v>818</v>
      </c>
      <c r="P251" t="s">
        <v>818</v>
      </c>
      <c r="Q251">
        <v>1</v>
      </c>
      <c r="W251">
        <v>0</v>
      </c>
      <c r="X251">
        <v>-1417349443</v>
      </c>
      <c r="Y251">
        <v>2.1431249999999999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1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1</v>
      </c>
      <c r="AQ251">
        <v>0</v>
      </c>
      <c r="AR251">
        <v>0</v>
      </c>
      <c r="AS251" t="s">
        <v>3</v>
      </c>
      <c r="AT251">
        <v>1.27</v>
      </c>
      <c r="AU251" t="s">
        <v>146</v>
      </c>
      <c r="AV251">
        <v>2</v>
      </c>
      <c r="AW251">
        <v>2</v>
      </c>
      <c r="AX251">
        <v>68991585</v>
      </c>
      <c r="AY251">
        <v>1</v>
      </c>
      <c r="AZ251">
        <v>0</v>
      </c>
      <c r="BA251">
        <v>259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Y251*Source!I94</f>
        <v>0.14573250000000001</v>
      </c>
      <c r="CY251">
        <f>AD251</f>
        <v>0</v>
      </c>
      <c r="CZ251">
        <f>AH251</f>
        <v>0</v>
      </c>
      <c r="DA251">
        <f>AL251</f>
        <v>1</v>
      </c>
      <c r="DB251">
        <f>ROUND(((ROUND(AT251*CZ251,2)*1.25)*1.35),2)</f>
        <v>0</v>
      </c>
      <c r="DC251">
        <f>ROUND(((ROUND(AT251*AG251,2)*1.25)*1.35),2)</f>
        <v>0</v>
      </c>
    </row>
    <row r="252" spans="1:107" x14ac:dyDescent="0.2">
      <c r="A252">
        <f>ROW(Source!A94)</f>
        <v>94</v>
      </c>
      <c r="B252">
        <v>68990560</v>
      </c>
      <c r="C252">
        <v>68991577</v>
      </c>
      <c r="D252">
        <v>64401959</v>
      </c>
      <c r="E252">
        <v>1</v>
      </c>
      <c r="F252">
        <v>1</v>
      </c>
      <c r="G252">
        <v>1</v>
      </c>
      <c r="H252">
        <v>2</v>
      </c>
      <c r="I252" t="s">
        <v>859</v>
      </c>
      <c r="J252" t="s">
        <v>860</v>
      </c>
      <c r="K252" t="s">
        <v>861</v>
      </c>
      <c r="L252">
        <v>1368</v>
      </c>
      <c r="N252">
        <v>1011</v>
      </c>
      <c r="O252" t="s">
        <v>824</v>
      </c>
      <c r="P252" t="s">
        <v>824</v>
      </c>
      <c r="Q252">
        <v>1</v>
      </c>
      <c r="W252">
        <v>0</v>
      </c>
      <c r="X252">
        <v>10009565</v>
      </c>
      <c r="Y252">
        <v>2.1431249999999999</v>
      </c>
      <c r="AA252">
        <v>0</v>
      </c>
      <c r="AB252">
        <v>465.15</v>
      </c>
      <c r="AC252">
        <v>454.28</v>
      </c>
      <c r="AD252">
        <v>0</v>
      </c>
      <c r="AE252">
        <v>0</v>
      </c>
      <c r="AF252">
        <v>31.26</v>
      </c>
      <c r="AG252">
        <v>13.5</v>
      </c>
      <c r="AH252">
        <v>0</v>
      </c>
      <c r="AI252">
        <v>1</v>
      </c>
      <c r="AJ252">
        <v>14.88</v>
      </c>
      <c r="AK252">
        <v>33.65</v>
      </c>
      <c r="AL252">
        <v>1</v>
      </c>
      <c r="AN252">
        <v>0</v>
      </c>
      <c r="AO252">
        <v>1</v>
      </c>
      <c r="AP252">
        <v>1</v>
      </c>
      <c r="AQ252">
        <v>0</v>
      </c>
      <c r="AR252">
        <v>0</v>
      </c>
      <c r="AS252" t="s">
        <v>3</v>
      </c>
      <c r="AT252">
        <v>1.27</v>
      </c>
      <c r="AU252" t="s">
        <v>146</v>
      </c>
      <c r="AV252">
        <v>0</v>
      </c>
      <c r="AW252">
        <v>2</v>
      </c>
      <c r="AX252">
        <v>68991586</v>
      </c>
      <c r="AY252">
        <v>1</v>
      </c>
      <c r="AZ252">
        <v>0</v>
      </c>
      <c r="BA252">
        <v>260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Y252*Source!I94</f>
        <v>0.14573250000000001</v>
      </c>
      <c r="CY252">
        <f>AB252</f>
        <v>465.15</v>
      </c>
      <c r="CZ252">
        <f>AF252</f>
        <v>31.26</v>
      </c>
      <c r="DA252">
        <f>AJ252</f>
        <v>14.88</v>
      </c>
      <c r="DB252">
        <f>ROUND(((ROUND(AT252*CZ252,2)*1.25)*1.35),2)</f>
        <v>66.989999999999995</v>
      </c>
      <c r="DC252">
        <f>ROUND(((ROUND(AT252*AG252,2)*1.25)*1.35),2)</f>
        <v>28.94</v>
      </c>
    </row>
    <row r="253" spans="1:107" x14ac:dyDescent="0.2">
      <c r="A253">
        <f>ROW(Source!A94)</f>
        <v>94</v>
      </c>
      <c r="B253">
        <v>68990560</v>
      </c>
      <c r="C253">
        <v>68991577</v>
      </c>
      <c r="D253">
        <v>64402043</v>
      </c>
      <c r="E253">
        <v>1</v>
      </c>
      <c r="F253">
        <v>1</v>
      </c>
      <c r="G253">
        <v>1</v>
      </c>
      <c r="H253">
        <v>2</v>
      </c>
      <c r="I253" t="s">
        <v>1056</v>
      </c>
      <c r="J253" t="s">
        <v>1057</v>
      </c>
      <c r="K253" t="s">
        <v>1058</v>
      </c>
      <c r="L253">
        <v>1368</v>
      </c>
      <c r="N253">
        <v>1011</v>
      </c>
      <c r="O253" t="s">
        <v>824</v>
      </c>
      <c r="P253" t="s">
        <v>824</v>
      </c>
      <c r="Q253">
        <v>1</v>
      </c>
      <c r="W253">
        <v>0</v>
      </c>
      <c r="X253">
        <v>-1242712614</v>
      </c>
      <c r="Y253">
        <v>13.196249999999999</v>
      </c>
      <c r="AA253">
        <v>0</v>
      </c>
      <c r="AB253">
        <v>2.64</v>
      </c>
      <c r="AC253">
        <v>0</v>
      </c>
      <c r="AD253">
        <v>0</v>
      </c>
      <c r="AE253">
        <v>0</v>
      </c>
      <c r="AF253">
        <v>0.5</v>
      </c>
      <c r="AG253">
        <v>0</v>
      </c>
      <c r="AH253">
        <v>0</v>
      </c>
      <c r="AI253">
        <v>1</v>
      </c>
      <c r="AJ253">
        <v>5.28</v>
      </c>
      <c r="AK253">
        <v>33.65</v>
      </c>
      <c r="AL253">
        <v>1</v>
      </c>
      <c r="AN253">
        <v>0</v>
      </c>
      <c r="AO253">
        <v>1</v>
      </c>
      <c r="AP253">
        <v>1</v>
      </c>
      <c r="AQ253">
        <v>0</v>
      </c>
      <c r="AR253">
        <v>0</v>
      </c>
      <c r="AS253" t="s">
        <v>3</v>
      </c>
      <c r="AT253">
        <v>7.82</v>
      </c>
      <c r="AU253" t="s">
        <v>146</v>
      </c>
      <c r="AV253">
        <v>0</v>
      </c>
      <c r="AW253">
        <v>2</v>
      </c>
      <c r="AX253">
        <v>68991587</v>
      </c>
      <c r="AY253">
        <v>1</v>
      </c>
      <c r="AZ253">
        <v>2048</v>
      </c>
      <c r="BA253">
        <v>261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Y253*Source!I94</f>
        <v>0.89734500000000006</v>
      </c>
      <c r="CY253">
        <f>AB253</f>
        <v>2.64</v>
      </c>
      <c r="CZ253">
        <f>AF253</f>
        <v>0.5</v>
      </c>
      <c r="DA253">
        <f>AJ253</f>
        <v>5.28</v>
      </c>
      <c r="DB253">
        <f>ROUND(((ROUND(AT253*CZ253,2)*1.25)*1.35),2)</f>
        <v>6.6</v>
      </c>
      <c r="DC253">
        <f>ROUND(((ROUND(AT253*AG253,2)*1.25)*1.35),2)</f>
        <v>0</v>
      </c>
    </row>
    <row r="254" spans="1:107" x14ac:dyDescent="0.2">
      <c r="A254">
        <f>ROW(Source!A94)</f>
        <v>94</v>
      </c>
      <c r="B254">
        <v>68990560</v>
      </c>
      <c r="C254">
        <v>68991577</v>
      </c>
      <c r="D254">
        <v>64252759</v>
      </c>
      <c r="E254">
        <v>1</v>
      </c>
      <c r="F254">
        <v>1</v>
      </c>
      <c r="G254">
        <v>1</v>
      </c>
      <c r="H254">
        <v>3</v>
      </c>
      <c r="I254" t="s">
        <v>988</v>
      </c>
      <c r="J254" t="s">
        <v>989</v>
      </c>
      <c r="K254" t="s">
        <v>990</v>
      </c>
      <c r="L254">
        <v>1339</v>
      </c>
      <c r="N254">
        <v>1007</v>
      </c>
      <c r="O254" t="s">
        <v>113</v>
      </c>
      <c r="P254" t="s">
        <v>113</v>
      </c>
      <c r="Q254">
        <v>1</v>
      </c>
      <c r="W254">
        <v>0</v>
      </c>
      <c r="X254">
        <v>-1161832183</v>
      </c>
      <c r="Y254">
        <v>3.5</v>
      </c>
      <c r="AA254">
        <v>31.18</v>
      </c>
      <c r="AB254">
        <v>0</v>
      </c>
      <c r="AC254">
        <v>0</v>
      </c>
      <c r="AD254">
        <v>0</v>
      </c>
      <c r="AE254">
        <v>2.44</v>
      </c>
      <c r="AF254">
        <v>0</v>
      </c>
      <c r="AG254">
        <v>0</v>
      </c>
      <c r="AH254">
        <v>0</v>
      </c>
      <c r="AI254">
        <v>12.78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3</v>
      </c>
      <c r="AT254">
        <v>3.5</v>
      </c>
      <c r="AU254" t="s">
        <v>3</v>
      </c>
      <c r="AV254">
        <v>0</v>
      </c>
      <c r="AW254">
        <v>2</v>
      </c>
      <c r="AX254">
        <v>68991588</v>
      </c>
      <c r="AY254">
        <v>1</v>
      </c>
      <c r="AZ254">
        <v>0</v>
      </c>
      <c r="BA254">
        <v>262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Y254*Source!I94</f>
        <v>0.23800000000000002</v>
      </c>
      <c r="CY254">
        <f>AA254</f>
        <v>31.18</v>
      </c>
      <c r="CZ254">
        <f>AE254</f>
        <v>2.44</v>
      </c>
      <c r="DA254">
        <f>AI254</f>
        <v>12.78</v>
      </c>
      <c r="DB254">
        <f>ROUND(ROUND(AT254*CZ254,2),2)</f>
        <v>8.5399999999999991</v>
      </c>
      <c r="DC254">
        <f>ROUND(ROUND(AT254*AG254,2),2)</f>
        <v>0</v>
      </c>
    </row>
    <row r="255" spans="1:107" x14ac:dyDescent="0.2">
      <c r="A255">
        <f>ROW(Source!A94)</f>
        <v>94</v>
      </c>
      <c r="B255">
        <v>68990560</v>
      </c>
      <c r="C255">
        <v>68991577</v>
      </c>
      <c r="D255">
        <v>53734808</v>
      </c>
      <c r="E255">
        <v>1</v>
      </c>
      <c r="F255">
        <v>1</v>
      </c>
      <c r="G255">
        <v>1</v>
      </c>
      <c r="H255">
        <v>3</v>
      </c>
      <c r="I255" t="s">
        <v>315</v>
      </c>
      <c r="J255" t="s">
        <v>317</v>
      </c>
      <c r="K255" t="s">
        <v>316</v>
      </c>
      <c r="L255">
        <v>1348</v>
      </c>
      <c r="N255">
        <v>1009</v>
      </c>
      <c r="O255" t="s">
        <v>71</v>
      </c>
      <c r="P255" t="s">
        <v>71</v>
      </c>
      <c r="Q255">
        <v>1000</v>
      </c>
      <c r="W255">
        <v>0</v>
      </c>
      <c r="X255">
        <v>1703037467</v>
      </c>
      <c r="Y255">
        <v>3.8</v>
      </c>
      <c r="AA255">
        <v>3412.2</v>
      </c>
      <c r="AB255">
        <v>0</v>
      </c>
      <c r="AC255">
        <v>0</v>
      </c>
      <c r="AD255">
        <v>0</v>
      </c>
      <c r="AE255">
        <v>712.36</v>
      </c>
      <c r="AF255">
        <v>0</v>
      </c>
      <c r="AG255">
        <v>0</v>
      </c>
      <c r="AH255">
        <v>0</v>
      </c>
      <c r="AI255">
        <v>4.79</v>
      </c>
      <c r="AJ255">
        <v>1</v>
      </c>
      <c r="AK255">
        <v>1</v>
      </c>
      <c r="AL255">
        <v>1</v>
      </c>
      <c r="AN255">
        <v>0</v>
      </c>
      <c r="AO255">
        <v>0</v>
      </c>
      <c r="AP255">
        <v>0</v>
      </c>
      <c r="AQ255">
        <v>0</v>
      </c>
      <c r="AR255">
        <v>0</v>
      </c>
      <c r="AS255" t="s">
        <v>3</v>
      </c>
      <c r="AT255">
        <v>3.8</v>
      </c>
      <c r="AU255" t="s">
        <v>3</v>
      </c>
      <c r="AV255">
        <v>0</v>
      </c>
      <c r="AW255">
        <v>1</v>
      </c>
      <c r="AX255">
        <v>-1</v>
      </c>
      <c r="AY255">
        <v>0</v>
      </c>
      <c r="AZ255">
        <v>0</v>
      </c>
      <c r="BA255" t="s">
        <v>3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Y255*Source!I94</f>
        <v>0.25840000000000002</v>
      </c>
      <c r="CY255">
        <f>AA255</f>
        <v>3412.2</v>
      </c>
      <c r="CZ255">
        <f>AE255</f>
        <v>712.36</v>
      </c>
      <c r="DA255">
        <f>AI255</f>
        <v>4.79</v>
      </c>
      <c r="DB255">
        <f>ROUND(ROUND(AT255*CZ255,2),2)</f>
        <v>2706.97</v>
      </c>
      <c r="DC255">
        <f>ROUND(ROUND(AT255*AG255,2),2)</f>
        <v>0</v>
      </c>
    </row>
    <row r="256" spans="1:107" x14ac:dyDescent="0.2">
      <c r="A256">
        <f>ROW(Source!A96)</f>
        <v>96</v>
      </c>
      <c r="B256">
        <v>68990560</v>
      </c>
      <c r="C256">
        <v>68991618</v>
      </c>
      <c r="D256">
        <v>64240981</v>
      </c>
      <c r="E256">
        <v>56</v>
      </c>
      <c r="F256">
        <v>1</v>
      </c>
      <c r="G256">
        <v>1</v>
      </c>
      <c r="H256">
        <v>1</v>
      </c>
      <c r="I256" t="s">
        <v>1026</v>
      </c>
      <c r="J256" t="s">
        <v>3</v>
      </c>
      <c r="K256" t="s">
        <v>1027</v>
      </c>
      <c r="L256">
        <v>1191</v>
      </c>
      <c r="N256">
        <v>1013</v>
      </c>
      <c r="O256" t="s">
        <v>818</v>
      </c>
      <c r="P256" t="s">
        <v>818</v>
      </c>
      <c r="Q256">
        <v>1</v>
      </c>
      <c r="W256">
        <v>0</v>
      </c>
      <c r="X256">
        <v>-719309759</v>
      </c>
      <c r="Y256">
        <v>18.009</v>
      </c>
      <c r="AA256">
        <v>0</v>
      </c>
      <c r="AB256">
        <v>0</v>
      </c>
      <c r="AC256">
        <v>0</v>
      </c>
      <c r="AD256">
        <v>8.86</v>
      </c>
      <c r="AE256">
        <v>0</v>
      </c>
      <c r="AF256">
        <v>0</v>
      </c>
      <c r="AG256">
        <v>0</v>
      </c>
      <c r="AH256">
        <v>8.86</v>
      </c>
      <c r="AI256">
        <v>1</v>
      </c>
      <c r="AJ256">
        <v>1</v>
      </c>
      <c r="AK256">
        <v>1</v>
      </c>
      <c r="AL256">
        <v>1</v>
      </c>
      <c r="AN256">
        <v>0</v>
      </c>
      <c r="AO256">
        <v>1</v>
      </c>
      <c r="AP256">
        <v>1</v>
      </c>
      <c r="AQ256">
        <v>0</v>
      </c>
      <c r="AR256">
        <v>0</v>
      </c>
      <c r="AS256" t="s">
        <v>3</v>
      </c>
      <c r="AT256">
        <v>11.6</v>
      </c>
      <c r="AU256" t="s">
        <v>147</v>
      </c>
      <c r="AV256">
        <v>1</v>
      </c>
      <c r="AW256">
        <v>2</v>
      </c>
      <c r="AX256">
        <v>68991632</v>
      </c>
      <c r="AY256">
        <v>1</v>
      </c>
      <c r="AZ256">
        <v>0</v>
      </c>
      <c r="BA256">
        <v>264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Y256*Source!I96</f>
        <v>0.24492239999999998</v>
      </c>
      <c r="CY256">
        <f>AD256</f>
        <v>8.86</v>
      </c>
      <c r="CZ256">
        <f>AH256</f>
        <v>8.86</v>
      </c>
      <c r="DA256">
        <f>AL256</f>
        <v>1</v>
      </c>
      <c r="DB256">
        <f>ROUND(((ROUND(AT256*CZ256,2)*1.15)*1.35),2)</f>
        <v>159.57</v>
      </c>
      <c r="DC256">
        <f>ROUND(((ROUND(AT256*AG256,2)*1.15)*1.35),2)</f>
        <v>0</v>
      </c>
    </row>
    <row r="257" spans="1:107" x14ac:dyDescent="0.2">
      <c r="A257">
        <f>ROW(Source!A96)</f>
        <v>96</v>
      </c>
      <c r="B257">
        <v>68990560</v>
      </c>
      <c r="C257">
        <v>68991618</v>
      </c>
      <c r="D257">
        <v>64241154</v>
      </c>
      <c r="E257">
        <v>56</v>
      </c>
      <c r="F257">
        <v>1</v>
      </c>
      <c r="G257">
        <v>1</v>
      </c>
      <c r="H257">
        <v>1</v>
      </c>
      <c r="I257" t="s">
        <v>819</v>
      </c>
      <c r="J257" t="s">
        <v>3</v>
      </c>
      <c r="K257" t="s">
        <v>820</v>
      </c>
      <c r="L257">
        <v>1191</v>
      </c>
      <c r="N257">
        <v>1013</v>
      </c>
      <c r="O257" t="s">
        <v>818</v>
      </c>
      <c r="P257" t="s">
        <v>818</v>
      </c>
      <c r="Q257">
        <v>1</v>
      </c>
      <c r="W257">
        <v>0</v>
      </c>
      <c r="X257">
        <v>-1417349443</v>
      </c>
      <c r="Y257">
        <v>0.59062499999999996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1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1</v>
      </c>
      <c r="AQ257">
        <v>0</v>
      </c>
      <c r="AR257">
        <v>0</v>
      </c>
      <c r="AS257" t="s">
        <v>3</v>
      </c>
      <c r="AT257">
        <v>0.35</v>
      </c>
      <c r="AU257" t="s">
        <v>146</v>
      </c>
      <c r="AV257">
        <v>2</v>
      </c>
      <c r="AW257">
        <v>2</v>
      </c>
      <c r="AX257">
        <v>68991633</v>
      </c>
      <c r="AY257">
        <v>1</v>
      </c>
      <c r="AZ257">
        <v>2048</v>
      </c>
      <c r="BA257">
        <v>265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Y257*Source!I96</f>
        <v>8.0324999999999997E-3</v>
      </c>
      <c r="CY257">
        <f>AD257</f>
        <v>0</v>
      </c>
      <c r="CZ257">
        <f>AH257</f>
        <v>0</v>
      </c>
      <c r="DA257">
        <f>AL257</f>
        <v>1</v>
      </c>
      <c r="DB257">
        <f>ROUND(((ROUND(AT257*CZ257,2)*1.25)*1.35),2)</f>
        <v>0</v>
      </c>
      <c r="DC257">
        <f>ROUND(((ROUND(AT257*AG257,2)*1.25)*1.35),2)</f>
        <v>0</v>
      </c>
    </row>
    <row r="258" spans="1:107" x14ac:dyDescent="0.2">
      <c r="A258">
        <f>ROW(Source!A96)</f>
        <v>96</v>
      </c>
      <c r="B258">
        <v>68990560</v>
      </c>
      <c r="C258">
        <v>68991618</v>
      </c>
      <c r="D258">
        <v>64401763</v>
      </c>
      <c r="E258">
        <v>1</v>
      </c>
      <c r="F258">
        <v>1</v>
      </c>
      <c r="G258">
        <v>1</v>
      </c>
      <c r="H258">
        <v>2</v>
      </c>
      <c r="I258" t="s">
        <v>821</v>
      </c>
      <c r="J258" t="s">
        <v>822</v>
      </c>
      <c r="K258" t="s">
        <v>823</v>
      </c>
      <c r="L258">
        <v>1368</v>
      </c>
      <c r="N258">
        <v>1011</v>
      </c>
      <c r="O258" t="s">
        <v>824</v>
      </c>
      <c r="P258" t="s">
        <v>824</v>
      </c>
      <c r="Q258">
        <v>1</v>
      </c>
      <c r="W258">
        <v>0</v>
      </c>
      <c r="X258">
        <v>-1346461524</v>
      </c>
      <c r="Y258">
        <v>0.25312499999999999</v>
      </c>
      <c r="AA258">
        <v>0</v>
      </c>
      <c r="AB258">
        <v>1074.3699999999999</v>
      </c>
      <c r="AC258">
        <v>454.28</v>
      </c>
      <c r="AD258">
        <v>0</v>
      </c>
      <c r="AE258">
        <v>0</v>
      </c>
      <c r="AF258">
        <v>115.4</v>
      </c>
      <c r="AG258">
        <v>13.5</v>
      </c>
      <c r="AH258">
        <v>0</v>
      </c>
      <c r="AI258">
        <v>1</v>
      </c>
      <c r="AJ258">
        <v>9.31</v>
      </c>
      <c r="AK258">
        <v>33.65</v>
      </c>
      <c r="AL258">
        <v>1</v>
      </c>
      <c r="AN258">
        <v>0</v>
      </c>
      <c r="AO258">
        <v>1</v>
      </c>
      <c r="AP258">
        <v>1</v>
      </c>
      <c r="AQ258">
        <v>0</v>
      </c>
      <c r="AR258">
        <v>0</v>
      </c>
      <c r="AS258" t="s">
        <v>3</v>
      </c>
      <c r="AT258">
        <v>0.15</v>
      </c>
      <c r="AU258" t="s">
        <v>146</v>
      </c>
      <c r="AV258">
        <v>0</v>
      </c>
      <c r="AW258">
        <v>2</v>
      </c>
      <c r="AX258">
        <v>68991634</v>
      </c>
      <c r="AY258">
        <v>1</v>
      </c>
      <c r="AZ258">
        <v>2048</v>
      </c>
      <c r="BA258">
        <v>266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Y258*Source!I96</f>
        <v>3.4424999999999998E-3</v>
      </c>
      <c r="CY258">
        <f>AB258</f>
        <v>1074.3699999999999</v>
      </c>
      <c r="CZ258">
        <f>AF258</f>
        <v>115.4</v>
      </c>
      <c r="DA258">
        <f>AJ258</f>
        <v>9.31</v>
      </c>
      <c r="DB258">
        <f>ROUND(((ROUND(AT258*CZ258,2)*1.25)*1.35),2)</f>
        <v>29.21</v>
      </c>
      <c r="DC258">
        <f>ROUND(((ROUND(AT258*AG258,2)*1.25)*1.35),2)</f>
        <v>3.43</v>
      </c>
    </row>
    <row r="259" spans="1:107" x14ac:dyDescent="0.2">
      <c r="A259">
        <f>ROW(Source!A96)</f>
        <v>96</v>
      </c>
      <c r="B259">
        <v>68990560</v>
      </c>
      <c r="C259">
        <v>68991618</v>
      </c>
      <c r="D259">
        <v>64402691</v>
      </c>
      <c r="E259">
        <v>1</v>
      </c>
      <c r="F259">
        <v>1</v>
      </c>
      <c r="G259">
        <v>1</v>
      </c>
      <c r="H259">
        <v>2</v>
      </c>
      <c r="I259" t="s">
        <v>825</v>
      </c>
      <c r="J259" t="s">
        <v>826</v>
      </c>
      <c r="K259" t="s">
        <v>827</v>
      </c>
      <c r="L259">
        <v>1368</v>
      </c>
      <c r="N259">
        <v>1011</v>
      </c>
      <c r="O259" t="s">
        <v>824</v>
      </c>
      <c r="P259" t="s">
        <v>824</v>
      </c>
      <c r="Q259">
        <v>1</v>
      </c>
      <c r="W259">
        <v>0</v>
      </c>
      <c r="X259">
        <v>-841254546</v>
      </c>
      <c r="Y259">
        <v>0.33750000000000002</v>
      </c>
      <c r="AA259">
        <v>0</v>
      </c>
      <c r="AB259">
        <v>776.04</v>
      </c>
      <c r="AC259">
        <v>390.34</v>
      </c>
      <c r="AD259">
        <v>0</v>
      </c>
      <c r="AE259">
        <v>0</v>
      </c>
      <c r="AF259">
        <v>65.709999999999994</v>
      </c>
      <c r="AG259">
        <v>11.6</v>
      </c>
      <c r="AH259">
        <v>0</v>
      </c>
      <c r="AI259">
        <v>1</v>
      </c>
      <c r="AJ259">
        <v>11.81</v>
      </c>
      <c r="AK259">
        <v>33.65</v>
      </c>
      <c r="AL259">
        <v>1</v>
      </c>
      <c r="AN259">
        <v>0</v>
      </c>
      <c r="AO259">
        <v>1</v>
      </c>
      <c r="AP259">
        <v>1</v>
      </c>
      <c r="AQ259">
        <v>0</v>
      </c>
      <c r="AR259">
        <v>0</v>
      </c>
      <c r="AS259" t="s">
        <v>3</v>
      </c>
      <c r="AT259">
        <v>0.2</v>
      </c>
      <c r="AU259" t="s">
        <v>146</v>
      </c>
      <c r="AV259">
        <v>0</v>
      </c>
      <c r="AW259">
        <v>2</v>
      </c>
      <c r="AX259">
        <v>68991635</v>
      </c>
      <c r="AY259">
        <v>1</v>
      </c>
      <c r="AZ259">
        <v>0</v>
      </c>
      <c r="BA259">
        <v>267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Y259*Source!I96</f>
        <v>4.5900000000000003E-3</v>
      </c>
      <c r="CY259">
        <f>AB259</f>
        <v>776.04</v>
      </c>
      <c r="CZ259">
        <f>AF259</f>
        <v>65.709999999999994</v>
      </c>
      <c r="DA259">
        <f>AJ259</f>
        <v>11.81</v>
      </c>
      <c r="DB259">
        <f>ROUND(((ROUND(AT259*CZ259,2)*1.25)*1.35),2)</f>
        <v>22.17</v>
      </c>
      <c r="DC259">
        <f>ROUND(((ROUND(AT259*AG259,2)*1.25)*1.35),2)</f>
        <v>3.92</v>
      </c>
    </row>
    <row r="260" spans="1:107" x14ac:dyDescent="0.2">
      <c r="A260">
        <f>ROW(Source!A96)</f>
        <v>96</v>
      </c>
      <c r="B260">
        <v>68990560</v>
      </c>
      <c r="C260">
        <v>68991618</v>
      </c>
      <c r="D260">
        <v>53732181</v>
      </c>
      <c r="E260">
        <v>1</v>
      </c>
      <c r="F260">
        <v>1</v>
      </c>
      <c r="G260">
        <v>1</v>
      </c>
      <c r="H260">
        <v>3</v>
      </c>
      <c r="I260" t="s">
        <v>323</v>
      </c>
      <c r="J260" t="s">
        <v>325</v>
      </c>
      <c r="K260" t="s">
        <v>324</v>
      </c>
      <c r="L260">
        <v>1327</v>
      </c>
      <c r="N260">
        <v>1005</v>
      </c>
      <c r="O260" t="s">
        <v>46</v>
      </c>
      <c r="P260" t="s">
        <v>46</v>
      </c>
      <c r="Q260">
        <v>1</v>
      </c>
      <c r="W260">
        <v>0</v>
      </c>
      <c r="X260">
        <v>144063458</v>
      </c>
      <c r="Y260">
        <v>500</v>
      </c>
      <c r="AA260">
        <v>121.13</v>
      </c>
      <c r="AB260">
        <v>0</v>
      </c>
      <c r="AC260">
        <v>0</v>
      </c>
      <c r="AD260">
        <v>0</v>
      </c>
      <c r="AE260">
        <v>20.29</v>
      </c>
      <c r="AF260">
        <v>0</v>
      </c>
      <c r="AG260">
        <v>0</v>
      </c>
      <c r="AH260">
        <v>0</v>
      </c>
      <c r="AI260">
        <v>5.97</v>
      </c>
      <c r="AJ260">
        <v>1</v>
      </c>
      <c r="AK260">
        <v>1</v>
      </c>
      <c r="AL260">
        <v>1</v>
      </c>
      <c r="AN260">
        <v>0</v>
      </c>
      <c r="AO260">
        <v>0</v>
      </c>
      <c r="AP260">
        <v>0</v>
      </c>
      <c r="AQ260">
        <v>0</v>
      </c>
      <c r="AR260">
        <v>0</v>
      </c>
      <c r="AS260" t="s">
        <v>3</v>
      </c>
      <c r="AT260">
        <v>500</v>
      </c>
      <c r="AU260" t="s">
        <v>3</v>
      </c>
      <c r="AV260">
        <v>0</v>
      </c>
      <c r="AW260">
        <v>1</v>
      </c>
      <c r="AX260">
        <v>-1</v>
      </c>
      <c r="AY260">
        <v>0</v>
      </c>
      <c r="AZ260">
        <v>0</v>
      </c>
      <c r="BA260" t="s">
        <v>3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Y260*Source!I96</f>
        <v>6.8</v>
      </c>
      <c r="CY260">
        <f>AA260</f>
        <v>121.13</v>
      </c>
      <c r="CZ260">
        <f>AE260</f>
        <v>20.29</v>
      </c>
      <c r="DA260">
        <f>AI260</f>
        <v>5.97</v>
      </c>
      <c r="DB260">
        <f>ROUND(ROUND(AT260*CZ260,2),2)</f>
        <v>10145</v>
      </c>
      <c r="DC260">
        <f>ROUND(ROUND(AT260*AG260,2),2)</f>
        <v>0</v>
      </c>
    </row>
    <row r="261" spans="1:107" x14ac:dyDescent="0.2">
      <c r="A261">
        <f>ROW(Source!A96)</f>
        <v>96</v>
      </c>
      <c r="B261">
        <v>68990560</v>
      </c>
      <c r="C261">
        <v>68991618</v>
      </c>
      <c r="D261">
        <v>64272188</v>
      </c>
      <c r="E261">
        <v>1</v>
      </c>
      <c r="F261">
        <v>1</v>
      </c>
      <c r="G261">
        <v>1</v>
      </c>
      <c r="H261">
        <v>3</v>
      </c>
      <c r="I261" t="s">
        <v>1109</v>
      </c>
      <c r="J261" t="s">
        <v>1110</v>
      </c>
      <c r="K261" t="s">
        <v>1111</v>
      </c>
      <c r="L261">
        <v>1348</v>
      </c>
      <c r="N261">
        <v>1009</v>
      </c>
      <c r="O261" t="s">
        <v>71</v>
      </c>
      <c r="P261" t="s">
        <v>71</v>
      </c>
      <c r="Q261">
        <v>1000</v>
      </c>
      <c r="W261">
        <v>0</v>
      </c>
      <c r="X261">
        <v>-864197285</v>
      </c>
      <c r="Y261">
        <v>2.8000000000000001E-2</v>
      </c>
      <c r="AA261">
        <v>60282</v>
      </c>
      <c r="AB261">
        <v>0</v>
      </c>
      <c r="AC261">
        <v>0</v>
      </c>
      <c r="AD261">
        <v>0</v>
      </c>
      <c r="AE261">
        <v>10200</v>
      </c>
      <c r="AF261">
        <v>0</v>
      </c>
      <c r="AG261">
        <v>0</v>
      </c>
      <c r="AH261">
        <v>0</v>
      </c>
      <c r="AI261">
        <v>5.91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3</v>
      </c>
      <c r="AT261">
        <v>2.8000000000000001E-2</v>
      </c>
      <c r="AU261" t="s">
        <v>3</v>
      </c>
      <c r="AV261">
        <v>0</v>
      </c>
      <c r="AW261">
        <v>2</v>
      </c>
      <c r="AX261">
        <v>68991636</v>
      </c>
      <c r="AY261">
        <v>1</v>
      </c>
      <c r="AZ261">
        <v>0</v>
      </c>
      <c r="BA261">
        <v>268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Y261*Source!I96</f>
        <v>3.8079999999999999E-4</v>
      </c>
      <c r="CY261">
        <f>AA261</f>
        <v>60282</v>
      </c>
      <c r="CZ261">
        <f>AE261</f>
        <v>10200</v>
      </c>
      <c r="DA261">
        <f>AI261</f>
        <v>5.91</v>
      </c>
      <c r="DB261">
        <f>ROUND(ROUND(AT261*CZ261,2),2)</f>
        <v>285.60000000000002</v>
      </c>
      <c r="DC261">
        <f>ROUND(ROUND(AT261*AG261,2),2)</f>
        <v>0</v>
      </c>
    </row>
    <row r="262" spans="1:107" x14ac:dyDescent="0.2">
      <c r="A262">
        <f>ROW(Source!A98)</f>
        <v>98</v>
      </c>
      <c r="B262">
        <v>68990560</v>
      </c>
      <c r="C262">
        <v>68991591</v>
      </c>
      <c r="D262">
        <v>37068121</v>
      </c>
      <c r="E262">
        <v>56</v>
      </c>
      <c r="F262">
        <v>1</v>
      </c>
      <c r="G262">
        <v>1</v>
      </c>
      <c r="H262">
        <v>1</v>
      </c>
      <c r="I262" t="s">
        <v>1107</v>
      </c>
      <c r="J262" t="s">
        <v>3</v>
      </c>
      <c r="K262" t="s">
        <v>1108</v>
      </c>
      <c r="L262">
        <v>1191</v>
      </c>
      <c r="N262">
        <v>1013</v>
      </c>
      <c r="O262" t="s">
        <v>818</v>
      </c>
      <c r="P262" t="s">
        <v>818</v>
      </c>
      <c r="Q262">
        <v>1</v>
      </c>
      <c r="W262">
        <v>0</v>
      </c>
      <c r="X262">
        <v>-1366118074</v>
      </c>
      <c r="Y262">
        <v>1.3662000000000001</v>
      </c>
      <c r="AA262">
        <v>0</v>
      </c>
      <c r="AB262">
        <v>0</v>
      </c>
      <c r="AC262">
        <v>0</v>
      </c>
      <c r="AD262">
        <v>7.94</v>
      </c>
      <c r="AE262">
        <v>0</v>
      </c>
      <c r="AF262">
        <v>0</v>
      </c>
      <c r="AG262">
        <v>0</v>
      </c>
      <c r="AH262">
        <v>7.94</v>
      </c>
      <c r="AI262">
        <v>1</v>
      </c>
      <c r="AJ262">
        <v>1</v>
      </c>
      <c r="AK262">
        <v>1</v>
      </c>
      <c r="AL262">
        <v>1</v>
      </c>
      <c r="AN262">
        <v>0</v>
      </c>
      <c r="AO262">
        <v>1</v>
      </c>
      <c r="AP262">
        <v>1</v>
      </c>
      <c r="AQ262">
        <v>0</v>
      </c>
      <c r="AR262">
        <v>0</v>
      </c>
      <c r="AS262" t="s">
        <v>3</v>
      </c>
      <c r="AT262">
        <v>0.44</v>
      </c>
      <c r="AU262" t="s">
        <v>331</v>
      </c>
      <c r="AV262">
        <v>1</v>
      </c>
      <c r="AW262">
        <v>2</v>
      </c>
      <c r="AX262">
        <v>68991597</v>
      </c>
      <c r="AY262">
        <v>1</v>
      </c>
      <c r="AZ262">
        <v>0</v>
      </c>
      <c r="BA262">
        <v>270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Y262*Source!I98</f>
        <v>9.2901600000000015E-2</v>
      </c>
      <c r="CY262">
        <f>AD262</f>
        <v>7.94</v>
      </c>
      <c r="CZ262">
        <f>AH262</f>
        <v>7.94</v>
      </c>
      <c r="DA262">
        <f>AL262</f>
        <v>1</v>
      </c>
      <c r="DB262">
        <f>ROUND(((ROUND(AT262*CZ262,2)*1.15)*1.35*2),2)</f>
        <v>10.84</v>
      </c>
      <c r="DC262">
        <f>ROUND(((ROUND(AT262*AG262,2)*1.15)*1.35*2),2)</f>
        <v>0</v>
      </c>
    </row>
    <row r="263" spans="1:107" x14ac:dyDescent="0.2">
      <c r="A263">
        <f>ROW(Source!A98)</f>
        <v>98</v>
      </c>
      <c r="B263">
        <v>68990560</v>
      </c>
      <c r="C263">
        <v>68991591</v>
      </c>
      <c r="D263">
        <v>37064876</v>
      </c>
      <c r="E263">
        <v>56</v>
      </c>
      <c r="F263">
        <v>1</v>
      </c>
      <c r="G263">
        <v>1</v>
      </c>
      <c r="H263">
        <v>1</v>
      </c>
      <c r="I263" t="s">
        <v>819</v>
      </c>
      <c r="J263" t="s">
        <v>3</v>
      </c>
      <c r="K263" t="s">
        <v>820</v>
      </c>
      <c r="L263">
        <v>1191</v>
      </c>
      <c r="N263">
        <v>1013</v>
      </c>
      <c r="O263" t="s">
        <v>818</v>
      </c>
      <c r="P263" t="s">
        <v>818</v>
      </c>
      <c r="Q263">
        <v>1</v>
      </c>
      <c r="W263">
        <v>0</v>
      </c>
      <c r="X263">
        <v>-1417349443</v>
      </c>
      <c r="Y263">
        <v>0.70874999999999999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1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1</v>
      </c>
      <c r="AQ263">
        <v>0</v>
      </c>
      <c r="AR263">
        <v>0</v>
      </c>
      <c r="AS263" t="s">
        <v>3</v>
      </c>
      <c r="AT263">
        <v>0.21</v>
      </c>
      <c r="AU263" t="s">
        <v>330</v>
      </c>
      <c r="AV263">
        <v>2</v>
      </c>
      <c r="AW263">
        <v>2</v>
      </c>
      <c r="AX263">
        <v>68991598</v>
      </c>
      <c r="AY263">
        <v>1</v>
      </c>
      <c r="AZ263">
        <v>2048</v>
      </c>
      <c r="BA263">
        <v>271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Y263*Source!I98</f>
        <v>4.8195000000000002E-2</v>
      </c>
      <c r="CY263">
        <f>AD263</f>
        <v>0</v>
      </c>
      <c r="CZ263">
        <f>AH263</f>
        <v>0</v>
      </c>
      <c r="DA263">
        <f>AL263</f>
        <v>1</v>
      </c>
      <c r="DB263">
        <f>ROUND(((ROUND(AT263*CZ263,2)*1.25)*1.35*2),2)</f>
        <v>0</v>
      </c>
      <c r="DC263">
        <f>ROUND(((ROUND(AT263*AG263,2)*1.25)*1.35*2),2)</f>
        <v>0</v>
      </c>
    </row>
    <row r="264" spans="1:107" x14ac:dyDescent="0.2">
      <c r="A264">
        <f>ROW(Source!A98)</f>
        <v>98</v>
      </c>
      <c r="B264">
        <v>68990560</v>
      </c>
      <c r="C264">
        <v>68991591</v>
      </c>
      <c r="D264">
        <v>64401959</v>
      </c>
      <c r="E264">
        <v>1</v>
      </c>
      <c r="F264">
        <v>1</v>
      </c>
      <c r="G264">
        <v>1</v>
      </c>
      <c r="H264">
        <v>2</v>
      </c>
      <c r="I264" t="s">
        <v>859</v>
      </c>
      <c r="J264" t="s">
        <v>860</v>
      </c>
      <c r="K264" t="s">
        <v>861</v>
      </c>
      <c r="L264">
        <v>1368</v>
      </c>
      <c r="N264">
        <v>1011</v>
      </c>
      <c r="O264" t="s">
        <v>824</v>
      </c>
      <c r="P264" t="s">
        <v>824</v>
      </c>
      <c r="Q264">
        <v>1</v>
      </c>
      <c r="W264">
        <v>0</v>
      </c>
      <c r="X264">
        <v>10009565</v>
      </c>
      <c r="Y264">
        <v>0.70874999999999999</v>
      </c>
      <c r="AA264">
        <v>0</v>
      </c>
      <c r="AB264">
        <v>465.15</v>
      </c>
      <c r="AC264">
        <v>454.28</v>
      </c>
      <c r="AD264">
        <v>0</v>
      </c>
      <c r="AE264">
        <v>0</v>
      </c>
      <c r="AF264">
        <v>31.26</v>
      </c>
      <c r="AG264">
        <v>13.5</v>
      </c>
      <c r="AH264">
        <v>0</v>
      </c>
      <c r="AI264">
        <v>1</v>
      </c>
      <c r="AJ264">
        <v>14.88</v>
      </c>
      <c r="AK264">
        <v>33.65</v>
      </c>
      <c r="AL264">
        <v>1</v>
      </c>
      <c r="AN264">
        <v>0</v>
      </c>
      <c r="AO264">
        <v>1</v>
      </c>
      <c r="AP264">
        <v>1</v>
      </c>
      <c r="AQ264">
        <v>0</v>
      </c>
      <c r="AR264">
        <v>0</v>
      </c>
      <c r="AS264" t="s">
        <v>3</v>
      </c>
      <c r="AT264">
        <v>0.21</v>
      </c>
      <c r="AU264" t="s">
        <v>330</v>
      </c>
      <c r="AV264">
        <v>0</v>
      </c>
      <c r="AW264">
        <v>2</v>
      </c>
      <c r="AX264">
        <v>68991599</v>
      </c>
      <c r="AY264">
        <v>1</v>
      </c>
      <c r="AZ264">
        <v>2048</v>
      </c>
      <c r="BA264">
        <v>272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Y264*Source!I98</f>
        <v>4.8195000000000002E-2</v>
      </c>
      <c r="CY264">
        <f>AB264</f>
        <v>465.15</v>
      </c>
      <c r="CZ264">
        <f>AF264</f>
        <v>31.26</v>
      </c>
      <c r="DA264">
        <f>AJ264</f>
        <v>14.88</v>
      </c>
      <c r="DB264">
        <f>ROUND(((ROUND(AT264*CZ264,2)*1.25)*1.35*2),2)</f>
        <v>22.14</v>
      </c>
      <c r="DC264">
        <f>ROUND(((ROUND(AT264*AG264,2)*1.25)*1.35*2),2)</f>
        <v>9.59</v>
      </c>
    </row>
    <row r="265" spans="1:107" x14ac:dyDescent="0.2">
      <c r="A265">
        <f>ROW(Source!A98)</f>
        <v>98</v>
      </c>
      <c r="B265">
        <v>68990560</v>
      </c>
      <c r="C265">
        <v>68991591</v>
      </c>
      <c r="D265">
        <v>64402043</v>
      </c>
      <c r="E265">
        <v>1</v>
      </c>
      <c r="F265">
        <v>1</v>
      </c>
      <c r="G265">
        <v>1</v>
      </c>
      <c r="H265">
        <v>2</v>
      </c>
      <c r="I265" t="s">
        <v>1056</v>
      </c>
      <c r="J265" t="s">
        <v>1057</v>
      </c>
      <c r="K265" t="s">
        <v>1058</v>
      </c>
      <c r="L265">
        <v>1368</v>
      </c>
      <c r="N265">
        <v>1011</v>
      </c>
      <c r="O265" t="s">
        <v>824</v>
      </c>
      <c r="P265" t="s">
        <v>824</v>
      </c>
      <c r="Q265">
        <v>1</v>
      </c>
      <c r="W265">
        <v>0</v>
      </c>
      <c r="X265">
        <v>-1242712614</v>
      </c>
      <c r="Y265">
        <v>6.75</v>
      </c>
      <c r="AA265">
        <v>0</v>
      </c>
      <c r="AB265">
        <v>2.64</v>
      </c>
      <c r="AC265">
        <v>0</v>
      </c>
      <c r="AD265">
        <v>0</v>
      </c>
      <c r="AE265">
        <v>0</v>
      </c>
      <c r="AF265">
        <v>0.5</v>
      </c>
      <c r="AG265">
        <v>0</v>
      </c>
      <c r="AH265">
        <v>0</v>
      </c>
      <c r="AI265">
        <v>1</v>
      </c>
      <c r="AJ265">
        <v>5.28</v>
      </c>
      <c r="AK265">
        <v>33.65</v>
      </c>
      <c r="AL265">
        <v>1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3</v>
      </c>
      <c r="AT265">
        <v>2</v>
      </c>
      <c r="AU265" t="s">
        <v>330</v>
      </c>
      <c r="AV265">
        <v>0</v>
      </c>
      <c r="AW265">
        <v>2</v>
      </c>
      <c r="AX265">
        <v>68991600</v>
      </c>
      <c r="AY265">
        <v>1</v>
      </c>
      <c r="AZ265">
        <v>0</v>
      </c>
      <c r="BA265">
        <v>273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Y265*Source!I98</f>
        <v>0.45900000000000002</v>
      </c>
      <c r="CY265">
        <f>AB265</f>
        <v>2.64</v>
      </c>
      <c r="CZ265">
        <f>AF265</f>
        <v>0.5</v>
      </c>
      <c r="DA265">
        <f>AJ265</f>
        <v>5.28</v>
      </c>
      <c r="DB265">
        <f>ROUND(((ROUND(AT265*CZ265,2)*1.25)*1.35*2),2)</f>
        <v>3.38</v>
      </c>
      <c r="DC265">
        <f>ROUND(((ROUND(AT265*AG265,2)*1.25)*1.35*2),2)</f>
        <v>0</v>
      </c>
    </row>
    <row r="266" spans="1:107" x14ac:dyDescent="0.2">
      <c r="A266">
        <f>ROW(Source!A98)</f>
        <v>98</v>
      </c>
      <c r="B266">
        <v>68990560</v>
      </c>
      <c r="C266">
        <v>68991591</v>
      </c>
      <c r="D266">
        <v>53734808</v>
      </c>
      <c r="E266">
        <v>1</v>
      </c>
      <c r="F266">
        <v>1</v>
      </c>
      <c r="G266">
        <v>1</v>
      </c>
      <c r="H266">
        <v>3</v>
      </c>
      <c r="I266" t="s">
        <v>315</v>
      </c>
      <c r="J266" t="s">
        <v>317</v>
      </c>
      <c r="K266" t="s">
        <v>316</v>
      </c>
      <c r="L266">
        <v>1348</v>
      </c>
      <c r="N266">
        <v>1009</v>
      </c>
      <c r="O266" t="s">
        <v>71</v>
      </c>
      <c r="P266" t="s">
        <v>71</v>
      </c>
      <c r="Q266">
        <v>1000</v>
      </c>
      <c r="W266">
        <v>0</v>
      </c>
      <c r="X266">
        <v>1703037467</v>
      </c>
      <c r="Y266">
        <v>1.9</v>
      </c>
      <c r="AA266">
        <v>3412.2</v>
      </c>
      <c r="AB266">
        <v>0</v>
      </c>
      <c r="AC266">
        <v>0</v>
      </c>
      <c r="AD266">
        <v>0</v>
      </c>
      <c r="AE266">
        <v>712.36</v>
      </c>
      <c r="AF266">
        <v>0</v>
      </c>
      <c r="AG266">
        <v>0</v>
      </c>
      <c r="AH266">
        <v>0</v>
      </c>
      <c r="AI266">
        <v>4.79</v>
      </c>
      <c r="AJ266">
        <v>1</v>
      </c>
      <c r="AK266">
        <v>1</v>
      </c>
      <c r="AL266">
        <v>1</v>
      </c>
      <c r="AN266">
        <v>0</v>
      </c>
      <c r="AO266">
        <v>0</v>
      </c>
      <c r="AP266">
        <v>0</v>
      </c>
      <c r="AQ266">
        <v>0</v>
      </c>
      <c r="AR266">
        <v>0</v>
      </c>
      <c r="AS266" t="s">
        <v>3</v>
      </c>
      <c r="AT266">
        <v>1.9</v>
      </c>
      <c r="AU266" t="s">
        <v>3</v>
      </c>
      <c r="AV266">
        <v>0</v>
      </c>
      <c r="AW266">
        <v>1</v>
      </c>
      <c r="AX266">
        <v>-1</v>
      </c>
      <c r="AY266">
        <v>0</v>
      </c>
      <c r="AZ266">
        <v>0</v>
      </c>
      <c r="BA266" t="s">
        <v>3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Y266*Source!I98</f>
        <v>0.12920000000000001</v>
      </c>
      <c r="CY266">
        <f>AA266</f>
        <v>3412.2</v>
      </c>
      <c r="CZ266">
        <f>AE266</f>
        <v>712.36</v>
      </c>
      <c r="DA266">
        <f>AI266</f>
        <v>4.79</v>
      </c>
      <c r="DB266">
        <f>ROUND(ROUND(AT266*CZ266,2),2)</f>
        <v>1353.48</v>
      </c>
      <c r="DC266">
        <f>ROUND(ROUND(AT266*AG266,2),2)</f>
        <v>0</v>
      </c>
    </row>
    <row r="267" spans="1:107" x14ac:dyDescent="0.2">
      <c r="A267">
        <f>ROW(Source!A100)</f>
        <v>100</v>
      </c>
      <c r="B267">
        <v>68990560</v>
      </c>
      <c r="C267">
        <v>68991652</v>
      </c>
      <c r="D267">
        <v>64240991</v>
      </c>
      <c r="E267">
        <v>56</v>
      </c>
      <c r="F267">
        <v>1</v>
      </c>
      <c r="G267">
        <v>1</v>
      </c>
      <c r="H267">
        <v>1</v>
      </c>
      <c r="I267" t="s">
        <v>980</v>
      </c>
      <c r="J267" t="s">
        <v>3</v>
      </c>
      <c r="K267" t="s">
        <v>981</v>
      </c>
      <c r="L267">
        <v>1191</v>
      </c>
      <c r="N267">
        <v>1013</v>
      </c>
      <c r="O267" t="s">
        <v>818</v>
      </c>
      <c r="P267" t="s">
        <v>818</v>
      </c>
      <c r="Q267">
        <v>1</v>
      </c>
      <c r="W267">
        <v>0</v>
      </c>
      <c r="X267">
        <v>145020957</v>
      </c>
      <c r="Y267">
        <v>8.3524499999999993</v>
      </c>
      <c r="AA267">
        <v>0</v>
      </c>
      <c r="AB267">
        <v>0</v>
      </c>
      <c r="AC267">
        <v>0</v>
      </c>
      <c r="AD267">
        <v>9.07</v>
      </c>
      <c r="AE267">
        <v>0</v>
      </c>
      <c r="AF267">
        <v>0</v>
      </c>
      <c r="AG267">
        <v>0</v>
      </c>
      <c r="AH267">
        <v>9.07</v>
      </c>
      <c r="AI267">
        <v>1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1</v>
      </c>
      <c r="AQ267">
        <v>0</v>
      </c>
      <c r="AR267">
        <v>0</v>
      </c>
      <c r="AS267" t="s">
        <v>3</v>
      </c>
      <c r="AT267">
        <v>5.38</v>
      </c>
      <c r="AU267" t="s">
        <v>147</v>
      </c>
      <c r="AV267">
        <v>1</v>
      </c>
      <c r="AW267">
        <v>2</v>
      </c>
      <c r="AX267">
        <v>68991653</v>
      </c>
      <c r="AY267">
        <v>1</v>
      </c>
      <c r="AZ267">
        <v>0</v>
      </c>
      <c r="BA267">
        <v>275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Y267*Source!I100</f>
        <v>3.5915534999999998E-2</v>
      </c>
      <c r="CY267">
        <f>AD267</f>
        <v>9.07</v>
      </c>
      <c r="CZ267">
        <f>AH267</f>
        <v>9.07</v>
      </c>
      <c r="DA267">
        <f>AL267</f>
        <v>1</v>
      </c>
      <c r="DB267">
        <f>ROUND(((ROUND(AT267*CZ267,2)*1.15)*1.35),2)</f>
        <v>75.760000000000005</v>
      </c>
      <c r="DC267">
        <f>ROUND(((ROUND(AT267*AG267,2)*1.15)*1.35),2)</f>
        <v>0</v>
      </c>
    </row>
    <row r="268" spans="1:107" x14ac:dyDescent="0.2">
      <c r="A268">
        <f>ROW(Source!A100)</f>
        <v>100</v>
      </c>
      <c r="B268">
        <v>68990560</v>
      </c>
      <c r="C268">
        <v>68991652</v>
      </c>
      <c r="D268">
        <v>64241154</v>
      </c>
      <c r="E268">
        <v>56</v>
      </c>
      <c r="F268">
        <v>1</v>
      </c>
      <c r="G268">
        <v>1</v>
      </c>
      <c r="H268">
        <v>1</v>
      </c>
      <c r="I268" t="s">
        <v>819</v>
      </c>
      <c r="J268" t="s">
        <v>3</v>
      </c>
      <c r="K268" t="s">
        <v>820</v>
      </c>
      <c r="L268">
        <v>1191</v>
      </c>
      <c r="N268">
        <v>1013</v>
      </c>
      <c r="O268" t="s">
        <v>818</v>
      </c>
      <c r="P268" t="s">
        <v>818</v>
      </c>
      <c r="Q268">
        <v>1</v>
      </c>
      <c r="W268">
        <v>0</v>
      </c>
      <c r="X268">
        <v>-1417349443</v>
      </c>
      <c r="Y268">
        <v>3.3750000000000002E-2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1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1</v>
      </c>
      <c r="AQ268">
        <v>0</v>
      </c>
      <c r="AR268">
        <v>0</v>
      </c>
      <c r="AS268" t="s">
        <v>3</v>
      </c>
      <c r="AT268">
        <v>0.02</v>
      </c>
      <c r="AU268" t="s">
        <v>146</v>
      </c>
      <c r="AV268">
        <v>2</v>
      </c>
      <c r="AW268">
        <v>2</v>
      </c>
      <c r="AX268">
        <v>68991654</v>
      </c>
      <c r="AY268">
        <v>1</v>
      </c>
      <c r="AZ268">
        <v>0</v>
      </c>
      <c r="BA268">
        <v>276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Y268*Source!I100</f>
        <v>1.4512500000000002E-4</v>
      </c>
      <c r="CY268">
        <f>AD268</f>
        <v>0</v>
      </c>
      <c r="CZ268">
        <f>AH268</f>
        <v>0</v>
      </c>
      <c r="DA268">
        <f>AL268</f>
        <v>1</v>
      </c>
      <c r="DB268">
        <f>ROUND(((ROUND(AT268*CZ268,2)*1.25)*1.35),2)</f>
        <v>0</v>
      </c>
      <c r="DC268">
        <f>ROUND(((ROUND(AT268*AG268,2)*1.25)*1.35),2)</f>
        <v>0</v>
      </c>
    </row>
    <row r="269" spans="1:107" x14ac:dyDescent="0.2">
      <c r="A269">
        <f>ROW(Source!A100)</f>
        <v>100</v>
      </c>
      <c r="B269">
        <v>68990560</v>
      </c>
      <c r="C269">
        <v>68991652</v>
      </c>
      <c r="D269">
        <v>64401902</v>
      </c>
      <c r="E269">
        <v>1</v>
      </c>
      <c r="F269">
        <v>1</v>
      </c>
      <c r="G269">
        <v>1</v>
      </c>
      <c r="H269">
        <v>2</v>
      </c>
      <c r="I269" t="s">
        <v>1112</v>
      </c>
      <c r="J269" t="s">
        <v>1113</v>
      </c>
      <c r="K269" t="s">
        <v>1114</v>
      </c>
      <c r="L269">
        <v>1368</v>
      </c>
      <c r="N269">
        <v>1011</v>
      </c>
      <c r="O269" t="s">
        <v>824</v>
      </c>
      <c r="P269" t="s">
        <v>824</v>
      </c>
      <c r="Q269">
        <v>1</v>
      </c>
      <c r="W269">
        <v>0</v>
      </c>
      <c r="X269">
        <v>1166455747</v>
      </c>
      <c r="Y269">
        <v>1.6875000000000001E-2</v>
      </c>
      <c r="AA269">
        <v>0</v>
      </c>
      <c r="AB269">
        <v>7.63</v>
      </c>
      <c r="AC269">
        <v>0</v>
      </c>
      <c r="AD269">
        <v>0</v>
      </c>
      <c r="AE269">
        <v>0</v>
      </c>
      <c r="AF269">
        <v>1.7</v>
      </c>
      <c r="AG269">
        <v>0</v>
      </c>
      <c r="AH269">
        <v>0</v>
      </c>
      <c r="AI269">
        <v>1</v>
      </c>
      <c r="AJ269">
        <v>4.49</v>
      </c>
      <c r="AK269">
        <v>33.65</v>
      </c>
      <c r="AL269">
        <v>1</v>
      </c>
      <c r="AN269">
        <v>0</v>
      </c>
      <c r="AO269">
        <v>1</v>
      </c>
      <c r="AP269">
        <v>1</v>
      </c>
      <c r="AQ269">
        <v>0</v>
      </c>
      <c r="AR269">
        <v>0</v>
      </c>
      <c r="AS269" t="s">
        <v>3</v>
      </c>
      <c r="AT269">
        <v>0.01</v>
      </c>
      <c r="AU269" t="s">
        <v>146</v>
      </c>
      <c r="AV269">
        <v>0</v>
      </c>
      <c r="AW269">
        <v>2</v>
      </c>
      <c r="AX269">
        <v>68991655</v>
      </c>
      <c r="AY269">
        <v>1</v>
      </c>
      <c r="AZ269">
        <v>0</v>
      </c>
      <c r="BA269">
        <v>277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Y269*Source!I100</f>
        <v>7.2562500000000009E-5</v>
      </c>
      <c r="CY269">
        <f>AB269</f>
        <v>7.63</v>
      </c>
      <c r="CZ269">
        <f>AF269</f>
        <v>1.7</v>
      </c>
      <c r="DA269">
        <f>AJ269</f>
        <v>4.49</v>
      </c>
      <c r="DB269">
        <f>ROUND(((ROUND(AT269*CZ269,2)*1.25)*1.35),2)</f>
        <v>0.03</v>
      </c>
      <c r="DC269">
        <f>ROUND(((ROUND(AT269*AG269,2)*1.25)*1.35),2)</f>
        <v>0</v>
      </c>
    </row>
    <row r="270" spans="1:107" x14ac:dyDescent="0.2">
      <c r="A270">
        <f>ROW(Source!A100)</f>
        <v>100</v>
      </c>
      <c r="B270">
        <v>68990560</v>
      </c>
      <c r="C270">
        <v>68991652</v>
      </c>
      <c r="D270">
        <v>64401921</v>
      </c>
      <c r="E270">
        <v>1</v>
      </c>
      <c r="F270">
        <v>1</v>
      </c>
      <c r="G270">
        <v>1</v>
      </c>
      <c r="H270">
        <v>2</v>
      </c>
      <c r="I270" t="s">
        <v>1020</v>
      </c>
      <c r="J270" t="s">
        <v>1021</v>
      </c>
      <c r="K270" t="s">
        <v>1022</v>
      </c>
      <c r="L270">
        <v>1368</v>
      </c>
      <c r="N270">
        <v>1011</v>
      </c>
      <c r="O270" t="s">
        <v>824</v>
      </c>
      <c r="P270" t="s">
        <v>824</v>
      </c>
      <c r="Q270">
        <v>1</v>
      </c>
      <c r="W270">
        <v>0</v>
      </c>
      <c r="X270">
        <v>-833260626</v>
      </c>
      <c r="Y270">
        <v>1.6875000000000001E-2</v>
      </c>
      <c r="AA270">
        <v>0</v>
      </c>
      <c r="AB270">
        <v>685.72</v>
      </c>
      <c r="AC270">
        <v>338.52</v>
      </c>
      <c r="AD270">
        <v>0</v>
      </c>
      <c r="AE270">
        <v>0</v>
      </c>
      <c r="AF270">
        <v>89.99</v>
      </c>
      <c r="AG270">
        <v>10.06</v>
      </c>
      <c r="AH270">
        <v>0</v>
      </c>
      <c r="AI270">
        <v>1</v>
      </c>
      <c r="AJ270">
        <v>7.62</v>
      </c>
      <c r="AK270">
        <v>33.65</v>
      </c>
      <c r="AL270">
        <v>1</v>
      </c>
      <c r="AN270">
        <v>0</v>
      </c>
      <c r="AO270">
        <v>1</v>
      </c>
      <c r="AP270">
        <v>1</v>
      </c>
      <c r="AQ270">
        <v>0</v>
      </c>
      <c r="AR270">
        <v>0</v>
      </c>
      <c r="AS270" t="s">
        <v>3</v>
      </c>
      <c r="AT270">
        <v>0.01</v>
      </c>
      <c r="AU270" t="s">
        <v>146</v>
      </c>
      <c r="AV270">
        <v>0</v>
      </c>
      <c r="AW270">
        <v>2</v>
      </c>
      <c r="AX270">
        <v>68991656</v>
      </c>
      <c r="AY270">
        <v>1</v>
      </c>
      <c r="AZ270">
        <v>0</v>
      </c>
      <c r="BA270">
        <v>278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Y270*Source!I100</f>
        <v>7.2562500000000009E-5</v>
      </c>
      <c r="CY270">
        <f>AB270</f>
        <v>685.72</v>
      </c>
      <c r="CZ270">
        <f>AF270</f>
        <v>89.99</v>
      </c>
      <c r="DA270">
        <f>AJ270</f>
        <v>7.62</v>
      </c>
      <c r="DB270">
        <f>ROUND(((ROUND(AT270*CZ270,2)*1.25)*1.35),2)</f>
        <v>1.52</v>
      </c>
      <c r="DC270">
        <f>ROUND(((ROUND(AT270*AG270,2)*1.25)*1.35),2)</f>
        <v>0.17</v>
      </c>
    </row>
    <row r="271" spans="1:107" x14ac:dyDescent="0.2">
      <c r="A271">
        <f>ROW(Source!A100)</f>
        <v>100</v>
      </c>
      <c r="B271">
        <v>68990560</v>
      </c>
      <c r="C271">
        <v>68991652</v>
      </c>
      <c r="D271">
        <v>64402691</v>
      </c>
      <c r="E271">
        <v>1</v>
      </c>
      <c r="F271">
        <v>1</v>
      </c>
      <c r="G271">
        <v>1</v>
      </c>
      <c r="H271">
        <v>2</v>
      </c>
      <c r="I271" t="s">
        <v>825</v>
      </c>
      <c r="J271" t="s">
        <v>826</v>
      </c>
      <c r="K271" t="s">
        <v>827</v>
      </c>
      <c r="L271">
        <v>1368</v>
      </c>
      <c r="N271">
        <v>1011</v>
      </c>
      <c r="O271" t="s">
        <v>824</v>
      </c>
      <c r="P271" t="s">
        <v>824</v>
      </c>
      <c r="Q271">
        <v>1</v>
      </c>
      <c r="W271">
        <v>0</v>
      </c>
      <c r="X271">
        <v>-841254546</v>
      </c>
      <c r="Y271">
        <v>1.6875000000000001E-2</v>
      </c>
      <c r="AA271">
        <v>0</v>
      </c>
      <c r="AB271">
        <v>776.04</v>
      </c>
      <c r="AC271">
        <v>390.34</v>
      </c>
      <c r="AD271">
        <v>0</v>
      </c>
      <c r="AE271">
        <v>0</v>
      </c>
      <c r="AF271">
        <v>65.709999999999994</v>
      </c>
      <c r="AG271">
        <v>11.6</v>
      </c>
      <c r="AH271">
        <v>0</v>
      </c>
      <c r="AI271">
        <v>1</v>
      </c>
      <c r="AJ271">
        <v>11.81</v>
      </c>
      <c r="AK271">
        <v>33.65</v>
      </c>
      <c r="AL271">
        <v>1</v>
      </c>
      <c r="AN271">
        <v>0</v>
      </c>
      <c r="AO271">
        <v>1</v>
      </c>
      <c r="AP271">
        <v>1</v>
      </c>
      <c r="AQ271">
        <v>0</v>
      </c>
      <c r="AR271">
        <v>0</v>
      </c>
      <c r="AS271" t="s">
        <v>3</v>
      </c>
      <c r="AT271">
        <v>0.01</v>
      </c>
      <c r="AU271" t="s">
        <v>146</v>
      </c>
      <c r="AV271">
        <v>0</v>
      </c>
      <c r="AW271">
        <v>2</v>
      </c>
      <c r="AX271">
        <v>68991657</v>
      </c>
      <c r="AY271">
        <v>1</v>
      </c>
      <c r="AZ271">
        <v>0</v>
      </c>
      <c r="BA271">
        <v>279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Y271*Source!I100</f>
        <v>7.2562500000000009E-5</v>
      </c>
      <c r="CY271">
        <f>AB271</f>
        <v>776.04</v>
      </c>
      <c r="CZ271">
        <f>AF271</f>
        <v>65.709999999999994</v>
      </c>
      <c r="DA271">
        <f>AJ271</f>
        <v>11.81</v>
      </c>
      <c r="DB271">
        <f>ROUND(((ROUND(AT271*CZ271,2)*1.25)*1.35),2)</f>
        <v>1.1100000000000001</v>
      </c>
      <c r="DC271">
        <f>ROUND(((ROUND(AT271*AG271,2)*1.25)*1.35),2)</f>
        <v>0.2</v>
      </c>
    </row>
    <row r="272" spans="1:107" x14ac:dyDescent="0.2">
      <c r="A272">
        <f>ROW(Source!A100)</f>
        <v>100</v>
      </c>
      <c r="B272">
        <v>68990560</v>
      </c>
      <c r="C272">
        <v>68991652</v>
      </c>
      <c r="D272">
        <v>64403327</v>
      </c>
      <c r="E272">
        <v>1</v>
      </c>
      <c r="F272">
        <v>1</v>
      </c>
      <c r="G272">
        <v>1</v>
      </c>
      <c r="H272">
        <v>2</v>
      </c>
      <c r="I272" t="s">
        <v>1115</v>
      </c>
      <c r="J272" t="s">
        <v>1116</v>
      </c>
      <c r="K272" t="s">
        <v>1117</v>
      </c>
      <c r="L272">
        <v>1368</v>
      </c>
      <c r="N272">
        <v>1011</v>
      </c>
      <c r="O272" t="s">
        <v>824</v>
      </c>
      <c r="P272" t="s">
        <v>824</v>
      </c>
      <c r="Q272">
        <v>1</v>
      </c>
      <c r="W272">
        <v>0</v>
      </c>
      <c r="X272">
        <v>-569059459</v>
      </c>
      <c r="Y272">
        <v>1.096875</v>
      </c>
      <c r="AA272">
        <v>0</v>
      </c>
      <c r="AB272">
        <v>37.24</v>
      </c>
      <c r="AC272">
        <v>0</v>
      </c>
      <c r="AD272">
        <v>0</v>
      </c>
      <c r="AE272">
        <v>0</v>
      </c>
      <c r="AF272">
        <v>6.82</v>
      </c>
      <c r="AG272">
        <v>0</v>
      </c>
      <c r="AH272">
        <v>0</v>
      </c>
      <c r="AI272">
        <v>1</v>
      </c>
      <c r="AJ272">
        <v>5.46</v>
      </c>
      <c r="AK272">
        <v>33.65</v>
      </c>
      <c r="AL272">
        <v>1</v>
      </c>
      <c r="AN272">
        <v>0</v>
      </c>
      <c r="AO272">
        <v>1</v>
      </c>
      <c r="AP272">
        <v>1</v>
      </c>
      <c r="AQ272">
        <v>0</v>
      </c>
      <c r="AR272">
        <v>0</v>
      </c>
      <c r="AS272" t="s">
        <v>3</v>
      </c>
      <c r="AT272">
        <v>0.65</v>
      </c>
      <c r="AU272" t="s">
        <v>146</v>
      </c>
      <c r="AV272">
        <v>0</v>
      </c>
      <c r="AW272">
        <v>2</v>
      </c>
      <c r="AX272">
        <v>68991658</v>
      </c>
      <c r="AY272">
        <v>1</v>
      </c>
      <c r="AZ272">
        <v>0</v>
      </c>
      <c r="BA272">
        <v>280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Y272*Source!I100</f>
        <v>4.7165625000000003E-3</v>
      </c>
      <c r="CY272">
        <f>AB272</f>
        <v>37.24</v>
      </c>
      <c r="CZ272">
        <f>AF272</f>
        <v>6.82</v>
      </c>
      <c r="DA272">
        <f>AJ272</f>
        <v>5.46</v>
      </c>
      <c r="DB272">
        <f>ROUND(((ROUND(AT272*CZ272,2)*1.25)*1.35),2)</f>
        <v>7.48</v>
      </c>
      <c r="DC272">
        <f>ROUND(((ROUND(AT272*AG272,2)*1.25)*1.35),2)</f>
        <v>0</v>
      </c>
    </row>
    <row r="273" spans="1:107" x14ac:dyDescent="0.2">
      <c r="A273">
        <f>ROW(Source!A100)</f>
        <v>100</v>
      </c>
      <c r="B273">
        <v>68990560</v>
      </c>
      <c r="C273">
        <v>68991652</v>
      </c>
      <c r="D273">
        <v>64284478</v>
      </c>
      <c r="E273">
        <v>1</v>
      </c>
      <c r="F273">
        <v>1</v>
      </c>
      <c r="G273">
        <v>1</v>
      </c>
      <c r="H273">
        <v>3</v>
      </c>
      <c r="I273" t="s">
        <v>1118</v>
      </c>
      <c r="J273" t="s">
        <v>1119</v>
      </c>
      <c r="K273" t="s">
        <v>1120</v>
      </c>
      <c r="L273">
        <v>1348</v>
      </c>
      <c r="N273">
        <v>1009</v>
      </c>
      <c r="O273" t="s">
        <v>71</v>
      </c>
      <c r="P273" t="s">
        <v>71</v>
      </c>
      <c r="Q273">
        <v>1000</v>
      </c>
      <c r="W273">
        <v>0</v>
      </c>
      <c r="X273">
        <v>190950036</v>
      </c>
      <c r="Y273">
        <v>8.9999999999999993E-3</v>
      </c>
      <c r="AA273">
        <v>79840</v>
      </c>
      <c r="AB273">
        <v>0</v>
      </c>
      <c r="AC273">
        <v>0</v>
      </c>
      <c r="AD273">
        <v>0</v>
      </c>
      <c r="AE273">
        <v>24950</v>
      </c>
      <c r="AF273">
        <v>0</v>
      </c>
      <c r="AG273">
        <v>0</v>
      </c>
      <c r="AH273">
        <v>0</v>
      </c>
      <c r="AI273">
        <v>3.2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0</v>
      </c>
      <c r="AQ273">
        <v>0</v>
      </c>
      <c r="AR273">
        <v>0</v>
      </c>
      <c r="AS273" t="s">
        <v>3</v>
      </c>
      <c r="AT273">
        <v>8.9999999999999993E-3</v>
      </c>
      <c r="AU273" t="s">
        <v>3</v>
      </c>
      <c r="AV273">
        <v>0</v>
      </c>
      <c r="AW273">
        <v>2</v>
      </c>
      <c r="AX273">
        <v>68991659</v>
      </c>
      <c r="AY273">
        <v>1</v>
      </c>
      <c r="AZ273">
        <v>0</v>
      </c>
      <c r="BA273">
        <v>281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Y273*Source!I100</f>
        <v>3.8699999999999999E-5</v>
      </c>
      <c r="CY273">
        <f>AA273</f>
        <v>79840</v>
      </c>
      <c r="CZ273">
        <f>AE273</f>
        <v>24950</v>
      </c>
      <c r="DA273">
        <f>AI273</f>
        <v>3.2</v>
      </c>
      <c r="DB273">
        <f>ROUND(ROUND(AT273*CZ273,2),2)</f>
        <v>224.55</v>
      </c>
      <c r="DC273">
        <f>ROUND(ROUND(AT273*AG273,2),2)</f>
        <v>0</v>
      </c>
    </row>
    <row r="274" spans="1:107" x14ac:dyDescent="0.2">
      <c r="A274">
        <f>ROW(Source!A100)</f>
        <v>100</v>
      </c>
      <c r="B274">
        <v>68990560</v>
      </c>
      <c r="C274">
        <v>68991652</v>
      </c>
      <c r="D274">
        <v>64285001</v>
      </c>
      <c r="E274">
        <v>1</v>
      </c>
      <c r="F274">
        <v>1</v>
      </c>
      <c r="G274">
        <v>1</v>
      </c>
      <c r="H274">
        <v>3</v>
      </c>
      <c r="I274" t="s">
        <v>1121</v>
      </c>
      <c r="J274" t="s">
        <v>1122</v>
      </c>
      <c r="K274" t="s">
        <v>1123</v>
      </c>
      <c r="L274">
        <v>1348</v>
      </c>
      <c r="N274">
        <v>1009</v>
      </c>
      <c r="O274" t="s">
        <v>71</v>
      </c>
      <c r="P274" t="s">
        <v>71</v>
      </c>
      <c r="Q274">
        <v>1000</v>
      </c>
      <c r="W274">
        <v>0</v>
      </c>
      <c r="X274">
        <v>-1150552056</v>
      </c>
      <c r="Y274">
        <v>1.4E-3</v>
      </c>
      <c r="AA274">
        <v>74566.399999999994</v>
      </c>
      <c r="AB274">
        <v>0</v>
      </c>
      <c r="AC274">
        <v>0</v>
      </c>
      <c r="AD274">
        <v>0</v>
      </c>
      <c r="AE274">
        <v>7640</v>
      </c>
      <c r="AF274">
        <v>0</v>
      </c>
      <c r="AG274">
        <v>0</v>
      </c>
      <c r="AH274">
        <v>0</v>
      </c>
      <c r="AI274">
        <v>9.76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0</v>
      </c>
      <c r="AQ274">
        <v>0</v>
      </c>
      <c r="AR274">
        <v>0</v>
      </c>
      <c r="AS274" t="s">
        <v>3</v>
      </c>
      <c r="AT274">
        <v>1.4E-3</v>
      </c>
      <c r="AU274" t="s">
        <v>3</v>
      </c>
      <c r="AV274">
        <v>0</v>
      </c>
      <c r="AW274">
        <v>2</v>
      </c>
      <c r="AX274">
        <v>68991660</v>
      </c>
      <c r="AY274">
        <v>1</v>
      </c>
      <c r="AZ274">
        <v>0</v>
      </c>
      <c r="BA274">
        <v>282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Y274*Source!I100</f>
        <v>6.02E-6</v>
      </c>
      <c r="CY274">
        <f>AA274</f>
        <v>74566.399999999994</v>
      </c>
      <c r="CZ274">
        <f>AE274</f>
        <v>7640</v>
      </c>
      <c r="DA274">
        <f>AI274</f>
        <v>9.76</v>
      </c>
      <c r="DB274">
        <f>ROUND(ROUND(AT274*CZ274,2),2)</f>
        <v>10.7</v>
      </c>
      <c r="DC274">
        <f>ROUND(ROUND(AT274*AG274,2),2)</f>
        <v>0</v>
      </c>
    </row>
    <row r="275" spans="1:107" x14ac:dyDescent="0.2">
      <c r="A275">
        <f>ROW(Source!A101)</f>
        <v>101</v>
      </c>
      <c r="B275">
        <v>68990560</v>
      </c>
      <c r="C275">
        <v>68991662</v>
      </c>
      <c r="D275">
        <v>37070164</v>
      </c>
      <c r="E275">
        <v>56</v>
      </c>
      <c r="F275">
        <v>1</v>
      </c>
      <c r="G275">
        <v>1</v>
      </c>
      <c r="H275">
        <v>1</v>
      </c>
      <c r="I275" t="s">
        <v>1077</v>
      </c>
      <c r="J275" t="s">
        <v>3</v>
      </c>
      <c r="K275" t="s">
        <v>1078</v>
      </c>
      <c r="L275">
        <v>1191</v>
      </c>
      <c r="N275">
        <v>1013</v>
      </c>
      <c r="O275" t="s">
        <v>818</v>
      </c>
      <c r="P275" t="s">
        <v>818</v>
      </c>
      <c r="Q275">
        <v>1</v>
      </c>
      <c r="W275">
        <v>0</v>
      </c>
      <c r="X275">
        <v>-598469600</v>
      </c>
      <c r="Y275">
        <v>19.592549999999999</v>
      </c>
      <c r="AA275">
        <v>0</v>
      </c>
      <c r="AB275">
        <v>0</v>
      </c>
      <c r="AC275">
        <v>0</v>
      </c>
      <c r="AD275">
        <v>9.2899999999999991</v>
      </c>
      <c r="AE275">
        <v>0</v>
      </c>
      <c r="AF275">
        <v>0</v>
      </c>
      <c r="AG275">
        <v>0</v>
      </c>
      <c r="AH275">
        <v>9.2899999999999991</v>
      </c>
      <c r="AI275">
        <v>1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3</v>
      </c>
      <c r="AT275">
        <v>12.62</v>
      </c>
      <c r="AU275" t="s">
        <v>147</v>
      </c>
      <c r="AV275">
        <v>1</v>
      </c>
      <c r="AW275">
        <v>2</v>
      </c>
      <c r="AX275">
        <v>68991668</v>
      </c>
      <c r="AY275">
        <v>1</v>
      </c>
      <c r="AZ275">
        <v>0</v>
      </c>
      <c r="BA275">
        <v>283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Y275*Source!I101</f>
        <v>2.8996973999999995</v>
      </c>
      <c r="CY275">
        <f>AD275</f>
        <v>9.2899999999999991</v>
      </c>
      <c r="CZ275">
        <f>AH275</f>
        <v>9.2899999999999991</v>
      </c>
      <c r="DA275">
        <f>AL275</f>
        <v>1</v>
      </c>
      <c r="DB275">
        <f>ROUND(((ROUND(AT275*CZ275,2)*1.15)*1.35),2)</f>
        <v>182.02</v>
      </c>
      <c r="DC275">
        <f>ROUND(((ROUND(AT275*AG275,2)*1.15)*1.35),2)</f>
        <v>0</v>
      </c>
    </row>
    <row r="276" spans="1:107" x14ac:dyDescent="0.2">
      <c r="A276">
        <f>ROW(Source!A101)</f>
        <v>101</v>
      </c>
      <c r="B276">
        <v>68990560</v>
      </c>
      <c r="C276">
        <v>68991662</v>
      </c>
      <c r="D276">
        <v>37064876</v>
      </c>
      <c r="E276">
        <v>56</v>
      </c>
      <c r="F276">
        <v>1</v>
      </c>
      <c r="G276">
        <v>1</v>
      </c>
      <c r="H276">
        <v>1</v>
      </c>
      <c r="I276" t="s">
        <v>819</v>
      </c>
      <c r="J276" t="s">
        <v>3</v>
      </c>
      <c r="K276" t="s">
        <v>820</v>
      </c>
      <c r="L276">
        <v>1191</v>
      </c>
      <c r="N276">
        <v>1013</v>
      </c>
      <c r="O276" t="s">
        <v>818</v>
      </c>
      <c r="P276" t="s">
        <v>818</v>
      </c>
      <c r="Q276">
        <v>1</v>
      </c>
      <c r="W276">
        <v>0</v>
      </c>
      <c r="X276">
        <v>-1417349443</v>
      </c>
      <c r="Y276">
        <v>8.4375000000000006E-2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1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1</v>
      </c>
      <c r="AQ276">
        <v>0</v>
      </c>
      <c r="AR276">
        <v>0</v>
      </c>
      <c r="AS276" t="s">
        <v>3</v>
      </c>
      <c r="AT276">
        <v>0.05</v>
      </c>
      <c r="AU276" t="s">
        <v>146</v>
      </c>
      <c r="AV276">
        <v>2</v>
      </c>
      <c r="AW276">
        <v>2</v>
      </c>
      <c r="AX276">
        <v>68991669</v>
      </c>
      <c r="AY276">
        <v>1</v>
      </c>
      <c r="AZ276">
        <v>0</v>
      </c>
      <c r="BA276">
        <v>284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Y276*Source!I101</f>
        <v>1.24875E-2</v>
      </c>
      <c r="CY276">
        <f>AD276</f>
        <v>0</v>
      </c>
      <c r="CZ276">
        <f>AH276</f>
        <v>0</v>
      </c>
      <c r="DA276">
        <f>AL276</f>
        <v>1</v>
      </c>
      <c r="DB276">
        <f>ROUND(((ROUND(AT276*CZ276,2)*1.25)*1.35),2)</f>
        <v>0</v>
      </c>
      <c r="DC276">
        <f>ROUND(((ROUND(AT276*AG276,2)*1.25)*1.35),2)</f>
        <v>0</v>
      </c>
    </row>
    <row r="277" spans="1:107" x14ac:dyDescent="0.2">
      <c r="A277">
        <f>ROW(Source!A101)</f>
        <v>101</v>
      </c>
      <c r="B277">
        <v>68990560</v>
      </c>
      <c r="C277">
        <v>68991662</v>
      </c>
      <c r="D277">
        <v>64402691</v>
      </c>
      <c r="E277">
        <v>1</v>
      </c>
      <c r="F277">
        <v>1</v>
      </c>
      <c r="G277">
        <v>1</v>
      </c>
      <c r="H277">
        <v>2</v>
      </c>
      <c r="I277" t="s">
        <v>825</v>
      </c>
      <c r="J277" t="s">
        <v>826</v>
      </c>
      <c r="K277" t="s">
        <v>827</v>
      </c>
      <c r="L277">
        <v>1368</v>
      </c>
      <c r="N277">
        <v>1011</v>
      </c>
      <c r="O277" t="s">
        <v>824</v>
      </c>
      <c r="P277" t="s">
        <v>824</v>
      </c>
      <c r="Q277">
        <v>1</v>
      </c>
      <c r="W277">
        <v>0</v>
      </c>
      <c r="X277">
        <v>-841254546</v>
      </c>
      <c r="Y277">
        <v>8.4375000000000006E-2</v>
      </c>
      <c r="AA277">
        <v>0</v>
      </c>
      <c r="AB277">
        <v>776.04</v>
      </c>
      <c r="AC277">
        <v>390.34</v>
      </c>
      <c r="AD277">
        <v>0</v>
      </c>
      <c r="AE277">
        <v>0</v>
      </c>
      <c r="AF277">
        <v>65.709999999999994</v>
      </c>
      <c r="AG277">
        <v>11.6</v>
      </c>
      <c r="AH277">
        <v>0</v>
      </c>
      <c r="AI277">
        <v>1</v>
      </c>
      <c r="AJ277">
        <v>11.81</v>
      </c>
      <c r="AK277">
        <v>33.65</v>
      </c>
      <c r="AL277">
        <v>1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3</v>
      </c>
      <c r="AT277">
        <v>0.05</v>
      </c>
      <c r="AU277" t="s">
        <v>146</v>
      </c>
      <c r="AV277">
        <v>0</v>
      </c>
      <c r="AW277">
        <v>2</v>
      </c>
      <c r="AX277">
        <v>68991670</v>
      </c>
      <c r="AY277">
        <v>1</v>
      </c>
      <c r="AZ277">
        <v>0</v>
      </c>
      <c r="BA277">
        <v>285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Y277*Source!I101</f>
        <v>1.24875E-2</v>
      </c>
      <c r="CY277">
        <f>AB277</f>
        <v>776.04</v>
      </c>
      <c r="CZ277">
        <f>AF277</f>
        <v>65.709999999999994</v>
      </c>
      <c r="DA277">
        <f>AJ277</f>
        <v>11.81</v>
      </c>
      <c r="DB277">
        <f>ROUND(((ROUND(AT277*CZ277,2)*1.25)*1.35),2)</f>
        <v>5.55</v>
      </c>
      <c r="DC277">
        <f>ROUND(((ROUND(AT277*AG277,2)*1.25)*1.35),2)</f>
        <v>0.98</v>
      </c>
    </row>
    <row r="278" spans="1:107" x14ac:dyDescent="0.2">
      <c r="A278">
        <f>ROW(Source!A101)</f>
        <v>101</v>
      </c>
      <c r="B278">
        <v>68990560</v>
      </c>
      <c r="C278">
        <v>68991662</v>
      </c>
      <c r="D278">
        <v>64255522</v>
      </c>
      <c r="E278">
        <v>1</v>
      </c>
      <c r="F278">
        <v>1</v>
      </c>
      <c r="G278">
        <v>1</v>
      </c>
      <c r="H278">
        <v>3</v>
      </c>
      <c r="I278" t="s">
        <v>1124</v>
      </c>
      <c r="J278" t="s">
        <v>1125</v>
      </c>
      <c r="K278" t="s">
        <v>1126</v>
      </c>
      <c r="L278">
        <v>1348</v>
      </c>
      <c r="N278">
        <v>1009</v>
      </c>
      <c r="O278" t="s">
        <v>71</v>
      </c>
      <c r="P278" t="s">
        <v>71</v>
      </c>
      <c r="Q278">
        <v>1000</v>
      </c>
      <c r="W278">
        <v>0</v>
      </c>
      <c r="X278">
        <v>-581897436</v>
      </c>
      <c r="Y278">
        <v>7.5000000000000002E-4</v>
      </c>
      <c r="AA278">
        <v>63144.4</v>
      </c>
      <c r="AB278">
        <v>0</v>
      </c>
      <c r="AC278">
        <v>0</v>
      </c>
      <c r="AD278">
        <v>0</v>
      </c>
      <c r="AE278">
        <v>12430</v>
      </c>
      <c r="AF278">
        <v>0</v>
      </c>
      <c r="AG278">
        <v>0</v>
      </c>
      <c r="AH278">
        <v>0</v>
      </c>
      <c r="AI278">
        <v>5.08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3</v>
      </c>
      <c r="AT278">
        <v>7.5000000000000002E-4</v>
      </c>
      <c r="AU278" t="s">
        <v>3</v>
      </c>
      <c r="AV278">
        <v>0</v>
      </c>
      <c r="AW278">
        <v>2</v>
      </c>
      <c r="AX278">
        <v>68991671</v>
      </c>
      <c r="AY278">
        <v>1</v>
      </c>
      <c r="AZ278">
        <v>0</v>
      </c>
      <c r="BA278">
        <v>286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Y278*Source!I101</f>
        <v>1.11E-4</v>
      </c>
      <c r="CY278">
        <f>AA278</f>
        <v>63144.4</v>
      </c>
      <c r="CZ278">
        <f>AE278</f>
        <v>12430</v>
      </c>
      <c r="DA278">
        <f>AI278</f>
        <v>5.08</v>
      </c>
      <c r="DB278">
        <f>ROUND(ROUND(AT278*CZ278,2),2)</f>
        <v>9.32</v>
      </c>
      <c r="DC278">
        <f>ROUND(ROUND(AT278*AG278,2),2)</f>
        <v>0</v>
      </c>
    </row>
    <row r="279" spans="1:107" x14ac:dyDescent="0.2">
      <c r="A279">
        <f>ROW(Source!A101)</f>
        <v>101</v>
      </c>
      <c r="B279">
        <v>68990560</v>
      </c>
      <c r="C279">
        <v>68991662</v>
      </c>
      <c r="D279">
        <v>53730599</v>
      </c>
      <c r="E279">
        <v>1</v>
      </c>
      <c r="F279">
        <v>1</v>
      </c>
      <c r="G279">
        <v>1</v>
      </c>
      <c r="H279">
        <v>3</v>
      </c>
      <c r="I279" t="s">
        <v>344</v>
      </c>
      <c r="J279" t="s">
        <v>346</v>
      </c>
      <c r="K279" t="s">
        <v>345</v>
      </c>
      <c r="L279">
        <v>1348</v>
      </c>
      <c r="N279">
        <v>1009</v>
      </c>
      <c r="O279" t="s">
        <v>71</v>
      </c>
      <c r="P279" t="s">
        <v>71</v>
      </c>
      <c r="Q279">
        <v>1000</v>
      </c>
      <c r="W279">
        <v>0</v>
      </c>
      <c r="X279">
        <v>116446588</v>
      </c>
      <c r="Y279">
        <v>0.236486</v>
      </c>
      <c r="AA279">
        <v>49952.3</v>
      </c>
      <c r="AB279">
        <v>0</v>
      </c>
      <c r="AC279">
        <v>0</v>
      </c>
      <c r="AD279">
        <v>0</v>
      </c>
      <c r="AE279">
        <v>4097.8100000000004</v>
      </c>
      <c r="AF279">
        <v>0</v>
      </c>
      <c r="AG279">
        <v>0</v>
      </c>
      <c r="AH279">
        <v>0</v>
      </c>
      <c r="AI279">
        <v>12.19</v>
      </c>
      <c r="AJ279">
        <v>1</v>
      </c>
      <c r="AK279">
        <v>1</v>
      </c>
      <c r="AL279">
        <v>1</v>
      </c>
      <c r="AN279">
        <v>0</v>
      </c>
      <c r="AO279">
        <v>0</v>
      </c>
      <c r="AP279">
        <v>0</v>
      </c>
      <c r="AQ279">
        <v>0</v>
      </c>
      <c r="AR279">
        <v>0</v>
      </c>
      <c r="AS279" t="s">
        <v>3</v>
      </c>
      <c r="AT279">
        <v>0.236486</v>
      </c>
      <c r="AU279" t="s">
        <v>3</v>
      </c>
      <c r="AV279">
        <v>0</v>
      </c>
      <c r="AW279">
        <v>1</v>
      </c>
      <c r="AX279">
        <v>-1</v>
      </c>
      <c r="AY279">
        <v>0</v>
      </c>
      <c r="AZ279">
        <v>0</v>
      </c>
      <c r="BA279" t="s">
        <v>3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Y279*Source!I101</f>
        <v>3.4999928E-2</v>
      </c>
      <c r="CY279">
        <f>AA279</f>
        <v>49952.3</v>
      </c>
      <c r="CZ279">
        <f>AE279</f>
        <v>4097.8100000000004</v>
      </c>
      <c r="DA279">
        <f>AI279</f>
        <v>12.19</v>
      </c>
      <c r="DB279">
        <f>ROUND(ROUND(AT279*CZ279,2),2)</f>
        <v>969.07</v>
      </c>
      <c r="DC279">
        <f>ROUND(ROUND(AT279*AG279,2),2)</f>
        <v>0</v>
      </c>
    </row>
    <row r="280" spans="1:107" x14ac:dyDescent="0.2">
      <c r="A280">
        <f>ROW(Source!A103)</f>
        <v>103</v>
      </c>
      <c r="B280">
        <v>68990560</v>
      </c>
      <c r="C280">
        <v>68991678</v>
      </c>
      <c r="D280">
        <v>37080781</v>
      </c>
      <c r="E280">
        <v>56</v>
      </c>
      <c r="F280">
        <v>1</v>
      </c>
      <c r="G280">
        <v>1</v>
      </c>
      <c r="H280">
        <v>1</v>
      </c>
      <c r="I280" t="s">
        <v>816</v>
      </c>
      <c r="J280" t="s">
        <v>3</v>
      </c>
      <c r="K280" t="s">
        <v>817</v>
      </c>
      <c r="L280">
        <v>1191</v>
      </c>
      <c r="N280">
        <v>1013</v>
      </c>
      <c r="O280" t="s">
        <v>818</v>
      </c>
      <c r="P280" t="s">
        <v>818</v>
      </c>
      <c r="Q280">
        <v>1</v>
      </c>
      <c r="W280">
        <v>0</v>
      </c>
      <c r="X280">
        <v>912892513</v>
      </c>
      <c r="Y280">
        <v>1.7232749999999999</v>
      </c>
      <c r="AA280">
        <v>0</v>
      </c>
      <c r="AB280">
        <v>0</v>
      </c>
      <c r="AC280">
        <v>0</v>
      </c>
      <c r="AD280">
        <v>9.92</v>
      </c>
      <c r="AE280">
        <v>0</v>
      </c>
      <c r="AF280">
        <v>0</v>
      </c>
      <c r="AG280">
        <v>0</v>
      </c>
      <c r="AH280">
        <v>9.92</v>
      </c>
      <c r="AI280">
        <v>1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1</v>
      </c>
      <c r="AQ280">
        <v>0</v>
      </c>
      <c r="AR280">
        <v>0</v>
      </c>
      <c r="AS280" t="s">
        <v>3</v>
      </c>
      <c r="AT280">
        <v>1.1100000000000001</v>
      </c>
      <c r="AU280" t="s">
        <v>147</v>
      </c>
      <c r="AV280">
        <v>1</v>
      </c>
      <c r="AW280">
        <v>2</v>
      </c>
      <c r="AX280">
        <v>68991684</v>
      </c>
      <c r="AY280">
        <v>1</v>
      </c>
      <c r="AZ280">
        <v>2048</v>
      </c>
      <c r="BA280">
        <v>289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Y280*Source!I103</f>
        <v>3.4465499999999998</v>
      </c>
      <c r="CY280">
        <f>AD280</f>
        <v>9.92</v>
      </c>
      <c r="CZ280">
        <f>AH280</f>
        <v>9.92</v>
      </c>
      <c r="DA280">
        <f>AL280</f>
        <v>1</v>
      </c>
      <c r="DB280">
        <f>ROUND(((ROUND(AT280*CZ280,2)*1.15)*1.35),2)</f>
        <v>17.09</v>
      </c>
      <c r="DC280">
        <f>ROUND(((ROUND(AT280*AG280,2)*1.15)*1.35),2)</f>
        <v>0</v>
      </c>
    </row>
    <row r="281" spans="1:107" x14ac:dyDescent="0.2">
      <c r="A281">
        <f>ROW(Source!A103)</f>
        <v>103</v>
      </c>
      <c r="B281">
        <v>68990560</v>
      </c>
      <c r="C281">
        <v>68991678</v>
      </c>
      <c r="D281">
        <v>64402901</v>
      </c>
      <c r="E281">
        <v>1</v>
      </c>
      <c r="F281">
        <v>1</v>
      </c>
      <c r="G281">
        <v>1</v>
      </c>
      <c r="H281">
        <v>2</v>
      </c>
      <c r="I281" t="s">
        <v>862</v>
      </c>
      <c r="J281" t="s">
        <v>863</v>
      </c>
      <c r="K281" t="s">
        <v>864</v>
      </c>
      <c r="L281">
        <v>1368</v>
      </c>
      <c r="N281">
        <v>1011</v>
      </c>
      <c r="O281" t="s">
        <v>824</v>
      </c>
      <c r="P281" t="s">
        <v>824</v>
      </c>
      <c r="Q281">
        <v>1</v>
      </c>
      <c r="W281">
        <v>0</v>
      </c>
      <c r="X281">
        <v>900652632</v>
      </c>
      <c r="Y281">
        <v>0.43874999999999997</v>
      </c>
      <c r="AA281">
        <v>0</v>
      </c>
      <c r="AB281">
        <v>40.18</v>
      </c>
      <c r="AC281">
        <v>0</v>
      </c>
      <c r="AD281">
        <v>0</v>
      </c>
      <c r="AE281">
        <v>0</v>
      </c>
      <c r="AF281">
        <v>8.1</v>
      </c>
      <c r="AG281">
        <v>0</v>
      </c>
      <c r="AH281">
        <v>0</v>
      </c>
      <c r="AI281">
        <v>1</v>
      </c>
      <c r="AJ281">
        <v>4.96</v>
      </c>
      <c r="AK281">
        <v>33.65</v>
      </c>
      <c r="AL281">
        <v>1</v>
      </c>
      <c r="AN281">
        <v>0</v>
      </c>
      <c r="AO281">
        <v>1</v>
      </c>
      <c r="AP281">
        <v>1</v>
      </c>
      <c r="AQ281">
        <v>0</v>
      </c>
      <c r="AR281">
        <v>0</v>
      </c>
      <c r="AS281" t="s">
        <v>3</v>
      </c>
      <c r="AT281">
        <v>0.26</v>
      </c>
      <c r="AU281" t="s">
        <v>146</v>
      </c>
      <c r="AV281">
        <v>0</v>
      </c>
      <c r="AW281">
        <v>2</v>
      </c>
      <c r="AX281">
        <v>68991685</v>
      </c>
      <c r="AY281">
        <v>1</v>
      </c>
      <c r="AZ281">
        <v>2048</v>
      </c>
      <c r="BA281">
        <v>290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Y281*Source!I103</f>
        <v>0.87749999999999995</v>
      </c>
      <c r="CY281">
        <f>AB281</f>
        <v>40.18</v>
      </c>
      <c r="CZ281">
        <f>AF281</f>
        <v>8.1</v>
      </c>
      <c r="DA281">
        <f>AJ281</f>
        <v>4.96</v>
      </c>
      <c r="DB281">
        <f>ROUND(((ROUND(AT281*CZ281,2)*1.25)*1.35),2)</f>
        <v>3.56</v>
      </c>
      <c r="DC281">
        <f>ROUND(((ROUND(AT281*AG281,2)*1.25)*1.35),2)</f>
        <v>0</v>
      </c>
    </row>
    <row r="282" spans="1:107" x14ac:dyDescent="0.2">
      <c r="A282">
        <f>ROW(Source!A103)</f>
        <v>103</v>
      </c>
      <c r="B282">
        <v>68990560</v>
      </c>
      <c r="C282">
        <v>68991678</v>
      </c>
      <c r="D282">
        <v>53734179</v>
      </c>
      <c r="E282">
        <v>1</v>
      </c>
      <c r="F282">
        <v>1</v>
      </c>
      <c r="G282">
        <v>1</v>
      </c>
      <c r="H282">
        <v>3</v>
      </c>
      <c r="I282" t="s">
        <v>350</v>
      </c>
      <c r="J282" t="s">
        <v>352</v>
      </c>
      <c r="K282" t="s">
        <v>351</v>
      </c>
      <c r="L282">
        <v>1371</v>
      </c>
      <c r="N282">
        <v>1013</v>
      </c>
      <c r="O282" t="s">
        <v>29</v>
      </c>
      <c r="P282" t="s">
        <v>29</v>
      </c>
      <c r="Q282">
        <v>1</v>
      </c>
      <c r="W282">
        <v>0</v>
      </c>
      <c r="X282">
        <v>683325414</v>
      </c>
      <c r="Y282">
        <v>1</v>
      </c>
      <c r="AA282">
        <v>2093.5700000000002</v>
      </c>
      <c r="AB282">
        <v>0</v>
      </c>
      <c r="AC282">
        <v>0</v>
      </c>
      <c r="AD282">
        <v>0</v>
      </c>
      <c r="AE282">
        <v>371.2</v>
      </c>
      <c r="AF282">
        <v>0</v>
      </c>
      <c r="AG282">
        <v>0</v>
      </c>
      <c r="AH282">
        <v>0</v>
      </c>
      <c r="AI282">
        <v>5.64</v>
      </c>
      <c r="AJ282">
        <v>1</v>
      </c>
      <c r="AK282">
        <v>1</v>
      </c>
      <c r="AL282">
        <v>1</v>
      </c>
      <c r="AN282">
        <v>0</v>
      </c>
      <c r="AO282">
        <v>0</v>
      </c>
      <c r="AP282">
        <v>0</v>
      </c>
      <c r="AQ282">
        <v>0</v>
      </c>
      <c r="AR282">
        <v>0</v>
      </c>
      <c r="AS282" t="s">
        <v>3</v>
      </c>
      <c r="AT282">
        <v>1</v>
      </c>
      <c r="AU282" t="s">
        <v>3</v>
      </c>
      <c r="AV282">
        <v>0</v>
      </c>
      <c r="AW282">
        <v>1</v>
      </c>
      <c r="AX282">
        <v>-1</v>
      </c>
      <c r="AY282">
        <v>0</v>
      </c>
      <c r="AZ282">
        <v>0</v>
      </c>
      <c r="BA282" t="s">
        <v>3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Y282*Source!I103</f>
        <v>2</v>
      </c>
      <c r="CY282">
        <f>AA282</f>
        <v>2093.5700000000002</v>
      </c>
      <c r="CZ282">
        <f>AE282</f>
        <v>371.2</v>
      </c>
      <c r="DA282">
        <f>AI282</f>
        <v>5.64</v>
      </c>
      <c r="DB282">
        <f>ROUND(ROUND(AT282*CZ282,2),2)</f>
        <v>371.2</v>
      </c>
      <c r="DC282">
        <f>ROUND(ROUND(AT282*AG282,2),2)</f>
        <v>0</v>
      </c>
    </row>
    <row r="283" spans="1:107" x14ac:dyDescent="0.2">
      <c r="A283">
        <f>ROW(Source!A103)</f>
        <v>103</v>
      </c>
      <c r="B283">
        <v>68990560</v>
      </c>
      <c r="C283">
        <v>68991678</v>
      </c>
      <c r="D283">
        <v>64253859</v>
      </c>
      <c r="E283">
        <v>1</v>
      </c>
      <c r="F283">
        <v>1</v>
      </c>
      <c r="G283">
        <v>1</v>
      </c>
      <c r="H283">
        <v>3</v>
      </c>
      <c r="I283" t="s">
        <v>865</v>
      </c>
      <c r="J283" t="s">
        <v>866</v>
      </c>
      <c r="K283" t="s">
        <v>867</v>
      </c>
      <c r="L283">
        <v>1348</v>
      </c>
      <c r="N283">
        <v>1009</v>
      </c>
      <c r="O283" t="s">
        <v>71</v>
      </c>
      <c r="P283" t="s">
        <v>71</v>
      </c>
      <c r="Q283">
        <v>1000</v>
      </c>
      <c r="W283">
        <v>0</v>
      </c>
      <c r="X283">
        <v>1467298708</v>
      </c>
      <c r="Y283">
        <v>6.9999999999999994E-5</v>
      </c>
      <c r="AA283">
        <v>96135.89</v>
      </c>
      <c r="AB283">
        <v>0</v>
      </c>
      <c r="AC283">
        <v>0</v>
      </c>
      <c r="AD283">
        <v>0</v>
      </c>
      <c r="AE283">
        <v>10315.01</v>
      </c>
      <c r="AF283">
        <v>0</v>
      </c>
      <c r="AG283">
        <v>0</v>
      </c>
      <c r="AH283">
        <v>0</v>
      </c>
      <c r="AI283">
        <v>9.32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3</v>
      </c>
      <c r="AT283">
        <v>6.9999999999999994E-5</v>
      </c>
      <c r="AU283" t="s">
        <v>3</v>
      </c>
      <c r="AV283">
        <v>0</v>
      </c>
      <c r="AW283">
        <v>2</v>
      </c>
      <c r="AX283">
        <v>68991687</v>
      </c>
      <c r="AY283">
        <v>1</v>
      </c>
      <c r="AZ283">
        <v>0</v>
      </c>
      <c r="BA283">
        <v>292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Y283*Source!I103</f>
        <v>1.3999999999999999E-4</v>
      </c>
      <c r="CY283">
        <f>AA283</f>
        <v>96135.89</v>
      </c>
      <c r="CZ283">
        <f>AE283</f>
        <v>10315.01</v>
      </c>
      <c r="DA283">
        <f>AI283</f>
        <v>9.32</v>
      </c>
      <c r="DB283">
        <f>ROUND(ROUND(AT283*CZ283,2),2)</f>
        <v>0.72</v>
      </c>
      <c r="DC283">
        <f>ROUND(ROUND(AT283*AG283,2),2)</f>
        <v>0</v>
      </c>
    </row>
    <row r="284" spans="1:107" x14ac:dyDescent="0.2">
      <c r="A284">
        <f>ROW(Source!A103)</f>
        <v>103</v>
      </c>
      <c r="B284">
        <v>68990560</v>
      </c>
      <c r="C284">
        <v>68991678</v>
      </c>
      <c r="D284">
        <v>64255051</v>
      </c>
      <c r="E284">
        <v>1</v>
      </c>
      <c r="F284">
        <v>1</v>
      </c>
      <c r="G284">
        <v>1</v>
      </c>
      <c r="H284">
        <v>3</v>
      </c>
      <c r="I284" t="s">
        <v>966</v>
      </c>
      <c r="J284" t="s">
        <v>967</v>
      </c>
      <c r="K284" t="s">
        <v>968</v>
      </c>
      <c r="L284">
        <v>1425</v>
      </c>
      <c r="N284">
        <v>1013</v>
      </c>
      <c r="O284" t="s">
        <v>18</v>
      </c>
      <c r="P284" t="s">
        <v>18</v>
      </c>
      <c r="Q284">
        <v>1</v>
      </c>
      <c r="W284">
        <v>0</v>
      </c>
      <c r="X284">
        <v>-792001340</v>
      </c>
      <c r="Y284">
        <v>0.08</v>
      </c>
      <c r="AA284">
        <v>78</v>
      </c>
      <c r="AB284">
        <v>0</v>
      </c>
      <c r="AC284">
        <v>0</v>
      </c>
      <c r="AD284">
        <v>0</v>
      </c>
      <c r="AE284">
        <v>20</v>
      </c>
      <c r="AF284">
        <v>0</v>
      </c>
      <c r="AG284">
        <v>0</v>
      </c>
      <c r="AH284">
        <v>0</v>
      </c>
      <c r="AI284">
        <v>3.9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3</v>
      </c>
      <c r="AT284">
        <v>0.08</v>
      </c>
      <c r="AU284" t="s">
        <v>3</v>
      </c>
      <c r="AV284">
        <v>0</v>
      </c>
      <c r="AW284">
        <v>2</v>
      </c>
      <c r="AX284">
        <v>68991688</v>
      </c>
      <c r="AY284">
        <v>1</v>
      </c>
      <c r="AZ284">
        <v>0</v>
      </c>
      <c r="BA284">
        <v>293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Y284*Source!I103</f>
        <v>0.16</v>
      </c>
      <c r="CY284">
        <f>AA284</f>
        <v>78</v>
      </c>
      <c r="CZ284">
        <f>AE284</f>
        <v>20</v>
      </c>
      <c r="DA284">
        <f>AI284</f>
        <v>3.9</v>
      </c>
      <c r="DB284">
        <f>ROUND(ROUND(AT284*CZ284,2),2)</f>
        <v>1.6</v>
      </c>
      <c r="DC284">
        <f>ROUND(ROUND(AT284*AG284,2),2)</f>
        <v>0</v>
      </c>
    </row>
    <row r="285" spans="1:107" x14ac:dyDescent="0.2">
      <c r="A285">
        <f>ROW(Source!A105)</f>
        <v>105</v>
      </c>
      <c r="B285">
        <v>68990560</v>
      </c>
      <c r="C285">
        <v>68991690</v>
      </c>
      <c r="D285">
        <v>37065248</v>
      </c>
      <c r="E285">
        <v>56</v>
      </c>
      <c r="F285">
        <v>1</v>
      </c>
      <c r="G285">
        <v>1</v>
      </c>
      <c r="H285">
        <v>1</v>
      </c>
      <c r="I285" t="s">
        <v>857</v>
      </c>
      <c r="J285" t="s">
        <v>3</v>
      </c>
      <c r="K285" t="s">
        <v>858</v>
      </c>
      <c r="L285">
        <v>1191</v>
      </c>
      <c r="N285">
        <v>1013</v>
      </c>
      <c r="O285" t="s">
        <v>818</v>
      </c>
      <c r="P285" t="s">
        <v>818</v>
      </c>
      <c r="Q285">
        <v>1</v>
      </c>
      <c r="W285">
        <v>0</v>
      </c>
      <c r="X285">
        <v>-400197608</v>
      </c>
      <c r="Y285">
        <v>5.75</v>
      </c>
      <c r="AA285">
        <v>0</v>
      </c>
      <c r="AB285">
        <v>0</v>
      </c>
      <c r="AC285">
        <v>0</v>
      </c>
      <c r="AD285">
        <v>8.5299999999999994</v>
      </c>
      <c r="AE285">
        <v>0</v>
      </c>
      <c r="AF285">
        <v>0</v>
      </c>
      <c r="AG285">
        <v>0</v>
      </c>
      <c r="AH285">
        <v>8.5299999999999994</v>
      </c>
      <c r="AI285">
        <v>1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1</v>
      </c>
      <c r="AQ285">
        <v>0</v>
      </c>
      <c r="AR285">
        <v>0</v>
      </c>
      <c r="AS285" t="s">
        <v>3</v>
      </c>
      <c r="AT285">
        <v>5</v>
      </c>
      <c r="AU285" t="s">
        <v>38</v>
      </c>
      <c r="AV285">
        <v>1</v>
      </c>
      <c r="AW285">
        <v>2</v>
      </c>
      <c r="AX285">
        <v>68991692</v>
      </c>
      <c r="AY285">
        <v>1</v>
      </c>
      <c r="AZ285">
        <v>0</v>
      </c>
      <c r="BA285">
        <v>294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Y285*Source!I105</f>
        <v>0.115</v>
      </c>
      <c r="CY285">
        <f>AD285</f>
        <v>8.5299999999999994</v>
      </c>
      <c r="CZ285">
        <f>AH285</f>
        <v>8.5299999999999994</v>
      </c>
      <c r="DA285">
        <f>AL285</f>
        <v>1</v>
      </c>
      <c r="DB285">
        <f>ROUND((ROUND(AT285*CZ285,2)*1.15),2)</f>
        <v>49.05</v>
      </c>
      <c r="DC285">
        <f>ROUND((ROUND(AT285*AG285,2)*1.15),2)</f>
        <v>0</v>
      </c>
    </row>
    <row r="286" spans="1:107" x14ac:dyDescent="0.2">
      <c r="A286">
        <f>ROW(Source!A106)</f>
        <v>106</v>
      </c>
      <c r="B286">
        <v>68990560</v>
      </c>
      <c r="C286">
        <v>68991695</v>
      </c>
      <c r="D286">
        <v>37064928</v>
      </c>
      <c r="E286">
        <v>56</v>
      </c>
      <c r="F286">
        <v>1</v>
      </c>
      <c r="G286">
        <v>1</v>
      </c>
      <c r="H286">
        <v>1</v>
      </c>
      <c r="I286" t="s">
        <v>980</v>
      </c>
      <c r="J286" t="s">
        <v>3</v>
      </c>
      <c r="K286" t="s">
        <v>981</v>
      </c>
      <c r="L286">
        <v>1191</v>
      </c>
      <c r="N286">
        <v>1013</v>
      </c>
      <c r="O286" t="s">
        <v>818</v>
      </c>
      <c r="P286" t="s">
        <v>818</v>
      </c>
      <c r="Q286">
        <v>1</v>
      </c>
      <c r="W286">
        <v>0</v>
      </c>
      <c r="X286">
        <v>145020957</v>
      </c>
      <c r="Y286">
        <v>18.47475</v>
      </c>
      <c r="AA286">
        <v>0</v>
      </c>
      <c r="AB286">
        <v>0</v>
      </c>
      <c r="AC286">
        <v>0</v>
      </c>
      <c r="AD286">
        <v>9.07</v>
      </c>
      <c r="AE286">
        <v>0</v>
      </c>
      <c r="AF286">
        <v>0</v>
      </c>
      <c r="AG286">
        <v>0</v>
      </c>
      <c r="AH286">
        <v>9.07</v>
      </c>
      <c r="AI286">
        <v>1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1</v>
      </c>
      <c r="AQ286">
        <v>0</v>
      </c>
      <c r="AR286">
        <v>0</v>
      </c>
      <c r="AS286" t="s">
        <v>3</v>
      </c>
      <c r="AT286">
        <v>11.9</v>
      </c>
      <c r="AU286" t="s">
        <v>147</v>
      </c>
      <c r="AV286">
        <v>1</v>
      </c>
      <c r="AW286">
        <v>2</v>
      </c>
      <c r="AX286">
        <v>68991700</v>
      </c>
      <c r="AY286">
        <v>1</v>
      </c>
      <c r="AZ286">
        <v>0</v>
      </c>
      <c r="BA286">
        <v>297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Y286*Source!I106</f>
        <v>0.36949500000000002</v>
      </c>
      <c r="CY286">
        <f>AD286</f>
        <v>9.07</v>
      </c>
      <c r="CZ286">
        <f>AH286</f>
        <v>9.07</v>
      </c>
      <c r="DA286">
        <f>AL286</f>
        <v>1</v>
      </c>
      <c r="DB286">
        <f>ROUND(((ROUND(AT286*CZ286,2)*1.15)*1.35),2)</f>
        <v>167.56</v>
      </c>
      <c r="DC286">
        <f>ROUND(((ROUND(AT286*AG286,2)*1.15)*1.35),2)</f>
        <v>0</v>
      </c>
    </row>
    <row r="287" spans="1:107" x14ac:dyDescent="0.2">
      <c r="A287">
        <f>ROW(Source!A106)</f>
        <v>106</v>
      </c>
      <c r="B287">
        <v>68990560</v>
      </c>
      <c r="C287">
        <v>68991695</v>
      </c>
      <c r="D287">
        <v>37064876</v>
      </c>
      <c r="E287">
        <v>56</v>
      </c>
      <c r="F287">
        <v>1</v>
      </c>
      <c r="G287">
        <v>1</v>
      </c>
      <c r="H287">
        <v>1</v>
      </c>
      <c r="I287" t="s">
        <v>819</v>
      </c>
      <c r="J287" t="s">
        <v>3</v>
      </c>
      <c r="K287" t="s">
        <v>820</v>
      </c>
      <c r="L287">
        <v>1191</v>
      </c>
      <c r="N287">
        <v>1013</v>
      </c>
      <c r="O287" t="s">
        <v>818</v>
      </c>
      <c r="P287" t="s">
        <v>818</v>
      </c>
      <c r="Q287">
        <v>1</v>
      </c>
      <c r="W287">
        <v>0</v>
      </c>
      <c r="X287">
        <v>-1417349443</v>
      </c>
      <c r="Y287">
        <v>5.0625000000000003E-2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1</v>
      </c>
      <c r="AJ287">
        <v>1</v>
      </c>
      <c r="AK287">
        <v>1</v>
      </c>
      <c r="AL287">
        <v>1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3</v>
      </c>
      <c r="AT287">
        <v>0.03</v>
      </c>
      <c r="AU287" t="s">
        <v>146</v>
      </c>
      <c r="AV287">
        <v>2</v>
      </c>
      <c r="AW287">
        <v>2</v>
      </c>
      <c r="AX287">
        <v>68991701</v>
      </c>
      <c r="AY287">
        <v>1</v>
      </c>
      <c r="AZ287">
        <v>0</v>
      </c>
      <c r="BA287">
        <v>298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Y287*Source!I106</f>
        <v>1.0125000000000002E-3</v>
      </c>
      <c r="CY287">
        <f>AD287</f>
        <v>0</v>
      </c>
      <c r="CZ287">
        <f>AH287</f>
        <v>0</v>
      </c>
      <c r="DA287">
        <f>AL287</f>
        <v>1</v>
      </c>
      <c r="DB287">
        <f>ROUND(((ROUND(AT287*CZ287,2)*1.25)*1.35),2)</f>
        <v>0</v>
      </c>
      <c r="DC287">
        <f>ROUND(((ROUND(AT287*AG287,2)*1.25)*1.35),2)</f>
        <v>0</v>
      </c>
    </row>
    <row r="288" spans="1:107" x14ac:dyDescent="0.2">
      <c r="A288">
        <f>ROW(Source!A106)</f>
        <v>106</v>
      </c>
      <c r="B288">
        <v>68990560</v>
      </c>
      <c r="C288">
        <v>68991695</v>
      </c>
      <c r="D288">
        <v>64402691</v>
      </c>
      <c r="E288">
        <v>1</v>
      </c>
      <c r="F288">
        <v>1</v>
      </c>
      <c r="G288">
        <v>1</v>
      </c>
      <c r="H288">
        <v>2</v>
      </c>
      <c r="I288" t="s">
        <v>825</v>
      </c>
      <c r="J288" t="s">
        <v>826</v>
      </c>
      <c r="K288" t="s">
        <v>827</v>
      </c>
      <c r="L288">
        <v>1368</v>
      </c>
      <c r="N288">
        <v>1011</v>
      </c>
      <c r="O288" t="s">
        <v>824</v>
      </c>
      <c r="P288" t="s">
        <v>824</v>
      </c>
      <c r="Q288">
        <v>1</v>
      </c>
      <c r="W288">
        <v>0</v>
      </c>
      <c r="X288">
        <v>-841254546</v>
      </c>
      <c r="Y288">
        <v>4.725E-2</v>
      </c>
      <c r="AA288">
        <v>0</v>
      </c>
      <c r="AB288">
        <v>776.04</v>
      </c>
      <c r="AC288">
        <v>390.34</v>
      </c>
      <c r="AD288">
        <v>0</v>
      </c>
      <c r="AE288">
        <v>0</v>
      </c>
      <c r="AF288">
        <v>65.709999999999994</v>
      </c>
      <c r="AG288">
        <v>11.6</v>
      </c>
      <c r="AH288">
        <v>0</v>
      </c>
      <c r="AI288">
        <v>1</v>
      </c>
      <c r="AJ288">
        <v>11.81</v>
      </c>
      <c r="AK288">
        <v>33.65</v>
      </c>
      <c r="AL288">
        <v>1</v>
      </c>
      <c r="AN288">
        <v>0</v>
      </c>
      <c r="AO288">
        <v>1</v>
      </c>
      <c r="AP288">
        <v>1</v>
      </c>
      <c r="AQ288">
        <v>0</v>
      </c>
      <c r="AR288">
        <v>0</v>
      </c>
      <c r="AS288" t="s">
        <v>3</v>
      </c>
      <c r="AT288">
        <v>2.8000000000000001E-2</v>
      </c>
      <c r="AU288" t="s">
        <v>146</v>
      </c>
      <c r="AV288">
        <v>0</v>
      </c>
      <c r="AW288">
        <v>2</v>
      </c>
      <c r="AX288">
        <v>68991702</v>
      </c>
      <c r="AY288">
        <v>1</v>
      </c>
      <c r="AZ288">
        <v>2048</v>
      </c>
      <c r="BA288">
        <v>299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Y288*Source!I106</f>
        <v>9.4499999999999998E-4</v>
      </c>
      <c r="CY288">
        <f>AB288</f>
        <v>776.04</v>
      </c>
      <c r="CZ288">
        <f>AF288</f>
        <v>65.709999999999994</v>
      </c>
      <c r="DA288">
        <f>AJ288</f>
        <v>11.81</v>
      </c>
      <c r="DB288">
        <f>ROUND(((ROUND(AT288*CZ288,2)*1.25)*1.35),2)</f>
        <v>3.11</v>
      </c>
      <c r="DC288">
        <f>ROUND(((ROUND(AT288*AG288,2)*1.25)*1.35),2)</f>
        <v>0.54</v>
      </c>
    </row>
    <row r="289" spans="1:107" x14ac:dyDescent="0.2">
      <c r="A289">
        <f>ROW(Source!A106)</f>
        <v>106</v>
      </c>
      <c r="B289">
        <v>68990560</v>
      </c>
      <c r="C289">
        <v>68991695</v>
      </c>
      <c r="D289">
        <v>53734338</v>
      </c>
      <c r="E289">
        <v>1</v>
      </c>
      <c r="F289">
        <v>1</v>
      </c>
      <c r="G289">
        <v>1</v>
      </c>
      <c r="H289">
        <v>3</v>
      </c>
      <c r="I289" t="s">
        <v>363</v>
      </c>
      <c r="J289" t="s">
        <v>366</v>
      </c>
      <c r="K289" t="s">
        <v>364</v>
      </c>
      <c r="L289">
        <v>1790</v>
      </c>
      <c r="N289">
        <v>1013</v>
      </c>
      <c r="O289" t="s">
        <v>365</v>
      </c>
      <c r="P289" t="s">
        <v>365</v>
      </c>
      <c r="Q289">
        <v>1</v>
      </c>
      <c r="W289">
        <v>0</v>
      </c>
      <c r="X289">
        <v>2129998993</v>
      </c>
      <c r="Y289">
        <v>100</v>
      </c>
      <c r="AA289">
        <v>45.32</v>
      </c>
      <c r="AB289">
        <v>0</v>
      </c>
      <c r="AC289">
        <v>0</v>
      </c>
      <c r="AD289">
        <v>0</v>
      </c>
      <c r="AE289">
        <v>8.3000000000000007</v>
      </c>
      <c r="AF289">
        <v>0</v>
      </c>
      <c r="AG289">
        <v>0</v>
      </c>
      <c r="AH289">
        <v>0</v>
      </c>
      <c r="AI289">
        <v>5.46</v>
      </c>
      <c r="AJ289">
        <v>1</v>
      </c>
      <c r="AK289">
        <v>1</v>
      </c>
      <c r="AL289">
        <v>1</v>
      </c>
      <c r="AN289">
        <v>0</v>
      </c>
      <c r="AO289">
        <v>0</v>
      </c>
      <c r="AP289">
        <v>0</v>
      </c>
      <c r="AQ289">
        <v>0</v>
      </c>
      <c r="AR289">
        <v>0</v>
      </c>
      <c r="AS289" t="s">
        <v>3</v>
      </c>
      <c r="AT289">
        <v>100</v>
      </c>
      <c r="AU289" t="s">
        <v>3</v>
      </c>
      <c r="AV289">
        <v>0</v>
      </c>
      <c r="AW289">
        <v>1</v>
      </c>
      <c r="AX289">
        <v>-1</v>
      </c>
      <c r="AY289">
        <v>0</v>
      </c>
      <c r="AZ289">
        <v>0</v>
      </c>
      <c r="BA289" t="s">
        <v>3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Y289*Source!I106</f>
        <v>2</v>
      </c>
      <c r="CY289">
        <f>AA289</f>
        <v>45.32</v>
      </c>
      <c r="CZ289">
        <f>AE289</f>
        <v>8.3000000000000007</v>
      </c>
      <c r="DA289">
        <f>AI289</f>
        <v>5.46</v>
      </c>
      <c r="DB289">
        <f>ROUND(ROUND(AT289*CZ289,2),2)</f>
        <v>830</v>
      </c>
      <c r="DC289">
        <f>ROUND(ROUND(AT289*AG289,2),2)</f>
        <v>0</v>
      </c>
    </row>
    <row r="290" spans="1:107" x14ac:dyDescent="0.2">
      <c r="A290">
        <f>ROW(Source!A108)</f>
        <v>108</v>
      </c>
      <c r="B290">
        <v>68990560</v>
      </c>
      <c r="C290">
        <v>68991821</v>
      </c>
      <c r="D290">
        <v>37064878</v>
      </c>
      <c r="E290">
        <v>56</v>
      </c>
      <c r="F290">
        <v>1</v>
      </c>
      <c r="G290">
        <v>1</v>
      </c>
      <c r="H290">
        <v>1</v>
      </c>
      <c r="I290" t="s">
        <v>955</v>
      </c>
      <c r="J290" t="s">
        <v>3</v>
      </c>
      <c r="K290" t="s">
        <v>956</v>
      </c>
      <c r="L290">
        <v>1191</v>
      </c>
      <c r="N290">
        <v>1013</v>
      </c>
      <c r="O290" t="s">
        <v>818</v>
      </c>
      <c r="P290" t="s">
        <v>818</v>
      </c>
      <c r="Q290">
        <v>1</v>
      </c>
      <c r="W290">
        <v>0</v>
      </c>
      <c r="X290">
        <v>-1081351934</v>
      </c>
      <c r="Y290">
        <v>162</v>
      </c>
      <c r="AA290">
        <v>0</v>
      </c>
      <c r="AB290">
        <v>0</v>
      </c>
      <c r="AC290">
        <v>0</v>
      </c>
      <c r="AD290">
        <v>9.4</v>
      </c>
      <c r="AE290">
        <v>0</v>
      </c>
      <c r="AF290">
        <v>0</v>
      </c>
      <c r="AG290">
        <v>0</v>
      </c>
      <c r="AH290">
        <v>9.4</v>
      </c>
      <c r="AI290">
        <v>1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1</v>
      </c>
      <c r="AQ290">
        <v>0</v>
      </c>
      <c r="AR290">
        <v>0</v>
      </c>
      <c r="AS290" t="s">
        <v>3</v>
      </c>
      <c r="AT290">
        <v>120</v>
      </c>
      <c r="AU290" t="s">
        <v>200</v>
      </c>
      <c r="AV290">
        <v>1</v>
      </c>
      <c r="AW290">
        <v>2</v>
      </c>
      <c r="AX290">
        <v>68991839</v>
      </c>
      <c r="AY290">
        <v>1</v>
      </c>
      <c r="AZ290">
        <v>0</v>
      </c>
      <c r="BA290">
        <v>301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Y290*Source!I108</f>
        <v>62.888399999999997</v>
      </c>
      <c r="CY290">
        <f>AD290</f>
        <v>9.4</v>
      </c>
      <c r="CZ290">
        <f>AH290</f>
        <v>9.4</v>
      </c>
      <c r="DA290">
        <f>AL290</f>
        <v>1</v>
      </c>
      <c r="DB290">
        <f t="shared" ref="DB290:DB298" si="44">ROUND((ROUND(AT290*CZ290,2)*1.35),2)</f>
        <v>1522.8</v>
      </c>
      <c r="DC290">
        <f t="shared" ref="DC290:DC298" si="45">ROUND((ROUND(AT290*AG290,2)*1.35),2)</f>
        <v>0</v>
      </c>
    </row>
    <row r="291" spans="1:107" x14ac:dyDescent="0.2">
      <c r="A291">
        <f>ROW(Source!A108)</f>
        <v>108</v>
      </c>
      <c r="B291">
        <v>68990560</v>
      </c>
      <c r="C291">
        <v>68991821</v>
      </c>
      <c r="D291">
        <v>37064876</v>
      </c>
      <c r="E291">
        <v>56</v>
      </c>
      <c r="F291">
        <v>1</v>
      </c>
      <c r="G291">
        <v>1</v>
      </c>
      <c r="H291">
        <v>1</v>
      </c>
      <c r="I291" t="s">
        <v>819</v>
      </c>
      <c r="J291" t="s">
        <v>3</v>
      </c>
      <c r="K291" t="s">
        <v>820</v>
      </c>
      <c r="L291">
        <v>1191</v>
      </c>
      <c r="N291">
        <v>1013</v>
      </c>
      <c r="O291" t="s">
        <v>818</v>
      </c>
      <c r="P291" t="s">
        <v>818</v>
      </c>
      <c r="Q291">
        <v>1</v>
      </c>
      <c r="W291">
        <v>0</v>
      </c>
      <c r="X291">
        <v>-1417349443</v>
      </c>
      <c r="Y291">
        <v>4.0500000000000007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1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1</v>
      </c>
      <c r="AQ291">
        <v>0</v>
      </c>
      <c r="AR291">
        <v>0</v>
      </c>
      <c r="AS291" t="s">
        <v>3</v>
      </c>
      <c r="AT291">
        <v>3</v>
      </c>
      <c r="AU291" t="s">
        <v>200</v>
      </c>
      <c r="AV291">
        <v>2</v>
      </c>
      <c r="AW291">
        <v>2</v>
      </c>
      <c r="AX291">
        <v>68991840</v>
      </c>
      <c r="AY291">
        <v>1</v>
      </c>
      <c r="AZ291">
        <v>0</v>
      </c>
      <c r="BA291">
        <v>302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Y291*Source!I108</f>
        <v>1.5722100000000003</v>
      </c>
      <c r="CY291">
        <f>AD291</f>
        <v>0</v>
      </c>
      <c r="CZ291">
        <f>AH291</f>
        <v>0</v>
      </c>
      <c r="DA291">
        <f>AL291</f>
        <v>1</v>
      </c>
      <c r="DB291">
        <f t="shared" si="44"/>
        <v>0</v>
      </c>
      <c r="DC291">
        <f t="shared" si="45"/>
        <v>0</v>
      </c>
    </row>
    <row r="292" spans="1:107" x14ac:dyDescent="0.2">
      <c r="A292">
        <f>ROW(Source!A108)</f>
        <v>108</v>
      </c>
      <c r="B292">
        <v>68990560</v>
      </c>
      <c r="C292">
        <v>68991821</v>
      </c>
      <c r="D292">
        <v>64401763</v>
      </c>
      <c r="E292">
        <v>1</v>
      </c>
      <c r="F292">
        <v>1</v>
      </c>
      <c r="G292">
        <v>1</v>
      </c>
      <c r="H292">
        <v>2</v>
      </c>
      <c r="I292" t="s">
        <v>821</v>
      </c>
      <c r="J292" t="s">
        <v>822</v>
      </c>
      <c r="K292" t="s">
        <v>823</v>
      </c>
      <c r="L292">
        <v>1368</v>
      </c>
      <c r="N292">
        <v>1011</v>
      </c>
      <c r="O292" t="s">
        <v>824</v>
      </c>
      <c r="P292" t="s">
        <v>824</v>
      </c>
      <c r="Q292">
        <v>1</v>
      </c>
      <c r="W292">
        <v>0</v>
      </c>
      <c r="X292">
        <v>-1346461524</v>
      </c>
      <c r="Y292">
        <v>0.67500000000000004</v>
      </c>
      <c r="AA292">
        <v>0</v>
      </c>
      <c r="AB292">
        <v>1074.3699999999999</v>
      </c>
      <c r="AC292">
        <v>454.28</v>
      </c>
      <c r="AD292">
        <v>0</v>
      </c>
      <c r="AE292">
        <v>0</v>
      </c>
      <c r="AF292">
        <v>115.4</v>
      </c>
      <c r="AG292">
        <v>13.5</v>
      </c>
      <c r="AH292">
        <v>0</v>
      </c>
      <c r="AI292">
        <v>1</v>
      </c>
      <c r="AJ292">
        <v>9.31</v>
      </c>
      <c r="AK292">
        <v>33.65</v>
      </c>
      <c r="AL292">
        <v>1</v>
      </c>
      <c r="AN292">
        <v>0</v>
      </c>
      <c r="AO292">
        <v>1</v>
      </c>
      <c r="AP292">
        <v>1</v>
      </c>
      <c r="AQ292">
        <v>0</v>
      </c>
      <c r="AR292">
        <v>0</v>
      </c>
      <c r="AS292" t="s">
        <v>3</v>
      </c>
      <c r="AT292">
        <v>0.5</v>
      </c>
      <c r="AU292" t="s">
        <v>200</v>
      </c>
      <c r="AV292">
        <v>0</v>
      </c>
      <c r="AW292">
        <v>2</v>
      </c>
      <c r="AX292">
        <v>68991841</v>
      </c>
      <c r="AY292">
        <v>1</v>
      </c>
      <c r="AZ292">
        <v>0</v>
      </c>
      <c r="BA292">
        <v>303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Y292*Source!I108</f>
        <v>0.26203500000000002</v>
      </c>
      <c r="CY292">
        <f t="shared" ref="CY292:CY298" si="46">AB292</f>
        <v>1074.3699999999999</v>
      </c>
      <c r="CZ292">
        <f t="shared" ref="CZ292:CZ298" si="47">AF292</f>
        <v>115.4</v>
      </c>
      <c r="DA292">
        <f t="shared" ref="DA292:DA298" si="48">AJ292</f>
        <v>9.31</v>
      </c>
      <c r="DB292">
        <f t="shared" si="44"/>
        <v>77.900000000000006</v>
      </c>
      <c r="DC292">
        <f t="shared" si="45"/>
        <v>9.11</v>
      </c>
    </row>
    <row r="293" spans="1:107" x14ac:dyDescent="0.2">
      <c r="A293">
        <f>ROW(Source!A108)</f>
        <v>108</v>
      </c>
      <c r="B293">
        <v>68990560</v>
      </c>
      <c r="C293">
        <v>68991821</v>
      </c>
      <c r="D293">
        <v>64401904</v>
      </c>
      <c r="E293">
        <v>1</v>
      </c>
      <c r="F293">
        <v>1</v>
      </c>
      <c r="G293">
        <v>1</v>
      </c>
      <c r="H293">
        <v>2</v>
      </c>
      <c r="I293" t="s">
        <v>960</v>
      </c>
      <c r="J293" t="s">
        <v>961</v>
      </c>
      <c r="K293" t="s">
        <v>962</v>
      </c>
      <c r="L293">
        <v>1368</v>
      </c>
      <c r="N293">
        <v>1011</v>
      </c>
      <c r="O293" t="s">
        <v>824</v>
      </c>
      <c r="P293" t="s">
        <v>824</v>
      </c>
      <c r="Q293">
        <v>1</v>
      </c>
      <c r="W293">
        <v>0</v>
      </c>
      <c r="X293">
        <v>-1595939894</v>
      </c>
      <c r="Y293">
        <v>1.8495000000000004</v>
      </c>
      <c r="AA293">
        <v>0</v>
      </c>
      <c r="AB293">
        <v>31.19</v>
      </c>
      <c r="AC293">
        <v>0</v>
      </c>
      <c r="AD293">
        <v>0</v>
      </c>
      <c r="AE293">
        <v>0</v>
      </c>
      <c r="AF293">
        <v>6.9</v>
      </c>
      <c r="AG293">
        <v>0</v>
      </c>
      <c r="AH293">
        <v>0</v>
      </c>
      <c r="AI293">
        <v>1</v>
      </c>
      <c r="AJ293">
        <v>4.5199999999999996</v>
      </c>
      <c r="AK293">
        <v>33.65</v>
      </c>
      <c r="AL293">
        <v>1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3</v>
      </c>
      <c r="AT293">
        <v>1.37</v>
      </c>
      <c r="AU293" t="s">
        <v>200</v>
      </c>
      <c r="AV293">
        <v>0</v>
      </c>
      <c r="AW293">
        <v>2</v>
      </c>
      <c r="AX293">
        <v>68991842</v>
      </c>
      <c r="AY293">
        <v>1</v>
      </c>
      <c r="AZ293">
        <v>0</v>
      </c>
      <c r="BA293">
        <v>304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Y293*Source!I108</f>
        <v>0.71797590000000011</v>
      </c>
      <c r="CY293">
        <f t="shared" si="46"/>
        <v>31.19</v>
      </c>
      <c r="CZ293">
        <f t="shared" si="47"/>
        <v>6.9</v>
      </c>
      <c r="DA293">
        <f t="shared" si="48"/>
        <v>4.5199999999999996</v>
      </c>
      <c r="DB293">
        <f t="shared" si="44"/>
        <v>12.76</v>
      </c>
      <c r="DC293">
        <f t="shared" si="45"/>
        <v>0</v>
      </c>
    </row>
    <row r="294" spans="1:107" x14ac:dyDescent="0.2">
      <c r="A294">
        <f>ROW(Source!A108)</f>
        <v>108</v>
      </c>
      <c r="B294">
        <v>68990560</v>
      </c>
      <c r="C294">
        <v>68991821</v>
      </c>
      <c r="D294">
        <v>64402692</v>
      </c>
      <c r="E294">
        <v>1</v>
      </c>
      <c r="F294">
        <v>1</v>
      </c>
      <c r="G294">
        <v>1</v>
      </c>
      <c r="H294">
        <v>2</v>
      </c>
      <c r="I294" t="s">
        <v>1127</v>
      </c>
      <c r="J294" t="s">
        <v>1128</v>
      </c>
      <c r="K294" t="s">
        <v>1129</v>
      </c>
      <c r="L294">
        <v>1368</v>
      </c>
      <c r="N294">
        <v>1011</v>
      </c>
      <c r="O294" t="s">
        <v>824</v>
      </c>
      <c r="P294" t="s">
        <v>824</v>
      </c>
      <c r="Q294">
        <v>1</v>
      </c>
      <c r="W294">
        <v>0</v>
      </c>
      <c r="X294">
        <v>2125287034</v>
      </c>
      <c r="Y294">
        <v>0.67500000000000004</v>
      </c>
      <c r="AA294">
        <v>0</v>
      </c>
      <c r="AB294">
        <v>875.57</v>
      </c>
      <c r="AC294">
        <v>390.34</v>
      </c>
      <c r="AD294">
        <v>0</v>
      </c>
      <c r="AE294">
        <v>0</v>
      </c>
      <c r="AF294">
        <v>85.84</v>
      </c>
      <c r="AG294">
        <v>11.6</v>
      </c>
      <c r="AH294">
        <v>0</v>
      </c>
      <c r="AI294">
        <v>1</v>
      </c>
      <c r="AJ294">
        <v>10.199999999999999</v>
      </c>
      <c r="AK294">
        <v>33.65</v>
      </c>
      <c r="AL294">
        <v>1</v>
      </c>
      <c r="AN294">
        <v>0</v>
      </c>
      <c r="AO294">
        <v>1</v>
      </c>
      <c r="AP294">
        <v>1</v>
      </c>
      <c r="AQ294">
        <v>0</v>
      </c>
      <c r="AR294">
        <v>0</v>
      </c>
      <c r="AS294" t="s">
        <v>3</v>
      </c>
      <c r="AT294">
        <v>0.5</v>
      </c>
      <c r="AU294" t="s">
        <v>200</v>
      </c>
      <c r="AV294">
        <v>0</v>
      </c>
      <c r="AW294">
        <v>2</v>
      </c>
      <c r="AX294">
        <v>68991843</v>
      </c>
      <c r="AY294">
        <v>1</v>
      </c>
      <c r="AZ294">
        <v>0</v>
      </c>
      <c r="BA294">
        <v>305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Y294*Source!I108</f>
        <v>0.26203500000000002</v>
      </c>
      <c r="CY294">
        <f t="shared" si="46"/>
        <v>875.57</v>
      </c>
      <c r="CZ294">
        <f t="shared" si="47"/>
        <v>85.84</v>
      </c>
      <c r="DA294">
        <f t="shared" si="48"/>
        <v>10.199999999999999</v>
      </c>
      <c r="DB294">
        <f t="shared" si="44"/>
        <v>57.94</v>
      </c>
      <c r="DC294">
        <f t="shared" si="45"/>
        <v>7.83</v>
      </c>
    </row>
    <row r="295" spans="1:107" x14ac:dyDescent="0.2">
      <c r="A295">
        <f>ROW(Source!A108)</f>
        <v>108</v>
      </c>
      <c r="B295">
        <v>68990560</v>
      </c>
      <c r="C295">
        <v>68991821</v>
      </c>
      <c r="D295">
        <v>64402844</v>
      </c>
      <c r="E295">
        <v>1</v>
      </c>
      <c r="F295">
        <v>1</v>
      </c>
      <c r="G295">
        <v>1</v>
      </c>
      <c r="H295">
        <v>2</v>
      </c>
      <c r="I295" t="s">
        <v>910</v>
      </c>
      <c r="J295" t="s">
        <v>911</v>
      </c>
      <c r="K295" t="s">
        <v>912</v>
      </c>
      <c r="L295">
        <v>1368</v>
      </c>
      <c r="N295">
        <v>1011</v>
      </c>
      <c r="O295" t="s">
        <v>824</v>
      </c>
      <c r="P295" t="s">
        <v>824</v>
      </c>
      <c r="Q295">
        <v>1</v>
      </c>
      <c r="W295">
        <v>0</v>
      </c>
      <c r="X295">
        <v>1927650788</v>
      </c>
      <c r="Y295">
        <v>2.0250000000000004</v>
      </c>
      <c r="AA295">
        <v>0</v>
      </c>
      <c r="AB295">
        <v>4.68</v>
      </c>
      <c r="AC295">
        <v>0</v>
      </c>
      <c r="AD295">
        <v>0</v>
      </c>
      <c r="AE295">
        <v>0</v>
      </c>
      <c r="AF295">
        <v>1.2</v>
      </c>
      <c r="AG295">
        <v>0</v>
      </c>
      <c r="AH295">
        <v>0</v>
      </c>
      <c r="AI295">
        <v>1</v>
      </c>
      <c r="AJ295">
        <v>3.9</v>
      </c>
      <c r="AK295">
        <v>33.65</v>
      </c>
      <c r="AL295">
        <v>1</v>
      </c>
      <c r="AN295">
        <v>0</v>
      </c>
      <c r="AO295">
        <v>1</v>
      </c>
      <c r="AP295">
        <v>1</v>
      </c>
      <c r="AQ295">
        <v>0</v>
      </c>
      <c r="AR295">
        <v>0</v>
      </c>
      <c r="AS295" t="s">
        <v>3</v>
      </c>
      <c r="AT295">
        <v>1.5</v>
      </c>
      <c r="AU295" t="s">
        <v>200</v>
      </c>
      <c r="AV295">
        <v>0</v>
      </c>
      <c r="AW295">
        <v>2</v>
      </c>
      <c r="AX295">
        <v>68991844</v>
      </c>
      <c r="AY295">
        <v>1</v>
      </c>
      <c r="AZ295">
        <v>0</v>
      </c>
      <c r="BA295">
        <v>306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Y295*Source!I108</f>
        <v>0.78610500000000016</v>
      </c>
      <c r="CY295">
        <f t="shared" si="46"/>
        <v>4.68</v>
      </c>
      <c r="CZ295">
        <f t="shared" si="47"/>
        <v>1.2</v>
      </c>
      <c r="DA295">
        <f t="shared" si="48"/>
        <v>3.9</v>
      </c>
      <c r="DB295">
        <f t="shared" si="44"/>
        <v>2.4300000000000002</v>
      </c>
      <c r="DC295">
        <f t="shared" si="45"/>
        <v>0</v>
      </c>
    </row>
    <row r="296" spans="1:107" x14ac:dyDescent="0.2">
      <c r="A296">
        <f>ROW(Source!A108)</f>
        <v>108</v>
      </c>
      <c r="B296">
        <v>68990560</v>
      </c>
      <c r="C296">
        <v>68991821</v>
      </c>
      <c r="D296">
        <v>64402901</v>
      </c>
      <c r="E296">
        <v>1</v>
      </c>
      <c r="F296">
        <v>1</v>
      </c>
      <c r="G296">
        <v>1</v>
      </c>
      <c r="H296">
        <v>2</v>
      </c>
      <c r="I296" t="s">
        <v>862</v>
      </c>
      <c r="J296" t="s">
        <v>863</v>
      </c>
      <c r="K296" t="s">
        <v>864</v>
      </c>
      <c r="L296">
        <v>1368</v>
      </c>
      <c r="N296">
        <v>1011</v>
      </c>
      <c r="O296" t="s">
        <v>824</v>
      </c>
      <c r="P296" t="s">
        <v>824</v>
      </c>
      <c r="Q296">
        <v>1</v>
      </c>
      <c r="W296">
        <v>0</v>
      </c>
      <c r="X296">
        <v>900652632</v>
      </c>
      <c r="Y296">
        <v>30.577500000000001</v>
      </c>
      <c r="AA296">
        <v>0</v>
      </c>
      <c r="AB296">
        <v>40.18</v>
      </c>
      <c r="AC296">
        <v>0</v>
      </c>
      <c r="AD296">
        <v>0</v>
      </c>
      <c r="AE296">
        <v>0</v>
      </c>
      <c r="AF296">
        <v>8.1</v>
      </c>
      <c r="AG296">
        <v>0</v>
      </c>
      <c r="AH296">
        <v>0</v>
      </c>
      <c r="AI296">
        <v>1</v>
      </c>
      <c r="AJ296">
        <v>4.96</v>
      </c>
      <c r="AK296">
        <v>33.65</v>
      </c>
      <c r="AL296">
        <v>1</v>
      </c>
      <c r="AN296">
        <v>0</v>
      </c>
      <c r="AO296">
        <v>1</v>
      </c>
      <c r="AP296">
        <v>1</v>
      </c>
      <c r="AQ296">
        <v>0</v>
      </c>
      <c r="AR296">
        <v>0</v>
      </c>
      <c r="AS296" t="s">
        <v>3</v>
      </c>
      <c r="AT296">
        <v>22.65</v>
      </c>
      <c r="AU296" t="s">
        <v>200</v>
      </c>
      <c r="AV296">
        <v>0</v>
      </c>
      <c r="AW296">
        <v>2</v>
      </c>
      <c r="AX296">
        <v>68991845</v>
      </c>
      <c r="AY296">
        <v>1</v>
      </c>
      <c r="AZ296">
        <v>0</v>
      </c>
      <c r="BA296">
        <v>307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Y296*Source!I108</f>
        <v>11.8701855</v>
      </c>
      <c r="CY296">
        <f t="shared" si="46"/>
        <v>40.18</v>
      </c>
      <c r="CZ296">
        <f t="shared" si="47"/>
        <v>8.1</v>
      </c>
      <c r="DA296">
        <f t="shared" si="48"/>
        <v>4.96</v>
      </c>
      <c r="DB296">
        <f t="shared" si="44"/>
        <v>247.68</v>
      </c>
      <c r="DC296">
        <f t="shared" si="45"/>
        <v>0</v>
      </c>
    </row>
    <row r="297" spans="1:107" x14ac:dyDescent="0.2">
      <c r="A297">
        <f>ROW(Source!A108)</f>
        <v>108</v>
      </c>
      <c r="B297">
        <v>68990560</v>
      </c>
      <c r="C297">
        <v>68991821</v>
      </c>
      <c r="D297">
        <v>64403387</v>
      </c>
      <c r="E297">
        <v>1</v>
      </c>
      <c r="F297">
        <v>1</v>
      </c>
      <c r="G297">
        <v>1</v>
      </c>
      <c r="H297">
        <v>2</v>
      </c>
      <c r="I297" t="s">
        <v>1130</v>
      </c>
      <c r="J297" t="s">
        <v>1131</v>
      </c>
      <c r="K297" t="s">
        <v>1132</v>
      </c>
      <c r="L297">
        <v>1368</v>
      </c>
      <c r="N297">
        <v>1011</v>
      </c>
      <c r="O297" t="s">
        <v>824</v>
      </c>
      <c r="P297" t="s">
        <v>824</v>
      </c>
      <c r="Q297">
        <v>1</v>
      </c>
      <c r="W297">
        <v>0</v>
      </c>
      <c r="X297">
        <v>198853430</v>
      </c>
      <c r="Y297">
        <v>3.24</v>
      </c>
      <c r="AA297">
        <v>0</v>
      </c>
      <c r="AB297">
        <v>521.5</v>
      </c>
      <c r="AC297">
        <v>0</v>
      </c>
      <c r="AD297">
        <v>0</v>
      </c>
      <c r="AE297">
        <v>0</v>
      </c>
      <c r="AF297">
        <v>70</v>
      </c>
      <c r="AG297">
        <v>0</v>
      </c>
      <c r="AH297">
        <v>0</v>
      </c>
      <c r="AI297">
        <v>1</v>
      </c>
      <c r="AJ297">
        <v>7.45</v>
      </c>
      <c r="AK297">
        <v>33.65</v>
      </c>
      <c r="AL297">
        <v>1</v>
      </c>
      <c r="AN297">
        <v>0</v>
      </c>
      <c r="AO297">
        <v>1</v>
      </c>
      <c r="AP297">
        <v>1</v>
      </c>
      <c r="AQ297">
        <v>0</v>
      </c>
      <c r="AR297">
        <v>0</v>
      </c>
      <c r="AS297" t="s">
        <v>3</v>
      </c>
      <c r="AT297">
        <v>2.4</v>
      </c>
      <c r="AU297" t="s">
        <v>200</v>
      </c>
      <c r="AV297">
        <v>0</v>
      </c>
      <c r="AW297">
        <v>2</v>
      </c>
      <c r="AX297">
        <v>68991846</v>
      </c>
      <c r="AY297">
        <v>1</v>
      </c>
      <c r="AZ297">
        <v>0</v>
      </c>
      <c r="BA297">
        <v>308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Y297*Source!I108</f>
        <v>1.257768</v>
      </c>
      <c r="CY297">
        <f t="shared" si="46"/>
        <v>521.5</v>
      </c>
      <c r="CZ297">
        <f t="shared" si="47"/>
        <v>70</v>
      </c>
      <c r="DA297">
        <f t="shared" si="48"/>
        <v>7.45</v>
      </c>
      <c r="DB297">
        <f t="shared" si="44"/>
        <v>226.8</v>
      </c>
      <c r="DC297">
        <f t="shared" si="45"/>
        <v>0</v>
      </c>
    </row>
    <row r="298" spans="1:107" x14ac:dyDescent="0.2">
      <c r="A298">
        <f>ROW(Source!A108)</f>
        <v>108</v>
      </c>
      <c r="B298">
        <v>68990560</v>
      </c>
      <c r="C298">
        <v>68991821</v>
      </c>
      <c r="D298">
        <v>64403408</v>
      </c>
      <c r="E298">
        <v>1</v>
      </c>
      <c r="F298">
        <v>1</v>
      </c>
      <c r="G298">
        <v>1</v>
      </c>
      <c r="H298">
        <v>2</v>
      </c>
      <c r="I298" t="s">
        <v>1133</v>
      </c>
      <c r="J298" t="s">
        <v>1134</v>
      </c>
      <c r="K298" t="s">
        <v>1135</v>
      </c>
      <c r="L298">
        <v>1368</v>
      </c>
      <c r="N298">
        <v>1011</v>
      </c>
      <c r="O298" t="s">
        <v>824</v>
      </c>
      <c r="P298" t="s">
        <v>824</v>
      </c>
      <c r="Q298">
        <v>1</v>
      </c>
      <c r="W298">
        <v>0</v>
      </c>
      <c r="X298">
        <v>670044708</v>
      </c>
      <c r="Y298">
        <v>2.7</v>
      </c>
      <c r="AA298">
        <v>0</v>
      </c>
      <c r="AB298">
        <v>370.37</v>
      </c>
      <c r="AC298">
        <v>338.52</v>
      </c>
      <c r="AD298">
        <v>0</v>
      </c>
      <c r="AE298">
        <v>0</v>
      </c>
      <c r="AF298">
        <v>15.4</v>
      </c>
      <c r="AG298">
        <v>10.06</v>
      </c>
      <c r="AH298">
        <v>0</v>
      </c>
      <c r="AI298">
        <v>1</v>
      </c>
      <c r="AJ298">
        <v>24.05</v>
      </c>
      <c r="AK298">
        <v>33.65</v>
      </c>
      <c r="AL298">
        <v>1</v>
      </c>
      <c r="AN298">
        <v>0</v>
      </c>
      <c r="AO298">
        <v>1</v>
      </c>
      <c r="AP298">
        <v>1</v>
      </c>
      <c r="AQ298">
        <v>0</v>
      </c>
      <c r="AR298">
        <v>0</v>
      </c>
      <c r="AS298" t="s">
        <v>3</v>
      </c>
      <c r="AT298">
        <v>2</v>
      </c>
      <c r="AU298" t="s">
        <v>200</v>
      </c>
      <c r="AV298">
        <v>0</v>
      </c>
      <c r="AW298">
        <v>2</v>
      </c>
      <c r="AX298">
        <v>68991847</v>
      </c>
      <c r="AY298">
        <v>1</v>
      </c>
      <c r="AZ298">
        <v>0</v>
      </c>
      <c r="BA298">
        <v>309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Y298*Source!I108</f>
        <v>1.0481400000000001</v>
      </c>
      <c r="CY298">
        <f t="shared" si="46"/>
        <v>370.37</v>
      </c>
      <c r="CZ298">
        <f t="shared" si="47"/>
        <v>15.4</v>
      </c>
      <c r="DA298">
        <f t="shared" si="48"/>
        <v>24.05</v>
      </c>
      <c r="DB298">
        <f t="shared" si="44"/>
        <v>41.58</v>
      </c>
      <c r="DC298">
        <f t="shared" si="45"/>
        <v>27.16</v>
      </c>
    </row>
    <row r="299" spans="1:107" x14ac:dyDescent="0.2">
      <c r="A299">
        <f>ROW(Source!A108)</f>
        <v>108</v>
      </c>
      <c r="B299">
        <v>68990560</v>
      </c>
      <c r="C299">
        <v>68991821</v>
      </c>
      <c r="D299">
        <v>64251195</v>
      </c>
      <c r="E299">
        <v>1</v>
      </c>
      <c r="F299">
        <v>1</v>
      </c>
      <c r="G299">
        <v>1</v>
      </c>
      <c r="H299">
        <v>3</v>
      </c>
      <c r="I299" t="s">
        <v>916</v>
      </c>
      <c r="J299" t="s">
        <v>917</v>
      </c>
      <c r="K299" t="s">
        <v>918</v>
      </c>
      <c r="L299">
        <v>1339</v>
      </c>
      <c r="N299">
        <v>1007</v>
      </c>
      <c r="O299" t="s">
        <v>113</v>
      </c>
      <c r="P299" t="s">
        <v>113</v>
      </c>
      <c r="Q299">
        <v>1</v>
      </c>
      <c r="W299">
        <v>0</v>
      </c>
      <c r="X299">
        <v>-2065749550</v>
      </c>
      <c r="Y299">
        <v>0.9</v>
      </c>
      <c r="AA299">
        <v>60.89</v>
      </c>
      <c r="AB299">
        <v>0</v>
      </c>
      <c r="AC299">
        <v>0</v>
      </c>
      <c r="AD299">
        <v>0</v>
      </c>
      <c r="AE299">
        <v>6.22</v>
      </c>
      <c r="AF299">
        <v>0</v>
      </c>
      <c r="AG299">
        <v>0</v>
      </c>
      <c r="AH299">
        <v>0</v>
      </c>
      <c r="AI299">
        <v>9.7899999999999991</v>
      </c>
      <c r="AJ299">
        <v>1</v>
      </c>
      <c r="AK299">
        <v>1</v>
      </c>
      <c r="AL299">
        <v>1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3</v>
      </c>
      <c r="AT299">
        <v>0.9</v>
      </c>
      <c r="AU299" t="s">
        <v>3</v>
      </c>
      <c r="AV299">
        <v>0</v>
      </c>
      <c r="AW299">
        <v>2</v>
      </c>
      <c r="AX299">
        <v>68991848</v>
      </c>
      <c r="AY299">
        <v>1</v>
      </c>
      <c r="AZ299">
        <v>0</v>
      </c>
      <c r="BA299">
        <v>310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Y299*Source!I108</f>
        <v>0.34938000000000002</v>
      </c>
      <c r="CY299">
        <f t="shared" ref="CY299:CY306" si="49">AA299</f>
        <v>60.89</v>
      </c>
      <c r="CZ299">
        <f t="shared" ref="CZ299:CZ306" si="50">AE299</f>
        <v>6.22</v>
      </c>
      <c r="DA299">
        <f t="shared" ref="DA299:DA306" si="51">AI299</f>
        <v>9.7899999999999991</v>
      </c>
      <c r="DB299">
        <f t="shared" ref="DB299:DB306" si="52">ROUND(ROUND(AT299*CZ299,2),2)</f>
        <v>5.6</v>
      </c>
      <c r="DC299">
        <f t="shared" ref="DC299:DC306" si="53">ROUND(ROUND(AT299*AG299,2),2)</f>
        <v>0</v>
      </c>
    </row>
    <row r="300" spans="1:107" x14ac:dyDescent="0.2">
      <c r="A300">
        <f>ROW(Source!A108)</f>
        <v>108</v>
      </c>
      <c r="B300">
        <v>68990560</v>
      </c>
      <c r="C300">
        <v>68991821</v>
      </c>
      <c r="D300">
        <v>64251201</v>
      </c>
      <c r="E300">
        <v>1</v>
      </c>
      <c r="F300">
        <v>1</v>
      </c>
      <c r="G300">
        <v>1</v>
      </c>
      <c r="H300">
        <v>3</v>
      </c>
      <c r="I300" t="s">
        <v>919</v>
      </c>
      <c r="J300" t="s">
        <v>920</v>
      </c>
      <c r="K300" t="s">
        <v>921</v>
      </c>
      <c r="L300">
        <v>1346</v>
      </c>
      <c r="N300">
        <v>1009</v>
      </c>
      <c r="O300" t="s">
        <v>170</v>
      </c>
      <c r="P300" t="s">
        <v>170</v>
      </c>
      <c r="Q300">
        <v>1</v>
      </c>
      <c r="W300">
        <v>0</v>
      </c>
      <c r="X300">
        <v>-21371743</v>
      </c>
      <c r="Y300">
        <v>0.2</v>
      </c>
      <c r="AA300">
        <v>43.54</v>
      </c>
      <c r="AB300">
        <v>0</v>
      </c>
      <c r="AC300">
        <v>0</v>
      </c>
      <c r="AD300">
        <v>0</v>
      </c>
      <c r="AE300">
        <v>6.09</v>
      </c>
      <c r="AF300">
        <v>0</v>
      </c>
      <c r="AG300">
        <v>0</v>
      </c>
      <c r="AH300">
        <v>0</v>
      </c>
      <c r="AI300">
        <v>7.15</v>
      </c>
      <c r="AJ300">
        <v>1</v>
      </c>
      <c r="AK300">
        <v>1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3</v>
      </c>
      <c r="AT300">
        <v>0.2</v>
      </c>
      <c r="AU300" t="s">
        <v>3</v>
      </c>
      <c r="AV300">
        <v>0</v>
      </c>
      <c r="AW300">
        <v>2</v>
      </c>
      <c r="AX300">
        <v>68991849</v>
      </c>
      <c r="AY300">
        <v>1</v>
      </c>
      <c r="AZ300">
        <v>0</v>
      </c>
      <c r="BA300">
        <v>311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Y300*Source!I108</f>
        <v>7.7640000000000001E-2</v>
      </c>
      <c r="CY300">
        <f t="shared" si="49"/>
        <v>43.54</v>
      </c>
      <c r="CZ300">
        <f t="shared" si="50"/>
        <v>6.09</v>
      </c>
      <c r="DA300">
        <f t="shared" si="51"/>
        <v>7.15</v>
      </c>
      <c r="DB300">
        <f t="shared" si="52"/>
        <v>1.22</v>
      </c>
      <c r="DC300">
        <f t="shared" si="53"/>
        <v>0</v>
      </c>
    </row>
    <row r="301" spans="1:107" x14ac:dyDescent="0.2">
      <c r="A301">
        <f>ROW(Source!A108)</f>
        <v>108</v>
      </c>
      <c r="B301">
        <v>68990560</v>
      </c>
      <c r="C301">
        <v>68991821</v>
      </c>
      <c r="D301">
        <v>64253871</v>
      </c>
      <c r="E301">
        <v>1</v>
      </c>
      <c r="F301">
        <v>1</v>
      </c>
      <c r="G301">
        <v>1</v>
      </c>
      <c r="H301">
        <v>3</v>
      </c>
      <c r="I301" t="s">
        <v>1136</v>
      </c>
      <c r="J301" t="s">
        <v>1137</v>
      </c>
      <c r="K301" t="s">
        <v>1138</v>
      </c>
      <c r="L301">
        <v>1348</v>
      </c>
      <c r="N301">
        <v>1009</v>
      </c>
      <c r="O301" t="s">
        <v>71</v>
      </c>
      <c r="P301" t="s">
        <v>71</v>
      </c>
      <c r="Q301">
        <v>1000</v>
      </c>
      <c r="W301">
        <v>0</v>
      </c>
      <c r="X301">
        <v>68527077</v>
      </c>
      <c r="Y301">
        <v>1.7899999999999999E-2</v>
      </c>
      <c r="AA301">
        <v>95794.65</v>
      </c>
      <c r="AB301">
        <v>0</v>
      </c>
      <c r="AC301">
        <v>0</v>
      </c>
      <c r="AD301">
        <v>0</v>
      </c>
      <c r="AE301">
        <v>9765</v>
      </c>
      <c r="AF301">
        <v>0</v>
      </c>
      <c r="AG301">
        <v>0</v>
      </c>
      <c r="AH301">
        <v>0</v>
      </c>
      <c r="AI301">
        <v>9.81</v>
      </c>
      <c r="AJ301">
        <v>1</v>
      </c>
      <c r="AK301">
        <v>1</v>
      </c>
      <c r="AL301">
        <v>1</v>
      </c>
      <c r="AN301">
        <v>0</v>
      </c>
      <c r="AO301">
        <v>1</v>
      </c>
      <c r="AP301">
        <v>0</v>
      </c>
      <c r="AQ301">
        <v>0</v>
      </c>
      <c r="AR301">
        <v>0</v>
      </c>
      <c r="AS301" t="s">
        <v>3</v>
      </c>
      <c r="AT301">
        <v>1.7899999999999999E-2</v>
      </c>
      <c r="AU301" t="s">
        <v>3</v>
      </c>
      <c r="AV301">
        <v>0</v>
      </c>
      <c r="AW301">
        <v>2</v>
      </c>
      <c r="AX301">
        <v>68991850</v>
      </c>
      <c r="AY301">
        <v>1</v>
      </c>
      <c r="AZ301">
        <v>0</v>
      </c>
      <c r="BA301">
        <v>312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Y301*Source!I108</f>
        <v>6.9487799999999999E-3</v>
      </c>
      <c r="CY301">
        <f t="shared" si="49"/>
        <v>95794.65</v>
      </c>
      <c r="CZ301">
        <f t="shared" si="50"/>
        <v>9765</v>
      </c>
      <c r="DA301">
        <f t="shared" si="51"/>
        <v>9.81</v>
      </c>
      <c r="DB301">
        <f t="shared" si="52"/>
        <v>174.79</v>
      </c>
      <c r="DC301">
        <f t="shared" si="53"/>
        <v>0</v>
      </c>
    </row>
    <row r="302" spans="1:107" x14ac:dyDescent="0.2">
      <c r="A302">
        <f>ROW(Source!A108)</f>
        <v>108</v>
      </c>
      <c r="B302">
        <v>68990560</v>
      </c>
      <c r="C302">
        <v>68991821</v>
      </c>
      <c r="D302">
        <v>64268990</v>
      </c>
      <c r="E302">
        <v>1</v>
      </c>
      <c r="F302">
        <v>1</v>
      </c>
      <c r="G302">
        <v>1</v>
      </c>
      <c r="H302">
        <v>3</v>
      </c>
      <c r="I302" t="s">
        <v>382</v>
      </c>
      <c r="J302" t="s">
        <v>384</v>
      </c>
      <c r="K302" t="s">
        <v>383</v>
      </c>
      <c r="L302">
        <v>1327</v>
      </c>
      <c r="N302">
        <v>1005</v>
      </c>
      <c r="O302" t="s">
        <v>46</v>
      </c>
      <c r="P302" t="s">
        <v>46</v>
      </c>
      <c r="Q302">
        <v>1</v>
      </c>
      <c r="W302">
        <v>0</v>
      </c>
      <c r="X302">
        <v>7197516</v>
      </c>
      <c r="Y302">
        <v>18.547141</v>
      </c>
      <c r="AA302">
        <v>6293.12</v>
      </c>
      <c r="AB302">
        <v>0</v>
      </c>
      <c r="AC302">
        <v>0</v>
      </c>
      <c r="AD302">
        <v>0</v>
      </c>
      <c r="AE302">
        <v>795.59</v>
      </c>
      <c r="AF302">
        <v>0</v>
      </c>
      <c r="AG302">
        <v>0</v>
      </c>
      <c r="AH302">
        <v>0</v>
      </c>
      <c r="AI302">
        <v>7.91</v>
      </c>
      <c r="AJ302">
        <v>1</v>
      </c>
      <c r="AK302">
        <v>1</v>
      </c>
      <c r="AL302">
        <v>1</v>
      </c>
      <c r="AN302">
        <v>0</v>
      </c>
      <c r="AO302">
        <v>0</v>
      </c>
      <c r="AP302">
        <v>0</v>
      </c>
      <c r="AQ302">
        <v>0</v>
      </c>
      <c r="AR302">
        <v>0</v>
      </c>
      <c r="AS302" t="s">
        <v>3</v>
      </c>
      <c r="AT302">
        <v>18.547141</v>
      </c>
      <c r="AU302" t="s">
        <v>3</v>
      </c>
      <c r="AV302">
        <v>0</v>
      </c>
      <c r="AW302">
        <v>1</v>
      </c>
      <c r="AX302">
        <v>-1</v>
      </c>
      <c r="AY302">
        <v>0</v>
      </c>
      <c r="AZ302">
        <v>0</v>
      </c>
      <c r="BA302" t="s">
        <v>3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Y302*Source!I108</f>
        <v>7.2000001361999999</v>
      </c>
      <c r="CY302">
        <f t="shared" si="49"/>
        <v>6293.12</v>
      </c>
      <c r="CZ302">
        <f t="shared" si="50"/>
        <v>795.59</v>
      </c>
      <c r="DA302">
        <f t="shared" si="51"/>
        <v>7.91</v>
      </c>
      <c r="DB302">
        <f t="shared" si="52"/>
        <v>14755.92</v>
      </c>
      <c r="DC302">
        <f t="shared" si="53"/>
        <v>0</v>
      </c>
    </row>
    <row r="303" spans="1:107" x14ac:dyDescent="0.2">
      <c r="A303">
        <f>ROW(Source!A108)</f>
        <v>108</v>
      </c>
      <c r="B303">
        <v>68990560</v>
      </c>
      <c r="C303">
        <v>68991821</v>
      </c>
      <c r="D303">
        <v>53730732</v>
      </c>
      <c r="E303">
        <v>1</v>
      </c>
      <c r="F303">
        <v>1</v>
      </c>
      <c r="G303">
        <v>1</v>
      </c>
      <c r="H303">
        <v>3</v>
      </c>
      <c r="I303" t="s">
        <v>386</v>
      </c>
      <c r="J303" t="s">
        <v>388</v>
      </c>
      <c r="K303" t="s">
        <v>387</v>
      </c>
      <c r="L303">
        <v>1348</v>
      </c>
      <c r="N303">
        <v>1009</v>
      </c>
      <c r="O303" t="s">
        <v>71</v>
      </c>
      <c r="P303" t="s">
        <v>71</v>
      </c>
      <c r="Q303">
        <v>1000</v>
      </c>
      <c r="W303">
        <v>0</v>
      </c>
      <c r="X303">
        <v>-1486446128</v>
      </c>
      <c r="Y303">
        <v>3.1941999999999998E-2</v>
      </c>
      <c r="AA303">
        <v>61504.04</v>
      </c>
      <c r="AB303">
        <v>0</v>
      </c>
      <c r="AC303">
        <v>0</v>
      </c>
      <c r="AD303">
        <v>0</v>
      </c>
      <c r="AE303">
        <v>6107.65</v>
      </c>
      <c r="AF303">
        <v>0</v>
      </c>
      <c r="AG303">
        <v>0</v>
      </c>
      <c r="AH303">
        <v>0</v>
      </c>
      <c r="AI303">
        <v>10.07</v>
      </c>
      <c r="AJ303">
        <v>1</v>
      </c>
      <c r="AK303">
        <v>1</v>
      </c>
      <c r="AL303">
        <v>1</v>
      </c>
      <c r="AN303">
        <v>0</v>
      </c>
      <c r="AO303">
        <v>0</v>
      </c>
      <c r="AP303">
        <v>0</v>
      </c>
      <c r="AQ303">
        <v>0</v>
      </c>
      <c r="AR303">
        <v>0</v>
      </c>
      <c r="AS303" t="s">
        <v>3</v>
      </c>
      <c r="AT303">
        <v>3.1941999999999998E-2</v>
      </c>
      <c r="AU303" t="s">
        <v>3</v>
      </c>
      <c r="AV303">
        <v>0</v>
      </c>
      <c r="AW303">
        <v>1</v>
      </c>
      <c r="AX303">
        <v>-1</v>
      </c>
      <c r="AY303">
        <v>0</v>
      </c>
      <c r="AZ303">
        <v>0</v>
      </c>
      <c r="BA303" t="s">
        <v>3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Y303*Source!I108</f>
        <v>1.2399884399999998E-2</v>
      </c>
      <c r="CY303">
        <f t="shared" si="49"/>
        <v>61504.04</v>
      </c>
      <c r="CZ303">
        <f t="shared" si="50"/>
        <v>6107.65</v>
      </c>
      <c r="DA303">
        <f t="shared" si="51"/>
        <v>10.07</v>
      </c>
      <c r="DB303">
        <f t="shared" si="52"/>
        <v>195.09</v>
      </c>
      <c r="DC303">
        <f t="shared" si="53"/>
        <v>0</v>
      </c>
    </row>
    <row r="304" spans="1:107" x14ac:dyDescent="0.2">
      <c r="A304">
        <f>ROW(Source!A108)</f>
        <v>108</v>
      </c>
      <c r="B304">
        <v>68990560</v>
      </c>
      <c r="C304">
        <v>68991821</v>
      </c>
      <c r="D304">
        <v>64307840</v>
      </c>
      <c r="E304">
        <v>1</v>
      </c>
      <c r="F304">
        <v>1</v>
      </c>
      <c r="G304">
        <v>1</v>
      </c>
      <c r="H304">
        <v>3</v>
      </c>
      <c r="I304" t="s">
        <v>377</v>
      </c>
      <c r="J304" t="s">
        <v>380</v>
      </c>
      <c r="K304" t="s">
        <v>378</v>
      </c>
      <c r="L304">
        <v>1301</v>
      </c>
      <c r="N304">
        <v>1003</v>
      </c>
      <c r="O304" t="s">
        <v>379</v>
      </c>
      <c r="P304" t="s">
        <v>379</v>
      </c>
      <c r="Q304">
        <v>1</v>
      </c>
      <c r="W304">
        <v>0</v>
      </c>
      <c r="X304">
        <v>1389676980</v>
      </c>
      <c r="Y304">
        <v>41.215868</v>
      </c>
      <c r="AA304">
        <v>126.13</v>
      </c>
      <c r="AB304">
        <v>0</v>
      </c>
      <c r="AC304">
        <v>0</v>
      </c>
      <c r="AD304">
        <v>0</v>
      </c>
      <c r="AE304">
        <v>17.79</v>
      </c>
      <c r="AF304">
        <v>0</v>
      </c>
      <c r="AG304">
        <v>0</v>
      </c>
      <c r="AH304">
        <v>0</v>
      </c>
      <c r="AI304">
        <v>7.09</v>
      </c>
      <c r="AJ304">
        <v>1</v>
      </c>
      <c r="AK304">
        <v>1</v>
      </c>
      <c r="AL304">
        <v>1</v>
      </c>
      <c r="AN304">
        <v>0</v>
      </c>
      <c r="AO304">
        <v>0</v>
      </c>
      <c r="AP304">
        <v>0</v>
      </c>
      <c r="AQ304">
        <v>0</v>
      </c>
      <c r="AR304">
        <v>0</v>
      </c>
      <c r="AS304" t="s">
        <v>3</v>
      </c>
      <c r="AT304">
        <v>41.215868</v>
      </c>
      <c r="AU304" t="s">
        <v>3</v>
      </c>
      <c r="AV304">
        <v>0</v>
      </c>
      <c r="AW304">
        <v>1</v>
      </c>
      <c r="AX304">
        <v>-1</v>
      </c>
      <c r="AY304">
        <v>0</v>
      </c>
      <c r="AZ304">
        <v>0</v>
      </c>
      <c r="BA304" t="s">
        <v>3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Y304*Source!I108</f>
        <v>15.9999999576</v>
      </c>
      <c r="CY304">
        <f t="shared" si="49"/>
        <v>126.13</v>
      </c>
      <c r="CZ304">
        <f t="shared" si="50"/>
        <v>17.79</v>
      </c>
      <c r="DA304">
        <f t="shared" si="51"/>
        <v>7.09</v>
      </c>
      <c r="DB304">
        <f t="shared" si="52"/>
        <v>733.23</v>
      </c>
      <c r="DC304">
        <f t="shared" si="53"/>
        <v>0</v>
      </c>
    </row>
    <row r="305" spans="1:107" x14ac:dyDescent="0.2">
      <c r="A305">
        <f>ROW(Source!A108)</f>
        <v>108</v>
      </c>
      <c r="B305">
        <v>68990560</v>
      </c>
      <c r="C305">
        <v>68991821</v>
      </c>
      <c r="D305">
        <v>64307922</v>
      </c>
      <c r="E305">
        <v>1</v>
      </c>
      <c r="F305">
        <v>1</v>
      </c>
      <c r="G305">
        <v>1</v>
      </c>
      <c r="H305">
        <v>3</v>
      </c>
      <c r="I305" t="s">
        <v>373</v>
      </c>
      <c r="J305" t="s">
        <v>375</v>
      </c>
      <c r="K305" t="s">
        <v>374</v>
      </c>
      <c r="L305">
        <v>1348</v>
      </c>
      <c r="N305">
        <v>1009</v>
      </c>
      <c r="O305" t="s">
        <v>71</v>
      </c>
      <c r="P305" t="s">
        <v>71</v>
      </c>
      <c r="Q305">
        <v>1000</v>
      </c>
      <c r="W305">
        <v>0</v>
      </c>
      <c r="X305">
        <v>1830003485</v>
      </c>
      <c r="Y305">
        <v>0.311695</v>
      </c>
      <c r="AA305">
        <v>53956.5</v>
      </c>
      <c r="AB305">
        <v>0</v>
      </c>
      <c r="AC305">
        <v>0</v>
      </c>
      <c r="AD305">
        <v>0</v>
      </c>
      <c r="AE305">
        <v>8077.32</v>
      </c>
      <c r="AF305">
        <v>0</v>
      </c>
      <c r="AG305">
        <v>0</v>
      </c>
      <c r="AH305">
        <v>0</v>
      </c>
      <c r="AI305">
        <v>6.68</v>
      </c>
      <c r="AJ305">
        <v>1</v>
      </c>
      <c r="AK305">
        <v>1</v>
      </c>
      <c r="AL305">
        <v>1</v>
      </c>
      <c r="AN305">
        <v>0</v>
      </c>
      <c r="AO305">
        <v>0</v>
      </c>
      <c r="AP305">
        <v>0</v>
      </c>
      <c r="AQ305">
        <v>0</v>
      </c>
      <c r="AR305">
        <v>0</v>
      </c>
      <c r="AS305" t="s">
        <v>3</v>
      </c>
      <c r="AT305">
        <v>0.311695</v>
      </c>
      <c r="AU305" t="s">
        <v>3</v>
      </c>
      <c r="AV305">
        <v>0</v>
      </c>
      <c r="AW305">
        <v>1</v>
      </c>
      <c r="AX305">
        <v>-1</v>
      </c>
      <c r="AY305">
        <v>0</v>
      </c>
      <c r="AZ305">
        <v>0</v>
      </c>
      <c r="BA305" t="s">
        <v>3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Y305*Source!I108</f>
        <v>0.120999999</v>
      </c>
      <c r="CY305">
        <f t="shared" si="49"/>
        <v>53956.5</v>
      </c>
      <c r="CZ305">
        <f t="shared" si="50"/>
        <v>8077.32</v>
      </c>
      <c r="DA305">
        <f t="shared" si="51"/>
        <v>6.68</v>
      </c>
      <c r="DB305">
        <f t="shared" si="52"/>
        <v>2517.66</v>
      </c>
      <c r="DC305">
        <f t="shared" si="53"/>
        <v>0</v>
      </c>
    </row>
    <row r="306" spans="1:107" x14ac:dyDescent="0.2">
      <c r="A306">
        <f>ROW(Source!A108)</f>
        <v>108</v>
      </c>
      <c r="B306">
        <v>68990560</v>
      </c>
      <c r="C306">
        <v>68991821</v>
      </c>
      <c r="D306">
        <v>64245580</v>
      </c>
      <c r="E306">
        <v>56</v>
      </c>
      <c r="F306">
        <v>1</v>
      </c>
      <c r="G306">
        <v>1</v>
      </c>
      <c r="H306">
        <v>3</v>
      </c>
      <c r="I306" t="s">
        <v>837</v>
      </c>
      <c r="J306" t="s">
        <v>3</v>
      </c>
      <c r="K306" t="s">
        <v>838</v>
      </c>
      <c r="L306">
        <v>1374</v>
      </c>
      <c r="N306">
        <v>1013</v>
      </c>
      <c r="O306" t="s">
        <v>839</v>
      </c>
      <c r="P306" t="s">
        <v>839</v>
      </c>
      <c r="Q306">
        <v>1</v>
      </c>
      <c r="W306">
        <v>0</v>
      </c>
      <c r="X306">
        <v>-1731369543</v>
      </c>
      <c r="Y306">
        <v>22.56</v>
      </c>
      <c r="AA306">
        <v>1</v>
      </c>
      <c r="AB306">
        <v>0</v>
      </c>
      <c r="AC306">
        <v>0</v>
      </c>
      <c r="AD306">
        <v>0</v>
      </c>
      <c r="AE306">
        <v>1</v>
      </c>
      <c r="AF306">
        <v>0</v>
      </c>
      <c r="AG306">
        <v>0</v>
      </c>
      <c r="AH306">
        <v>0</v>
      </c>
      <c r="AI306">
        <v>1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3</v>
      </c>
      <c r="AT306">
        <v>22.56</v>
      </c>
      <c r="AU306" t="s">
        <v>3</v>
      </c>
      <c r="AV306">
        <v>0</v>
      </c>
      <c r="AW306">
        <v>2</v>
      </c>
      <c r="AX306">
        <v>68991851</v>
      </c>
      <c r="AY306">
        <v>1</v>
      </c>
      <c r="AZ306">
        <v>0</v>
      </c>
      <c r="BA306">
        <v>313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Y306*Source!I108</f>
        <v>8.7577919999999985</v>
      </c>
      <c r="CY306">
        <f t="shared" si="49"/>
        <v>1</v>
      </c>
      <c r="CZ306">
        <f t="shared" si="50"/>
        <v>1</v>
      </c>
      <c r="DA306">
        <f t="shared" si="51"/>
        <v>1</v>
      </c>
      <c r="DB306">
        <f t="shared" si="52"/>
        <v>22.56</v>
      </c>
      <c r="DC306">
        <f t="shared" si="53"/>
        <v>0</v>
      </c>
    </row>
    <row r="307" spans="1:107" x14ac:dyDescent="0.2">
      <c r="A307">
        <f>ROW(Source!A113)</f>
        <v>113</v>
      </c>
      <c r="B307">
        <v>68990560</v>
      </c>
      <c r="C307">
        <v>68991856</v>
      </c>
      <c r="D307">
        <v>37071037</v>
      </c>
      <c r="E307">
        <v>56</v>
      </c>
      <c r="F307">
        <v>1</v>
      </c>
      <c r="G307">
        <v>1</v>
      </c>
      <c r="H307">
        <v>1</v>
      </c>
      <c r="I307" t="s">
        <v>840</v>
      </c>
      <c r="J307" t="s">
        <v>3</v>
      </c>
      <c r="K307" t="s">
        <v>841</v>
      </c>
      <c r="L307">
        <v>1191</v>
      </c>
      <c r="N307">
        <v>1013</v>
      </c>
      <c r="O307" t="s">
        <v>818</v>
      </c>
      <c r="P307" t="s">
        <v>818</v>
      </c>
      <c r="Q307">
        <v>1</v>
      </c>
      <c r="W307">
        <v>0</v>
      </c>
      <c r="X307">
        <v>1069510174</v>
      </c>
      <c r="Y307">
        <v>162</v>
      </c>
      <c r="AA307">
        <v>0</v>
      </c>
      <c r="AB307">
        <v>0</v>
      </c>
      <c r="AC307">
        <v>0</v>
      </c>
      <c r="AD307">
        <v>9.6199999999999992</v>
      </c>
      <c r="AE307">
        <v>0</v>
      </c>
      <c r="AF307">
        <v>0</v>
      </c>
      <c r="AG307">
        <v>0</v>
      </c>
      <c r="AH307">
        <v>9.6199999999999992</v>
      </c>
      <c r="AI307">
        <v>1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1</v>
      </c>
      <c r="AQ307">
        <v>0</v>
      </c>
      <c r="AR307">
        <v>0</v>
      </c>
      <c r="AS307" t="s">
        <v>3</v>
      </c>
      <c r="AT307">
        <v>120</v>
      </c>
      <c r="AU307" t="s">
        <v>200</v>
      </c>
      <c r="AV307">
        <v>1</v>
      </c>
      <c r="AW307">
        <v>2</v>
      </c>
      <c r="AX307">
        <v>68991878</v>
      </c>
      <c r="AY307">
        <v>1</v>
      </c>
      <c r="AZ307">
        <v>0</v>
      </c>
      <c r="BA307">
        <v>314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Y307*Source!I113</f>
        <v>17.82</v>
      </c>
      <c r="CY307">
        <f>AD307</f>
        <v>9.6199999999999992</v>
      </c>
      <c r="CZ307">
        <f>AH307</f>
        <v>9.6199999999999992</v>
      </c>
      <c r="DA307">
        <f>AL307</f>
        <v>1</v>
      </c>
      <c r="DB307">
        <f t="shared" ref="DB307:DB314" si="54">ROUND((ROUND(AT307*CZ307,2)*1.35),2)</f>
        <v>1558.44</v>
      </c>
      <c r="DC307">
        <f t="shared" ref="DC307:DC314" si="55">ROUND((ROUND(AT307*AG307,2)*1.35),2)</f>
        <v>0</v>
      </c>
    </row>
    <row r="308" spans="1:107" x14ac:dyDescent="0.2">
      <c r="A308">
        <f>ROW(Source!A113)</f>
        <v>113</v>
      </c>
      <c r="B308">
        <v>68990560</v>
      </c>
      <c r="C308">
        <v>68991856</v>
      </c>
      <c r="D308">
        <v>37064876</v>
      </c>
      <c r="E308">
        <v>56</v>
      </c>
      <c r="F308">
        <v>1</v>
      </c>
      <c r="G308">
        <v>1</v>
      </c>
      <c r="H308">
        <v>1</v>
      </c>
      <c r="I308" t="s">
        <v>819</v>
      </c>
      <c r="J308" t="s">
        <v>3</v>
      </c>
      <c r="K308" t="s">
        <v>820</v>
      </c>
      <c r="L308">
        <v>1191</v>
      </c>
      <c r="N308">
        <v>1013</v>
      </c>
      <c r="O308" t="s">
        <v>818</v>
      </c>
      <c r="P308" t="s">
        <v>818</v>
      </c>
      <c r="Q308">
        <v>1</v>
      </c>
      <c r="W308">
        <v>0</v>
      </c>
      <c r="X308">
        <v>-1417349443</v>
      </c>
      <c r="Y308">
        <v>2.4840000000000004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1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1</v>
      </c>
      <c r="AQ308">
        <v>0</v>
      </c>
      <c r="AR308">
        <v>0</v>
      </c>
      <c r="AS308" t="s">
        <v>3</v>
      </c>
      <c r="AT308">
        <v>1.84</v>
      </c>
      <c r="AU308" t="s">
        <v>200</v>
      </c>
      <c r="AV308">
        <v>2</v>
      </c>
      <c r="AW308">
        <v>2</v>
      </c>
      <c r="AX308">
        <v>68991879</v>
      </c>
      <c r="AY308">
        <v>1</v>
      </c>
      <c r="AZ308">
        <v>0</v>
      </c>
      <c r="BA308">
        <v>315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Y308*Source!I113</f>
        <v>0.27324000000000004</v>
      </c>
      <c r="CY308">
        <f>AD308</f>
        <v>0</v>
      </c>
      <c r="CZ308">
        <f>AH308</f>
        <v>0</v>
      </c>
      <c r="DA308">
        <f>AL308</f>
        <v>1</v>
      </c>
      <c r="DB308">
        <f t="shared" si="54"/>
        <v>0</v>
      </c>
      <c r="DC308">
        <f t="shared" si="55"/>
        <v>0</v>
      </c>
    </row>
    <row r="309" spans="1:107" x14ac:dyDescent="0.2">
      <c r="A309">
        <f>ROW(Source!A113)</f>
        <v>113</v>
      </c>
      <c r="B309">
        <v>68990560</v>
      </c>
      <c r="C309">
        <v>68991856</v>
      </c>
      <c r="D309">
        <v>64401763</v>
      </c>
      <c r="E309">
        <v>1</v>
      </c>
      <c r="F309">
        <v>1</v>
      </c>
      <c r="G309">
        <v>1</v>
      </c>
      <c r="H309">
        <v>2</v>
      </c>
      <c r="I309" t="s">
        <v>821</v>
      </c>
      <c r="J309" t="s">
        <v>822</v>
      </c>
      <c r="K309" t="s">
        <v>823</v>
      </c>
      <c r="L309">
        <v>1368</v>
      </c>
      <c r="N309">
        <v>1011</v>
      </c>
      <c r="O309" t="s">
        <v>824</v>
      </c>
      <c r="P309" t="s">
        <v>824</v>
      </c>
      <c r="Q309">
        <v>1</v>
      </c>
      <c r="W309">
        <v>0</v>
      </c>
      <c r="X309">
        <v>-1346461524</v>
      </c>
      <c r="Y309">
        <v>0.67500000000000004</v>
      </c>
      <c r="AA309">
        <v>0</v>
      </c>
      <c r="AB309">
        <v>1074.3699999999999</v>
      </c>
      <c r="AC309">
        <v>454.28</v>
      </c>
      <c r="AD309">
        <v>0</v>
      </c>
      <c r="AE309">
        <v>0</v>
      </c>
      <c r="AF309">
        <v>115.4</v>
      </c>
      <c r="AG309">
        <v>13.5</v>
      </c>
      <c r="AH309">
        <v>0</v>
      </c>
      <c r="AI309">
        <v>1</v>
      </c>
      <c r="AJ309">
        <v>9.31</v>
      </c>
      <c r="AK309">
        <v>33.65</v>
      </c>
      <c r="AL309">
        <v>1</v>
      </c>
      <c r="AN309">
        <v>0</v>
      </c>
      <c r="AO309">
        <v>1</v>
      </c>
      <c r="AP309">
        <v>1</v>
      </c>
      <c r="AQ309">
        <v>0</v>
      </c>
      <c r="AR309">
        <v>0</v>
      </c>
      <c r="AS309" t="s">
        <v>3</v>
      </c>
      <c r="AT309">
        <v>0.5</v>
      </c>
      <c r="AU309" t="s">
        <v>200</v>
      </c>
      <c r="AV309">
        <v>0</v>
      </c>
      <c r="AW309">
        <v>2</v>
      </c>
      <c r="AX309">
        <v>68991880</v>
      </c>
      <c r="AY309">
        <v>1</v>
      </c>
      <c r="AZ309">
        <v>0</v>
      </c>
      <c r="BA309">
        <v>316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Y309*Source!I113</f>
        <v>7.425000000000001E-2</v>
      </c>
      <c r="CY309">
        <f t="shared" ref="CY309:CY314" si="56">AB309</f>
        <v>1074.3699999999999</v>
      </c>
      <c r="CZ309">
        <f t="shared" ref="CZ309:CZ314" si="57">AF309</f>
        <v>115.4</v>
      </c>
      <c r="DA309">
        <f t="shared" ref="DA309:DA314" si="58">AJ309</f>
        <v>9.31</v>
      </c>
      <c r="DB309">
        <f t="shared" si="54"/>
        <v>77.900000000000006</v>
      </c>
      <c r="DC309">
        <f t="shared" si="55"/>
        <v>9.11</v>
      </c>
    </row>
    <row r="310" spans="1:107" x14ac:dyDescent="0.2">
      <c r="A310">
        <f>ROW(Source!A113)</f>
        <v>113</v>
      </c>
      <c r="B310">
        <v>68990560</v>
      </c>
      <c r="C310">
        <v>68991856</v>
      </c>
      <c r="D310">
        <v>64401904</v>
      </c>
      <c r="E310">
        <v>1</v>
      </c>
      <c r="F310">
        <v>1</v>
      </c>
      <c r="G310">
        <v>1</v>
      </c>
      <c r="H310">
        <v>2</v>
      </c>
      <c r="I310" t="s">
        <v>960</v>
      </c>
      <c r="J310" t="s">
        <v>961</v>
      </c>
      <c r="K310" t="s">
        <v>962</v>
      </c>
      <c r="L310">
        <v>1368</v>
      </c>
      <c r="N310">
        <v>1011</v>
      </c>
      <c r="O310" t="s">
        <v>824</v>
      </c>
      <c r="P310" t="s">
        <v>824</v>
      </c>
      <c r="Q310">
        <v>1</v>
      </c>
      <c r="W310">
        <v>0</v>
      </c>
      <c r="X310">
        <v>-1595939894</v>
      </c>
      <c r="Y310">
        <v>1.8495000000000004</v>
      </c>
      <c r="AA310">
        <v>0</v>
      </c>
      <c r="AB310">
        <v>31.19</v>
      </c>
      <c r="AC310">
        <v>0</v>
      </c>
      <c r="AD310">
        <v>0</v>
      </c>
      <c r="AE310">
        <v>0</v>
      </c>
      <c r="AF310">
        <v>6.9</v>
      </c>
      <c r="AG310">
        <v>0</v>
      </c>
      <c r="AH310">
        <v>0</v>
      </c>
      <c r="AI310">
        <v>1</v>
      </c>
      <c r="AJ310">
        <v>4.5199999999999996</v>
      </c>
      <c r="AK310">
        <v>33.65</v>
      </c>
      <c r="AL310">
        <v>1</v>
      </c>
      <c r="AN310">
        <v>0</v>
      </c>
      <c r="AO310">
        <v>1</v>
      </c>
      <c r="AP310">
        <v>1</v>
      </c>
      <c r="AQ310">
        <v>0</v>
      </c>
      <c r="AR310">
        <v>0</v>
      </c>
      <c r="AS310" t="s">
        <v>3</v>
      </c>
      <c r="AT310">
        <v>1.37</v>
      </c>
      <c r="AU310" t="s">
        <v>200</v>
      </c>
      <c r="AV310">
        <v>0</v>
      </c>
      <c r="AW310">
        <v>2</v>
      </c>
      <c r="AX310">
        <v>68991881</v>
      </c>
      <c r="AY310">
        <v>1</v>
      </c>
      <c r="AZ310">
        <v>0</v>
      </c>
      <c r="BA310">
        <v>317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Y310*Source!I113</f>
        <v>0.20344500000000004</v>
      </c>
      <c r="CY310">
        <f t="shared" si="56"/>
        <v>31.19</v>
      </c>
      <c r="CZ310">
        <f t="shared" si="57"/>
        <v>6.9</v>
      </c>
      <c r="DA310">
        <f t="shared" si="58"/>
        <v>4.5199999999999996</v>
      </c>
      <c r="DB310">
        <f t="shared" si="54"/>
        <v>12.76</v>
      </c>
      <c r="DC310">
        <f t="shared" si="55"/>
        <v>0</v>
      </c>
    </row>
    <row r="311" spans="1:107" x14ac:dyDescent="0.2">
      <c r="A311">
        <f>ROW(Source!A113)</f>
        <v>113</v>
      </c>
      <c r="B311">
        <v>68990560</v>
      </c>
      <c r="C311">
        <v>68991856</v>
      </c>
      <c r="D311">
        <v>64402692</v>
      </c>
      <c r="E311">
        <v>1</v>
      </c>
      <c r="F311">
        <v>1</v>
      </c>
      <c r="G311">
        <v>1</v>
      </c>
      <c r="H311">
        <v>2</v>
      </c>
      <c r="I311" t="s">
        <v>1127</v>
      </c>
      <c r="J311" t="s">
        <v>1128</v>
      </c>
      <c r="K311" t="s">
        <v>1129</v>
      </c>
      <c r="L311">
        <v>1368</v>
      </c>
      <c r="N311">
        <v>1011</v>
      </c>
      <c r="O311" t="s">
        <v>824</v>
      </c>
      <c r="P311" t="s">
        <v>824</v>
      </c>
      <c r="Q311">
        <v>1</v>
      </c>
      <c r="W311">
        <v>0</v>
      </c>
      <c r="X311">
        <v>2125287034</v>
      </c>
      <c r="Y311">
        <v>0.67500000000000004</v>
      </c>
      <c r="AA311">
        <v>0</v>
      </c>
      <c r="AB311">
        <v>875.57</v>
      </c>
      <c r="AC311">
        <v>390.34</v>
      </c>
      <c r="AD311">
        <v>0</v>
      </c>
      <c r="AE311">
        <v>0</v>
      </c>
      <c r="AF311">
        <v>85.84</v>
      </c>
      <c r="AG311">
        <v>11.6</v>
      </c>
      <c r="AH311">
        <v>0</v>
      </c>
      <c r="AI311">
        <v>1</v>
      </c>
      <c r="AJ311">
        <v>10.199999999999999</v>
      </c>
      <c r="AK311">
        <v>33.65</v>
      </c>
      <c r="AL311">
        <v>1</v>
      </c>
      <c r="AN311">
        <v>0</v>
      </c>
      <c r="AO311">
        <v>1</v>
      </c>
      <c r="AP311">
        <v>1</v>
      </c>
      <c r="AQ311">
        <v>0</v>
      </c>
      <c r="AR311">
        <v>0</v>
      </c>
      <c r="AS311" t="s">
        <v>3</v>
      </c>
      <c r="AT311">
        <v>0.5</v>
      </c>
      <c r="AU311" t="s">
        <v>200</v>
      </c>
      <c r="AV311">
        <v>0</v>
      </c>
      <c r="AW311">
        <v>2</v>
      </c>
      <c r="AX311">
        <v>68991882</v>
      </c>
      <c r="AY311">
        <v>1</v>
      </c>
      <c r="AZ311">
        <v>0</v>
      </c>
      <c r="BA311">
        <v>318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Y311*Source!I113</f>
        <v>7.425000000000001E-2</v>
      </c>
      <c r="CY311">
        <f t="shared" si="56"/>
        <v>875.57</v>
      </c>
      <c r="CZ311">
        <f t="shared" si="57"/>
        <v>85.84</v>
      </c>
      <c r="DA311">
        <f t="shared" si="58"/>
        <v>10.199999999999999</v>
      </c>
      <c r="DB311">
        <f t="shared" si="54"/>
        <v>57.94</v>
      </c>
      <c r="DC311">
        <f t="shared" si="55"/>
        <v>7.83</v>
      </c>
    </row>
    <row r="312" spans="1:107" x14ac:dyDescent="0.2">
      <c r="A312">
        <f>ROW(Source!A113)</f>
        <v>113</v>
      </c>
      <c r="B312">
        <v>68990560</v>
      </c>
      <c r="C312">
        <v>68991856</v>
      </c>
      <c r="D312">
        <v>64402844</v>
      </c>
      <c r="E312">
        <v>1</v>
      </c>
      <c r="F312">
        <v>1</v>
      </c>
      <c r="G312">
        <v>1</v>
      </c>
      <c r="H312">
        <v>2</v>
      </c>
      <c r="I312" t="s">
        <v>910</v>
      </c>
      <c r="J312" t="s">
        <v>911</v>
      </c>
      <c r="K312" t="s">
        <v>912</v>
      </c>
      <c r="L312">
        <v>1368</v>
      </c>
      <c r="N312">
        <v>1011</v>
      </c>
      <c r="O312" t="s">
        <v>824</v>
      </c>
      <c r="P312" t="s">
        <v>824</v>
      </c>
      <c r="Q312">
        <v>1</v>
      </c>
      <c r="W312">
        <v>0</v>
      </c>
      <c r="X312">
        <v>1927650788</v>
      </c>
      <c r="Y312">
        <v>1.35</v>
      </c>
      <c r="AA312">
        <v>0</v>
      </c>
      <c r="AB312">
        <v>4.68</v>
      </c>
      <c r="AC312">
        <v>0</v>
      </c>
      <c r="AD312">
        <v>0</v>
      </c>
      <c r="AE312">
        <v>0</v>
      </c>
      <c r="AF312">
        <v>1.2</v>
      </c>
      <c r="AG312">
        <v>0</v>
      </c>
      <c r="AH312">
        <v>0</v>
      </c>
      <c r="AI312">
        <v>1</v>
      </c>
      <c r="AJ312">
        <v>3.9</v>
      </c>
      <c r="AK312">
        <v>33.65</v>
      </c>
      <c r="AL312">
        <v>1</v>
      </c>
      <c r="AN312">
        <v>0</v>
      </c>
      <c r="AO312">
        <v>1</v>
      </c>
      <c r="AP312">
        <v>1</v>
      </c>
      <c r="AQ312">
        <v>0</v>
      </c>
      <c r="AR312">
        <v>0</v>
      </c>
      <c r="AS312" t="s">
        <v>3</v>
      </c>
      <c r="AT312">
        <v>1</v>
      </c>
      <c r="AU312" t="s">
        <v>200</v>
      </c>
      <c r="AV312">
        <v>0</v>
      </c>
      <c r="AW312">
        <v>2</v>
      </c>
      <c r="AX312">
        <v>68991883</v>
      </c>
      <c r="AY312">
        <v>1</v>
      </c>
      <c r="AZ312">
        <v>0</v>
      </c>
      <c r="BA312">
        <v>319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Y312*Source!I113</f>
        <v>0.14850000000000002</v>
      </c>
      <c r="CY312">
        <f t="shared" si="56"/>
        <v>4.68</v>
      </c>
      <c r="CZ312">
        <f t="shared" si="57"/>
        <v>1.2</v>
      </c>
      <c r="DA312">
        <f t="shared" si="58"/>
        <v>3.9</v>
      </c>
      <c r="DB312">
        <f t="shared" si="54"/>
        <v>1.62</v>
      </c>
      <c r="DC312">
        <f t="shared" si="55"/>
        <v>0</v>
      </c>
    </row>
    <row r="313" spans="1:107" x14ac:dyDescent="0.2">
      <c r="A313">
        <f>ROW(Source!A113)</f>
        <v>113</v>
      </c>
      <c r="B313">
        <v>68990560</v>
      </c>
      <c r="C313">
        <v>68991856</v>
      </c>
      <c r="D313">
        <v>64402901</v>
      </c>
      <c r="E313">
        <v>1</v>
      </c>
      <c r="F313">
        <v>1</v>
      </c>
      <c r="G313">
        <v>1</v>
      </c>
      <c r="H313">
        <v>2</v>
      </c>
      <c r="I313" t="s">
        <v>862</v>
      </c>
      <c r="J313" t="s">
        <v>863</v>
      </c>
      <c r="K313" t="s">
        <v>864</v>
      </c>
      <c r="L313">
        <v>1368</v>
      </c>
      <c r="N313">
        <v>1011</v>
      </c>
      <c r="O313" t="s">
        <v>824</v>
      </c>
      <c r="P313" t="s">
        <v>824</v>
      </c>
      <c r="Q313">
        <v>1</v>
      </c>
      <c r="W313">
        <v>0</v>
      </c>
      <c r="X313">
        <v>900652632</v>
      </c>
      <c r="Y313">
        <v>40.905000000000001</v>
      </c>
      <c r="AA313">
        <v>0</v>
      </c>
      <c r="AB313">
        <v>40.18</v>
      </c>
      <c r="AC313">
        <v>0</v>
      </c>
      <c r="AD313">
        <v>0</v>
      </c>
      <c r="AE313">
        <v>0</v>
      </c>
      <c r="AF313">
        <v>8.1</v>
      </c>
      <c r="AG313">
        <v>0</v>
      </c>
      <c r="AH313">
        <v>0</v>
      </c>
      <c r="AI313">
        <v>1</v>
      </c>
      <c r="AJ313">
        <v>4.96</v>
      </c>
      <c r="AK313">
        <v>33.65</v>
      </c>
      <c r="AL313">
        <v>1</v>
      </c>
      <c r="AN313">
        <v>0</v>
      </c>
      <c r="AO313">
        <v>1</v>
      </c>
      <c r="AP313">
        <v>1</v>
      </c>
      <c r="AQ313">
        <v>0</v>
      </c>
      <c r="AR313">
        <v>0</v>
      </c>
      <c r="AS313" t="s">
        <v>3</v>
      </c>
      <c r="AT313">
        <v>30.3</v>
      </c>
      <c r="AU313" t="s">
        <v>200</v>
      </c>
      <c r="AV313">
        <v>0</v>
      </c>
      <c r="AW313">
        <v>2</v>
      </c>
      <c r="AX313">
        <v>68991884</v>
      </c>
      <c r="AY313">
        <v>1</v>
      </c>
      <c r="AZ313">
        <v>0</v>
      </c>
      <c r="BA313">
        <v>320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Y313*Source!I113</f>
        <v>4.4995500000000002</v>
      </c>
      <c r="CY313">
        <f t="shared" si="56"/>
        <v>40.18</v>
      </c>
      <c r="CZ313">
        <f t="shared" si="57"/>
        <v>8.1</v>
      </c>
      <c r="DA313">
        <f t="shared" si="58"/>
        <v>4.96</v>
      </c>
      <c r="DB313">
        <f t="shared" si="54"/>
        <v>331.33</v>
      </c>
      <c r="DC313">
        <f t="shared" si="55"/>
        <v>0</v>
      </c>
    </row>
    <row r="314" spans="1:107" x14ac:dyDescent="0.2">
      <c r="A314">
        <f>ROW(Source!A113)</f>
        <v>113</v>
      </c>
      <c r="B314">
        <v>68990560</v>
      </c>
      <c r="C314">
        <v>68991856</v>
      </c>
      <c r="D314">
        <v>64403408</v>
      </c>
      <c r="E314">
        <v>1</v>
      </c>
      <c r="F314">
        <v>1</v>
      </c>
      <c r="G314">
        <v>1</v>
      </c>
      <c r="H314">
        <v>2</v>
      </c>
      <c r="I314" t="s">
        <v>1133</v>
      </c>
      <c r="J314" t="s">
        <v>1134</v>
      </c>
      <c r="K314" t="s">
        <v>1135</v>
      </c>
      <c r="L314">
        <v>1368</v>
      </c>
      <c r="N314">
        <v>1011</v>
      </c>
      <c r="O314" t="s">
        <v>824</v>
      </c>
      <c r="P314" t="s">
        <v>824</v>
      </c>
      <c r="Q314">
        <v>1</v>
      </c>
      <c r="W314">
        <v>0</v>
      </c>
      <c r="X314">
        <v>670044708</v>
      </c>
      <c r="Y314">
        <v>1.1340000000000001</v>
      </c>
      <c r="AA314">
        <v>0</v>
      </c>
      <c r="AB314">
        <v>370.37</v>
      </c>
      <c r="AC314">
        <v>338.52</v>
      </c>
      <c r="AD314">
        <v>0</v>
      </c>
      <c r="AE314">
        <v>0</v>
      </c>
      <c r="AF314">
        <v>15.4</v>
      </c>
      <c r="AG314">
        <v>10.06</v>
      </c>
      <c r="AH314">
        <v>0</v>
      </c>
      <c r="AI314">
        <v>1</v>
      </c>
      <c r="AJ314">
        <v>24.05</v>
      </c>
      <c r="AK314">
        <v>33.65</v>
      </c>
      <c r="AL314">
        <v>1</v>
      </c>
      <c r="AN314">
        <v>0</v>
      </c>
      <c r="AO314">
        <v>1</v>
      </c>
      <c r="AP314">
        <v>1</v>
      </c>
      <c r="AQ314">
        <v>0</v>
      </c>
      <c r="AR314">
        <v>0</v>
      </c>
      <c r="AS314" t="s">
        <v>3</v>
      </c>
      <c r="AT314">
        <v>0.84</v>
      </c>
      <c r="AU314" t="s">
        <v>200</v>
      </c>
      <c r="AV314">
        <v>0</v>
      </c>
      <c r="AW314">
        <v>2</v>
      </c>
      <c r="AX314">
        <v>68991885</v>
      </c>
      <c r="AY314">
        <v>1</v>
      </c>
      <c r="AZ314">
        <v>0</v>
      </c>
      <c r="BA314">
        <v>321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Y314*Source!I113</f>
        <v>0.12474000000000002</v>
      </c>
      <c r="CY314">
        <f t="shared" si="56"/>
        <v>370.37</v>
      </c>
      <c r="CZ314">
        <f t="shared" si="57"/>
        <v>15.4</v>
      </c>
      <c r="DA314">
        <f t="shared" si="58"/>
        <v>24.05</v>
      </c>
      <c r="DB314">
        <f t="shared" si="54"/>
        <v>17.47</v>
      </c>
      <c r="DC314">
        <f t="shared" si="55"/>
        <v>11.41</v>
      </c>
    </row>
    <row r="315" spans="1:107" x14ac:dyDescent="0.2">
      <c r="A315">
        <f>ROW(Source!A113)</f>
        <v>113</v>
      </c>
      <c r="B315">
        <v>68990560</v>
      </c>
      <c r="C315">
        <v>68991856</v>
      </c>
      <c r="D315">
        <v>64251195</v>
      </c>
      <c r="E315">
        <v>1</v>
      </c>
      <c r="F315">
        <v>1</v>
      </c>
      <c r="G315">
        <v>1</v>
      </c>
      <c r="H315">
        <v>3</v>
      </c>
      <c r="I315" t="s">
        <v>916</v>
      </c>
      <c r="J315" t="s">
        <v>917</v>
      </c>
      <c r="K315" t="s">
        <v>918</v>
      </c>
      <c r="L315">
        <v>1339</v>
      </c>
      <c r="N315">
        <v>1007</v>
      </c>
      <c r="O315" t="s">
        <v>113</v>
      </c>
      <c r="P315" t="s">
        <v>113</v>
      </c>
      <c r="Q315">
        <v>1</v>
      </c>
      <c r="W315">
        <v>0</v>
      </c>
      <c r="X315">
        <v>-2065749550</v>
      </c>
      <c r="Y315">
        <v>2.6</v>
      </c>
      <c r="AA315">
        <v>60.89</v>
      </c>
      <c r="AB315">
        <v>0</v>
      </c>
      <c r="AC315">
        <v>0</v>
      </c>
      <c r="AD315">
        <v>0</v>
      </c>
      <c r="AE315">
        <v>6.22</v>
      </c>
      <c r="AF315">
        <v>0</v>
      </c>
      <c r="AG315">
        <v>0</v>
      </c>
      <c r="AH315">
        <v>0</v>
      </c>
      <c r="AI315">
        <v>9.7899999999999991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3</v>
      </c>
      <c r="AT315">
        <v>2.6</v>
      </c>
      <c r="AU315" t="s">
        <v>3</v>
      </c>
      <c r="AV315">
        <v>0</v>
      </c>
      <c r="AW315">
        <v>2</v>
      </c>
      <c r="AX315">
        <v>68991886</v>
      </c>
      <c r="AY315">
        <v>1</v>
      </c>
      <c r="AZ315">
        <v>0</v>
      </c>
      <c r="BA315">
        <v>322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Y315*Source!I113</f>
        <v>0.28600000000000003</v>
      </c>
      <c r="CY315">
        <f t="shared" ref="CY315:CY328" si="59">AA315</f>
        <v>60.89</v>
      </c>
      <c r="CZ315">
        <f t="shared" ref="CZ315:CZ328" si="60">AE315</f>
        <v>6.22</v>
      </c>
      <c r="DA315">
        <f t="shared" ref="DA315:DA328" si="61">AI315</f>
        <v>9.7899999999999991</v>
      </c>
      <c r="DB315">
        <f t="shared" ref="DB315:DB328" si="62">ROUND(ROUND(AT315*CZ315,2),2)</f>
        <v>16.170000000000002</v>
      </c>
      <c r="DC315">
        <f t="shared" ref="DC315:DC328" si="63">ROUND(ROUND(AT315*AG315,2),2)</f>
        <v>0</v>
      </c>
    </row>
    <row r="316" spans="1:107" x14ac:dyDescent="0.2">
      <c r="A316">
        <f>ROW(Source!A113)</f>
        <v>113</v>
      </c>
      <c r="B316">
        <v>68990560</v>
      </c>
      <c r="C316">
        <v>68991856</v>
      </c>
      <c r="D316">
        <v>64251201</v>
      </c>
      <c r="E316">
        <v>1</v>
      </c>
      <c r="F316">
        <v>1</v>
      </c>
      <c r="G316">
        <v>1</v>
      </c>
      <c r="H316">
        <v>3</v>
      </c>
      <c r="I316" t="s">
        <v>919</v>
      </c>
      <c r="J316" t="s">
        <v>920</v>
      </c>
      <c r="K316" t="s">
        <v>921</v>
      </c>
      <c r="L316">
        <v>1346</v>
      </c>
      <c r="N316">
        <v>1009</v>
      </c>
      <c r="O316" t="s">
        <v>170</v>
      </c>
      <c r="P316" t="s">
        <v>170</v>
      </c>
      <c r="Q316">
        <v>1</v>
      </c>
      <c r="W316">
        <v>0</v>
      </c>
      <c r="X316">
        <v>-21371743</v>
      </c>
      <c r="Y316">
        <v>0.5</v>
      </c>
      <c r="AA316">
        <v>43.54</v>
      </c>
      <c r="AB316">
        <v>0</v>
      </c>
      <c r="AC316">
        <v>0</v>
      </c>
      <c r="AD316">
        <v>0</v>
      </c>
      <c r="AE316">
        <v>6.09</v>
      </c>
      <c r="AF316">
        <v>0</v>
      </c>
      <c r="AG316">
        <v>0</v>
      </c>
      <c r="AH316">
        <v>0</v>
      </c>
      <c r="AI316">
        <v>7.15</v>
      </c>
      <c r="AJ316">
        <v>1</v>
      </c>
      <c r="AK316">
        <v>1</v>
      </c>
      <c r="AL316">
        <v>1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3</v>
      </c>
      <c r="AT316">
        <v>0.5</v>
      </c>
      <c r="AU316" t="s">
        <v>3</v>
      </c>
      <c r="AV316">
        <v>0</v>
      </c>
      <c r="AW316">
        <v>2</v>
      </c>
      <c r="AX316">
        <v>68991887</v>
      </c>
      <c r="AY316">
        <v>1</v>
      </c>
      <c r="AZ316">
        <v>0</v>
      </c>
      <c r="BA316">
        <v>323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Y316*Source!I113</f>
        <v>5.5E-2</v>
      </c>
      <c r="CY316">
        <f t="shared" si="59"/>
        <v>43.54</v>
      </c>
      <c r="CZ316">
        <f t="shared" si="60"/>
        <v>6.09</v>
      </c>
      <c r="DA316">
        <f t="shared" si="61"/>
        <v>7.15</v>
      </c>
      <c r="DB316">
        <f t="shared" si="62"/>
        <v>3.05</v>
      </c>
      <c r="DC316">
        <f t="shared" si="63"/>
        <v>0</v>
      </c>
    </row>
    <row r="317" spans="1:107" x14ac:dyDescent="0.2">
      <c r="A317">
        <f>ROW(Source!A113)</f>
        <v>113</v>
      </c>
      <c r="B317">
        <v>68990560</v>
      </c>
      <c r="C317">
        <v>68991856</v>
      </c>
      <c r="D317">
        <v>64253871</v>
      </c>
      <c r="E317">
        <v>1</v>
      </c>
      <c r="F317">
        <v>1</v>
      </c>
      <c r="G317">
        <v>1</v>
      </c>
      <c r="H317">
        <v>3</v>
      </c>
      <c r="I317" t="s">
        <v>1136</v>
      </c>
      <c r="J317" t="s">
        <v>1137</v>
      </c>
      <c r="K317" t="s">
        <v>1138</v>
      </c>
      <c r="L317">
        <v>1348</v>
      </c>
      <c r="N317">
        <v>1009</v>
      </c>
      <c r="O317" t="s">
        <v>71</v>
      </c>
      <c r="P317" t="s">
        <v>71</v>
      </c>
      <c r="Q317">
        <v>1000</v>
      </c>
      <c r="W317">
        <v>0</v>
      </c>
      <c r="X317">
        <v>68527077</v>
      </c>
      <c r="Y317">
        <v>2.1499999999999998E-2</v>
      </c>
      <c r="AA317">
        <v>95794.65</v>
      </c>
      <c r="AB317">
        <v>0</v>
      </c>
      <c r="AC317">
        <v>0</v>
      </c>
      <c r="AD317">
        <v>0</v>
      </c>
      <c r="AE317">
        <v>9765</v>
      </c>
      <c r="AF317">
        <v>0</v>
      </c>
      <c r="AG317">
        <v>0</v>
      </c>
      <c r="AH317">
        <v>0</v>
      </c>
      <c r="AI317">
        <v>9.81</v>
      </c>
      <c r="AJ317">
        <v>1</v>
      </c>
      <c r="AK317">
        <v>1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3</v>
      </c>
      <c r="AT317">
        <v>2.1499999999999998E-2</v>
      </c>
      <c r="AU317" t="s">
        <v>3</v>
      </c>
      <c r="AV317">
        <v>0</v>
      </c>
      <c r="AW317">
        <v>2</v>
      </c>
      <c r="AX317">
        <v>68991888</v>
      </c>
      <c r="AY317">
        <v>1</v>
      </c>
      <c r="AZ317">
        <v>0</v>
      </c>
      <c r="BA317">
        <v>324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Y317*Source!I113</f>
        <v>2.3649999999999999E-3</v>
      </c>
      <c r="CY317">
        <f t="shared" si="59"/>
        <v>95794.65</v>
      </c>
      <c r="CZ317">
        <f t="shared" si="60"/>
        <v>9765</v>
      </c>
      <c r="DA317">
        <f t="shared" si="61"/>
        <v>9.81</v>
      </c>
      <c r="DB317">
        <f t="shared" si="62"/>
        <v>209.95</v>
      </c>
      <c r="DC317">
        <f t="shared" si="63"/>
        <v>0</v>
      </c>
    </row>
    <row r="318" spans="1:107" x14ac:dyDescent="0.2">
      <c r="A318">
        <f>ROW(Source!A113)</f>
        <v>113</v>
      </c>
      <c r="B318">
        <v>68990560</v>
      </c>
      <c r="C318">
        <v>68991856</v>
      </c>
      <c r="D318">
        <v>64269247</v>
      </c>
      <c r="E318">
        <v>1</v>
      </c>
      <c r="F318">
        <v>1</v>
      </c>
      <c r="G318">
        <v>1</v>
      </c>
      <c r="H318">
        <v>3</v>
      </c>
      <c r="I318" t="s">
        <v>418</v>
      </c>
      <c r="J318" t="s">
        <v>420</v>
      </c>
      <c r="K318" t="s">
        <v>419</v>
      </c>
      <c r="L318">
        <v>1371</v>
      </c>
      <c r="N318">
        <v>1013</v>
      </c>
      <c r="O318" t="s">
        <v>29</v>
      </c>
      <c r="P318" t="s">
        <v>29</v>
      </c>
      <c r="Q318">
        <v>1</v>
      </c>
      <c r="W318">
        <v>0</v>
      </c>
      <c r="X318">
        <v>-635800500</v>
      </c>
      <c r="Y318">
        <v>454.545455</v>
      </c>
      <c r="AA318">
        <v>128.86000000000001</v>
      </c>
      <c r="AB318">
        <v>0</v>
      </c>
      <c r="AC318">
        <v>0</v>
      </c>
      <c r="AD318">
        <v>0</v>
      </c>
      <c r="AE318">
        <v>9.74</v>
      </c>
      <c r="AF318">
        <v>0</v>
      </c>
      <c r="AG318">
        <v>0</v>
      </c>
      <c r="AH318">
        <v>0</v>
      </c>
      <c r="AI318">
        <v>13.23</v>
      </c>
      <c r="AJ318">
        <v>1</v>
      </c>
      <c r="AK318">
        <v>1</v>
      </c>
      <c r="AL318">
        <v>1</v>
      </c>
      <c r="AN318">
        <v>0</v>
      </c>
      <c r="AO318">
        <v>0</v>
      </c>
      <c r="AP318">
        <v>0</v>
      </c>
      <c r="AQ318">
        <v>0</v>
      </c>
      <c r="AR318">
        <v>0</v>
      </c>
      <c r="AS318" t="s">
        <v>3</v>
      </c>
      <c r="AT318">
        <v>454.545455</v>
      </c>
      <c r="AU318" t="s">
        <v>3</v>
      </c>
      <c r="AV318">
        <v>0</v>
      </c>
      <c r="AW318">
        <v>1</v>
      </c>
      <c r="AX318">
        <v>-1</v>
      </c>
      <c r="AY318">
        <v>0</v>
      </c>
      <c r="AZ318">
        <v>0</v>
      </c>
      <c r="BA318" t="s">
        <v>3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Y318*Source!I113</f>
        <v>50.000000050000004</v>
      </c>
      <c r="CY318">
        <f t="shared" si="59"/>
        <v>128.86000000000001</v>
      </c>
      <c r="CZ318">
        <f t="shared" si="60"/>
        <v>9.74</v>
      </c>
      <c r="DA318">
        <f t="shared" si="61"/>
        <v>13.23</v>
      </c>
      <c r="DB318">
        <f t="shared" si="62"/>
        <v>4427.2700000000004</v>
      </c>
      <c r="DC318">
        <f t="shared" si="63"/>
        <v>0</v>
      </c>
    </row>
    <row r="319" spans="1:107" x14ac:dyDescent="0.2">
      <c r="A319">
        <f>ROW(Source!A113)</f>
        <v>113</v>
      </c>
      <c r="B319">
        <v>68990560</v>
      </c>
      <c r="C319">
        <v>68991856</v>
      </c>
      <c r="D319">
        <v>64269247</v>
      </c>
      <c r="E319">
        <v>1</v>
      </c>
      <c r="F319">
        <v>1</v>
      </c>
      <c r="G319">
        <v>1</v>
      </c>
      <c r="H319">
        <v>3</v>
      </c>
      <c r="I319" t="s">
        <v>418</v>
      </c>
      <c r="J319" t="s">
        <v>420</v>
      </c>
      <c r="K319" t="s">
        <v>426</v>
      </c>
      <c r="L319">
        <v>1371</v>
      </c>
      <c r="N319">
        <v>1013</v>
      </c>
      <c r="O319" t="s">
        <v>29</v>
      </c>
      <c r="P319" t="s">
        <v>29</v>
      </c>
      <c r="Q319">
        <v>1</v>
      </c>
      <c r="W319">
        <v>0</v>
      </c>
      <c r="X319">
        <v>1629691848</v>
      </c>
      <c r="Y319">
        <v>36.363636</v>
      </c>
      <c r="AA319">
        <v>128.86000000000001</v>
      </c>
      <c r="AB319">
        <v>0</v>
      </c>
      <c r="AC319">
        <v>0</v>
      </c>
      <c r="AD319">
        <v>0</v>
      </c>
      <c r="AE319">
        <v>9.74</v>
      </c>
      <c r="AF319">
        <v>0</v>
      </c>
      <c r="AG319">
        <v>0</v>
      </c>
      <c r="AH319">
        <v>0</v>
      </c>
      <c r="AI319">
        <v>13.23</v>
      </c>
      <c r="AJ319">
        <v>1</v>
      </c>
      <c r="AK319">
        <v>1</v>
      </c>
      <c r="AL319">
        <v>1</v>
      </c>
      <c r="AN319">
        <v>0</v>
      </c>
      <c r="AO319">
        <v>0</v>
      </c>
      <c r="AP319">
        <v>0</v>
      </c>
      <c r="AQ319">
        <v>0</v>
      </c>
      <c r="AR319">
        <v>0</v>
      </c>
      <c r="AS319" t="s">
        <v>3</v>
      </c>
      <c r="AT319">
        <v>36.363636</v>
      </c>
      <c r="AU319" t="s">
        <v>3</v>
      </c>
      <c r="AV319">
        <v>0</v>
      </c>
      <c r="AW319">
        <v>1</v>
      </c>
      <c r="AX319">
        <v>-1</v>
      </c>
      <c r="AY319">
        <v>0</v>
      </c>
      <c r="AZ319">
        <v>0</v>
      </c>
      <c r="BA319" t="s">
        <v>3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Y319*Source!I113</f>
        <v>3.9999999599999998</v>
      </c>
      <c r="CY319">
        <f t="shared" si="59"/>
        <v>128.86000000000001</v>
      </c>
      <c r="CZ319">
        <f t="shared" si="60"/>
        <v>9.74</v>
      </c>
      <c r="DA319">
        <f t="shared" si="61"/>
        <v>13.23</v>
      </c>
      <c r="DB319">
        <f t="shared" si="62"/>
        <v>354.18</v>
      </c>
      <c r="DC319">
        <f t="shared" si="63"/>
        <v>0</v>
      </c>
    </row>
    <row r="320" spans="1:107" x14ac:dyDescent="0.2">
      <c r="A320">
        <f>ROW(Source!A113)</f>
        <v>113</v>
      </c>
      <c r="B320">
        <v>68990560</v>
      </c>
      <c r="C320">
        <v>68991856</v>
      </c>
      <c r="D320">
        <v>53793644</v>
      </c>
      <c r="E320">
        <v>1</v>
      </c>
      <c r="F320">
        <v>1</v>
      </c>
      <c r="G320">
        <v>1</v>
      </c>
      <c r="H320">
        <v>3</v>
      </c>
      <c r="I320" t="s">
        <v>422</v>
      </c>
      <c r="J320" t="s">
        <v>424</v>
      </c>
      <c r="K320" t="s">
        <v>423</v>
      </c>
      <c r="L320">
        <v>1371</v>
      </c>
      <c r="N320">
        <v>1013</v>
      </c>
      <c r="O320" t="s">
        <v>29</v>
      </c>
      <c r="P320" t="s">
        <v>29</v>
      </c>
      <c r="Q320">
        <v>1</v>
      </c>
      <c r="W320">
        <v>0</v>
      </c>
      <c r="X320">
        <v>-1473316350</v>
      </c>
      <c r="Y320">
        <v>227.272727</v>
      </c>
      <c r="AA320">
        <v>31.24</v>
      </c>
      <c r="AB320">
        <v>0</v>
      </c>
      <c r="AC320">
        <v>0</v>
      </c>
      <c r="AD320">
        <v>0</v>
      </c>
      <c r="AE320">
        <v>3.92</v>
      </c>
      <c r="AF320">
        <v>0</v>
      </c>
      <c r="AG320">
        <v>0</v>
      </c>
      <c r="AH320">
        <v>0</v>
      </c>
      <c r="AI320">
        <v>7.97</v>
      </c>
      <c r="AJ320">
        <v>1</v>
      </c>
      <c r="AK320">
        <v>1</v>
      </c>
      <c r="AL320">
        <v>1</v>
      </c>
      <c r="AN320">
        <v>0</v>
      </c>
      <c r="AO320">
        <v>0</v>
      </c>
      <c r="AP320">
        <v>0</v>
      </c>
      <c r="AQ320">
        <v>0</v>
      </c>
      <c r="AR320">
        <v>0</v>
      </c>
      <c r="AS320" t="s">
        <v>3</v>
      </c>
      <c r="AT320">
        <v>227.272727</v>
      </c>
      <c r="AU320" t="s">
        <v>3</v>
      </c>
      <c r="AV320">
        <v>0</v>
      </c>
      <c r="AW320">
        <v>1</v>
      </c>
      <c r="AX320">
        <v>-1</v>
      </c>
      <c r="AY320">
        <v>0</v>
      </c>
      <c r="AZ320">
        <v>0</v>
      </c>
      <c r="BA320" t="s">
        <v>3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Y320*Source!I113</f>
        <v>24.999999970000001</v>
      </c>
      <c r="CY320">
        <f t="shared" si="59"/>
        <v>31.24</v>
      </c>
      <c r="CZ320">
        <f t="shared" si="60"/>
        <v>3.92</v>
      </c>
      <c r="DA320">
        <f t="shared" si="61"/>
        <v>7.97</v>
      </c>
      <c r="DB320">
        <f t="shared" si="62"/>
        <v>890.91</v>
      </c>
      <c r="DC320">
        <f t="shared" si="63"/>
        <v>0</v>
      </c>
    </row>
    <row r="321" spans="1:107" x14ac:dyDescent="0.2">
      <c r="A321">
        <f>ROW(Source!A113)</f>
        <v>113</v>
      </c>
      <c r="B321">
        <v>68990560</v>
      </c>
      <c r="C321">
        <v>68991856</v>
      </c>
      <c r="D321">
        <v>53793640</v>
      </c>
      <c r="E321">
        <v>1</v>
      </c>
      <c r="F321">
        <v>1</v>
      </c>
      <c r="G321">
        <v>1</v>
      </c>
      <c r="H321">
        <v>3</v>
      </c>
      <c r="I321" t="s">
        <v>412</v>
      </c>
      <c r="J321" t="s">
        <v>414</v>
      </c>
      <c r="K321" t="s">
        <v>413</v>
      </c>
      <c r="L321">
        <v>1371</v>
      </c>
      <c r="N321">
        <v>1013</v>
      </c>
      <c r="O321" t="s">
        <v>29</v>
      </c>
      <c r="P321" t="s">
        <v>29</v>
      </c>
      <c r="Q321">
        <v>1</v>
      </c>
      <c r="W321">
        <v>0</v>
      </c>
      <c r="X321">
        <v>-1307845563</v>
      </c>
      <c r="Y321">
        <v>90.909091000000004</v>
      </c>
      <c r="AA321">
        <v>90.2</v>
      </c>
      <c r="AB321">
        <v>0</v>
      </c>
      <c r="AC321">
        <v>0</v>
      </c>
      <c r="AD321">
        <v>0</v>
      </c>
      <c r="AE321">
        <v>11.15</v>
      </c>
      <c r="AF321">
        <v>0</v>
      </c>
      <c r="AG321">
        <v>0</v>
      </c>
      <c r="AH321">
        <v>0</v>
      </c>
      <c r="AI321">
        <v>8.09</v>
      </c>
      <c r="AJ321">
        <v>1</v>
      </c>
      <c r="AK321">
        <v>1</v>
      </c>
      <c r="AL321">
        <v>1</v>
      </c>
      <c r="AN321">
        <v>0</v>
      </c>
      <c r="AO321">
        <v>0</v>
      </c>
      <c r="AP321">
        <v>0</v>
      </c>
      <c r="AQ321">
        <v>0</v>
      </c>
      <c r="AR321">
        <v>0</v>
      </c>
      <c r="AS321" t="s">
        <v>3</v>
      </c>
      <c r="AT321">
        <v>90.909091000000004</v>
      </c>
      <c r="AU321" t="s">
        <v>3</v>
      </c>
      <c r="AV321">
        <v>0</v>
      </c>
      <c r="AW321">
        <v>1</v>
      </c>
      <c r="AX321">
        <v>-1</v>
      </c>
      <c r="AY321">
        <v>0</v>
      </c>
      <c r="AZ321">
        <v>0</v>
      </c>
      <c r="BA321" t="s">
        <v>3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Y321*Source!I113</f>
        <v>10.000000010000001</v>
      </c>
      <c r="CY321">
        <f t="shared" si="59"/>
        <v>90.2</v>
      </c>
      <c r="CZ321">
        <f t="shared" si="60"/>
        <v>11.15</v>
      </c>
      <c r="DA321">
        <f t="shared" si="61"/>
        <v>8.09</v>
      </c>
      <c r="DB321">
        <f t="shared" si="62"/>
        <v>1013.64</v>
      </c>
      <c r="DC321">
        <f t="shared" si="63"/>
        <v>0</v>
      </c>
    </row>
    <row r="322" spans="1:107" x14ac:dyDescent="0.2">
      <c r="A322">
        <f>ROW(Source!A113)</f>
        <v>113</v>
      </c>
      <c r="B322">
        <v>68990560</v>
      </c>
      <c r="C322">
        <v>68991856</v>
      </c>
      <c r="D322">
        <v>53793640</v>
      </c>
      <c r="E322">
        <v>1</v>
      </c>
      <c r="F322">
        <v>1</v>
      </c>
      <c r="G322">
        <v>1</v>
      </c>
      <c r="H322">
        <v>3</v>
      </c>
      <c r="I322" t="s">
        <v>412</v>
      </c>
      <c r="J322" t="s">
        <v>414</v>
      </c>
      <c r="K322" t="s">
        <v>416</v>
      </c>
      <c r="L322">
        <v>1371</v>
      </c>
      <c r="N322">
        <v>1013</v>
      </c>
      <c r="O322" t="s">
        <v>29</v>
      </c>
      <c r="P322" t="s">
        <v>29</v>
      </c>
      <c r="Q322">
        <v>1</v>
      </c>
      <c r="W322">
        <v>0</v>
      </c>
      <c r="X322">
        <v>245450258</v>
      </c>
      <c r="Y322">
        <v>909.09090900000001</v>
      </c>
      <c r="AA322">
        <v>90.2</v>
      </c>
      <c r="AB322">
        <v>0</v>
      </c>
      <c r="AC322">
        <v>0</v>
      </c>
      <c r="AD322">
        <v>0</v>
      </c>
      <c r="AE322">
        <v>11.15</v>
      </c>
      <c r="AF322">
        <v>0</v>
      </c>
      <c r="AG322">
        <v>0</v>
      </c>
      <c r="AH322">
        <v>0</v>
      </c>
      <c r="AI322">
        <v>8.09</v>
      </c>
      <c r="AJ322">
        <v>1</v>
      </c>
      <c r="AK322">
        <v>1</v>
      </c>
      <c r="AL322">
        <v>1</v>
      </c>
      <c r="AN322">
        <v>0</v>
      </c>
      <c r="AO322">
        <v>0</v>
      </c>
      <c r="AP322">
        <v>0</v>
      </c>
      <c r="AQ322">
        <v>0</v>
      </c>
      <c r="AR322">
        <v>0</v>
      </c>
      <c r="AS322" t="s">
        <v>3</v>
      </c>
      <c r="AT322">
        <v>909.09090900000001</v>
      </c>
      <c r="AU322" t="s">
        <v>3</v>
      </c>
      <c r="AV322">
        <v>0</v>
      </c>
      <c r="AW322">
        <v>1</v>
      </c>
      <c r="AX322">
        <v>-1</v>
      </c>
      <c r="AY322">
        <v>0</v>
      </c>
      <c r="AZ322">
        <v>0</v>
      </c>
      <c r="BA322" t="s">
        <v>3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Y322*Source!I113</f>
        <v>99.999999990000006</v>
      </c>
      <c r="CY322">
        <f t="shared" si="59"/>
        <v>90.2</v>
      </c>
      <c r="CZ322">
        <f t="shared" si="60"/>
        <v>11.15</v>
      </c>
      <c r="DA322">
        <f t="shared" si="61"/>
        <v>8.09</v>
      </c>
      <c r="DB322">
        <f t="shared" si="62"/>
        <v>10136.36</v>
      </c>
      <c r="DC322">
        <f t="shared" si="63"/>
        <v>0</v>
      </c>
    </row>
    <row r="323" spans="1:107" x14ac:dyDescent="0.2">
      <c r="A323">
        <f>ROW(Source!A113)</f>
        <v>113</v>
      </c>
      <c r="B323">
        <v>68990560</v>
      </c>
      <c r="C323">
        <v>68991856</v>
      </c>
      <c r="D323">
        <v>53793638</v>
      </c>
      <c r="E323">
        <v>1</v>
      </c>
      <c r="F323">
        <v>1</v>
      </c>
      <c r="G323">
        <v>1</v>
      </c>
      <c r="H323">
        <v>3</v>
      </c>
      <c r="I323" t="s">
        <v>406</v>
      </c>
      <c r="J323" t="s">
        <v>408</v>
      </c>
      <c r="K323" t="s">
        <v>410</v>
      </c>
      <c r="L323">
        <v>1371</v>
      </c>
      <c r="N323">
        <v>1013</v>
      </c>
      <c r="O323" t="s">
        <v>29</v>
      </c>
      <c r="P323" t="s">
        <v>29</v>
      </c>
      <c r="Q323">
        <v>1</v>
      </c>
      <c r="W323">
        <v>0</v>
      </c>
      <c r="X323">
        <v>-873710987</v>
      </c>
      <c r="Y323">
        <v>227.272727</v>
      </c>
      <c r="AA323">
        <v>131.13</v>
      </c>
      <c r="AB323">
        <v>0</v>
      </c>
      <c r="AC323">
        <v>0</v>
      </c>
      <c r="AD323">
        <v>0</v>
      </c>
      <c r="AE323">
        <v>14.13</v>
      </c>
      <c r="AF323">
        <v>0</v>
      </c>
      <c r="AG323">
        <v>0</v>
      </c>
      <c r="AH323">
        <v>0</v>
      </c>
      <c r="AI323">
        <v>9.2799999999999994</v>
      </c>
      <c r="AJ323">
        <v>1</v>
      </c>
      <c r="AK323">
        <v>1</v>
      </c>
      <c r="AL323">
        <v>1</v>
      </c>
      <c r="AN323">
        <v>0</v>
      </c>
      <c r="AO323">
        <v>0</v>
      </c>
      <c r="AP323">
        <v>0</v>
      </c>
      <c r="AQ323">
        <v>0</v>
      </c>
      <c r="AR323">
        <v>0</v>
      </c>
      <c r="AS323" t="s">
        <v>3</v>
      </c>
      <c r="AT323">
        <v>227.272727</v>
      </c>
      <c r="AU323" t="s">
        <v>3</v>
      </c>
      <c r="AV323">
        <v>0</v>
      </c>
      <c r="AW323">
        <v>1</v>
      </c>
      <c r="AX323">
        <v>-1</v>
      </c>
      <c r="AY323">
        <v>0</v>
      </c>
      <c r="AZ323">
        <v>0</v>
      </c>
      <c r="BA323" t="s">
        <v>3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Y323*Source!I113</f>
        <v>24.999999970000001</v>
      </c>
      <c r="CY323">
        <f t="shared" si="59"/>
        <v>131.13</v>
      </c>
      <c r="CZ323">
        <f t="shared" si="60"/>
        <v>14.13</v>
      </c>
      <c r="DA323">
        <f t="shared" si="61"/>
        <v>9.2799999999999994</v>
      </c>
      <c r="DB323">
        <f t="shared" si="62"/>
        <v>3211.36</v>
      </c>
      <c r="DC323">
        <f t="shared" si="63"/>
        <v>0</v>
      </c>
    </row>
    <row r="324" spans="1:107" x14ac:dyDescent="0.2">
      <c r="A324">
        <f>ROW(Source!A113)</f>
        <v>113</v>
      </c>
      <c r="B324">
        <v>68990560</v>
      </c>
      <c r="C324">
        <v>68991856</v>
      </c>
      <c r="D324">
        <v>53793638</v>
      </c>
      <c r="E324">
        <v>1</v>
      </c>
      <c r="F324">
        <v>1</v>
      </c>
      <c r="G324">
        <v>1</v>
      </c>
      <c r="H324">
        <v>3</v>
      </c>
      <c r="I324" t="s">
        <v>406</v>
      </c>
      <c r="J324" t="s">
        <v>408</v>
      </c>
      <c r="K324" t="s">
        <v>407</v>
      </c>
      <c r="L324">
        <v>1371</v>
      </c>
      <c r="N324">
        <v>1013</v>
      </c>
      <c r="O324" t="s">
        <v>29</v>
      </c>
      <c r="P324" t="s">
        <v>29</v>
      </c>
      <c r="Q324">
        <v>1</v>
      </c>
      <c r="W324">
        <v>0</v>
      </c>
      <c r="X324">
        <v>-785211630</v>
      </c>
      <c r="Y324">
        <v>109.090909</v>
      </c>
      <c r="AA324">
        <v>131.13</v>
      </c>
      <c r="AB324">
        <v>0</v>
      </c>
      <c r="AC324">
        <v>0</v>
      </c>
      <c r="AD324">
        <v>0</v>
      </c>
      <c r="AE324">
        <v>14.13</v>
      </c>
      <c r="AF324">
        <v>0</v>
      </c>
      <c r="AG324">
        <v>0</v>
      </c>
      <c r="AH324">
        <v>0</v>
      </c>
      <c r="AI324">
        <v>9.2799999999999994</v>
      </c>
      <c r="AJ324">
        <v>1</v>
      </c>
      <c r="AK324">
        <v>1</v>
      </c>
      <c r="AL324">
        <v>1</v>
      </c>
      <c r="AN324">
        <v>0</v>
      </c>
      <c r="AO324">
        <v>0</v>
      </c>
      <c r="AP324">
        <v>0</v>
      </c>
      <c r="AQ324">
        <v>0</v>
      </c>
      <c r="AR324">
        <v>0</v>
      </c>
      <c r="AS324" t="s">
        <v>3</v>
      </c>
      <c r="AT324">
        <v>109.090909</v>
      </c>
      <c r="AU324" t="s">
        <v>3</v>
      </c>
      <c r="AV324">
        <v>0</v>
      </c>
      <c r="AW324">
        <v>1</v>
      </c>
      <c r="AX324">
        <v>-1</v>
      </c>
      <c r="AY324">
        <v>0</v>
      </c>
      <c r="AZ324">
        <v>0</v>
      </c>
      <c r="BA324" t="s">
        <v>3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Y324*Source!I113</f>
        <v>11.999999989999999</v>
      </c>
      <c r="CY324">
        <f t="shared" si="59"/>
        <v>131.13</v>
      </c>
      <c r="CZ324">
        <f t="shared" si="60"/>
        <v>14.13</v>
      </c>
      <c r="DA324">
        <f t="shared" si="61"/>
        <v>9.2799999999999994</v>
      </c>
      <c r="DB324">
        <f t="shared" si="62"/>
        <v>1541.45</v>
      </c>
      <c r="DC324">
        <f t="shared" si="63"/>
        <v>0</v>
      </c>
    </row>
    <row r="325" spans="1:107" x14ac:dyDescent="0.2">
      <c r="A325">
        <f>ROW(Source!A113)</f>
        <v>113</v>
      </c>
      <c r="B325">
        <v>68990560</v>
      </c>
      <c r="C325">
        <v>68991856</v>
      </c>
      <c r="D325">
        <v>64308090</v>
      </c>
      <c r="E325">
        <v>1</v>
      </c>
      <c r="F325">
        <v>1</v>
      </c>
      <c r="G325">
        <v>1</v>
      </c>
      <c r="H325">
        <v>3</v>
      </c>
      <c r="I325" t="s">
        <v>402</v>
      </c>
      <c r="J325" t="s">
        <v>404</v>
      </c>
      <c r="K325" t="s">
        <v>403</v>
      </c>
      <c r="L325">
        <v>1302</v>
      </c>
      <c r="N325">
        <v>1003</v>
      </c>
      <c r="O325" t="s">
        <v>395</v>
      </c>
      <c r="P325" t="s">
        <v>395</v>
      </c>
      <c r="Q325">
        <v>10</v>
      </c>
      <c r="W325">
        <v>0</v>
      </c>
      <c r="X325">
        <v>1410241732</v>
      </c>
      <c r="Y325">
        <v>37.818182</v>
      </c>
      <c r="AA325">
        <v>1974.26</v>
      </c>
      <c r="AB325">
        <v>0</v>
      </c>
      <c r="AC325">
        <v>0</v>
      </c>
      <c r="AD325">
        <v>0</v>
      </c>
      <c r="AE325">
        <v>353.81</v>
      </c>
      <c r="AF325">
        <v>0</v>
      </c>
      <c r="AG325">
        <v>0</v>
      </c>
      <c r="AH325">
        <v>0</v>
      </c>
      <c r="AI325">
        <v>5.58</v>
      </c>
      <c r="AJ325">
        <v>1</v>
      </c>
      <c r="AK325">
        <v>1</v>
      </c>
      <c r="AL325">
        <v>1</v>
      </c>
      <c r="AN325">
        <v>0</v>
      </c>
      <c r="AO325">
        <v>0</v>
      </c>
      <c r="AP325">
        <v>0</v>
      </c>
      <c r="AQ325">
        <v>0</v>
      </c>
      <c r="AR325">
        <v>0</v>
      </c>
      <c r="AS325" t="s">
        <v>3</v>
      </c>
      <c r="AT325">
        <v>37.818182</v>
      </c>
      <c r="AU325" t="s">
        <v>3</v>
      </c>
      <c r="AV325">
        <v>0</v>
      </c>
      <c r="AW325">
        <v>1</v>
      </c>
      <c r="AX325">
        <v>-1</v>
      </c>
      <c r="AY325">
        <v>0</v>
      </c>
      <c r="AZ325">
        <v>0</v>
      </c>
      <c r="BA325" t="s">
        <v>3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Y325*Source!I113</f>
        <v>4.16000002</v>
      </c>
      <c r="CY325">
        <f t="shared" si="59"/>
        <v>1974.26</v>
      </c>
      <c r="CZ325">
        <f t="shared" si="60"/>
        <v>353.81</v>
      </c>
      <c r="DA325">
        <f t="shared" si="61"/>
        <v>5.58</v>
      </c>
      <c r="DB325">
        <f t="shared" si="62"/>
        <v>13380.45</v>
      </c>
      <c r="DC325">
        <f t="shared" si="63"/>
        <v>0</v>
      </c>
    </row>
    <row r="326" spans="1:107" x14ac:dyDescent="0.2">
      <c r="A326">
        <f>ROW(Source!A113)</f>
        <v>113</v>
      </c>
      <c r="B326">
        <v>68990560</v>
      </c>
      <c r="C326">
        <v>68991856</v>
      </c>
      <c r="D326">
        <v>64308110</v>
      </c>
      <c r="E326">
        <v>1</v>
      </c>
      <c r="F326">
        <v>1</v>
      </c>
      <c r="G326">
        <v>1</v>
      </c>
      <c r="H326">
        <v>3</v>
      </c>
      <c r="I326" t="s">
        <v>398</v>
      </c>
      <c r="J326" t="s">
        <v>400</v>
      </c>
      <c r="K326" t="s">
        <v>399</v>
      </c>
      <c r="L326">
        <v>1302</v>
      </c>
      <c r="N326">
        <v>1003</v>
      </c>
      <c r="O326" t="s">
        <v>395</v>
      </c>
      <c r="P326" t="s">
        <v>395</v>
      </c>
      <c r="Q326">
        <v>10</v>
      </c>
      <c r="W326">
        <v>0</v>
      </c>
      <c r="X326">
        <v>1390775279</v>
      </c>
      <c r="Y326">
        <v>22.727273</v>
      </c>
      <c r="AA326">
        <v>4771.71</v>
      </c>
      <c r="AB326">
        <v>0</v>
      </c>
      <c r="AC326">
        <v>0</v>
      </c>
      <c r="AD326">
        <v>0</v>
      </c>
      <c r="AE326">
        <v>847.55</v>
      </c>
      <c r="AF326">
        <v>0</v>
      </c>
      <c r="AG326">
        <v>0</v>
      </c>
      <c r="AH326">
        <v>0</v>
      </c>
      <c r="AI326">
        <v>5.63</v>
      </c>
      <c r="AJ326">
        <v>1</v>
      </c>
      <c r="AK326">
        <v>1</v>
      </c>
      <c r="AL326">
        <v>1</v>
      </c>
      <c r="AN326">
        <v>0</v>
      </c>
      <c r="AO326">
        <v>0</v>
      </c>
      <c r="AP326">
        <v>0</v>
      </c>
      <c r="AQ326">
        <v>0</v>
      </c>
      <c r="AR326">
        <v>0</v>
      </c>
      <c r="AS326" t="s">
        <v>3</v>
      </c>
      <c r="AT326">
        <v>22.727273</v>
      </c>
      <c r="AU326" t="s">
        <v>3</v>
      </c>
      <c r="AV326">
        <v>0</v>
      </c>
      <c r="AW326">
        <v>1</v>
      </c>
      <c r="AX326">
        <v>-1</v>
      </c>
      <c r="AY326">
        <v>0</v>
      </c>
      <c r="AZ326">
        <v>0</v>
      </c>
      <c r="BA326" t="s">
        <v>3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Y326*Source!I113</f>
        <v>2.5000000300000003</v>
      </c>
      <c r="CY326">
        <f t="shared" si="59"/>
        <v>4771.71</v>
      </c>
      <c r="CZ326">
        <f t="shared" si="60"/>
        <v>847.55</v>
      </c>
      <c r="DA326">
        <f t="shared" si="61"/>
        <v>5.63</v>
      </c>
      <c r="DB326">
        <f t="shared" si="62"/>
        <v>19262.5</v>
      </c>
      <c r="DC326">
        <f t="shared" si="63"/>
        <v>0</v>
      </c>
    </row>
    <row r="327" spans="1:107" x14ac:dyDescent="0.2">
      <c r="A327">
        <f>ROW(Source!A113)</f>
        <v>113</v>
      </c>
      <c r="B327">
        <v>68990560</v>
      </c>
      <c r="C327">
        <v>68991856</v>
      </c>
      <c r="D327">
        <v>64308121</v>
      </c>
      <c r="E327">
        <v>1</v>
      </c>
      <c r="F327">
        <v>1</v>
      </c>
      <c r="G327">
        <v>1</v>
      </c>
      <c r="H327">
        <v>3</v>
      </c>
      <c r="I327" t="s">
        <v>393</v>
      </c>
      <c r="J327" t="s">
        <v>396</v>
      </c>
      <c r="K327" t="s">
        <v>394</v>
      </c>
      <c r="L327">
        <v>1302</v>
      </c>
      <c r="N327">
        <v>1003</v>
      </c>
      <c r="O327" t="s">
        <v>395</v>
      </c>
      <c r="P327" t="s">
        <v>395</v>
      </c>
      <c r="Q327">
        <v>10</v>
      </c>
      <c r="W327">
        <v>0</v>
      </c>
      <c r="X327">
        <v>-1263341680</v>
      </c>
      <c r="Y327">
        <v>20.454545</v>
      </c>
      <c r="AA327">
        <v>4769.16</v>
      </c>
      <c r="AB327">
        <v>0</v>
      </c>
      <c r="AC327">
        <v>0</v>
      </c>
      <c r="AD327">
        <v>0</v>
      </c>
      <c r="AE327">
        <v>1012.56</v>
      </c>
      <c r="AF327">
        <v>0</v>
      </c>
      <c r="AG327">
        <v>0</v>
      </c>
      <c r="AH327">
        <v>0</v>
      </c>
      <c r="AI327">
        <v>4.71</v>
      </c>
      <c r="AJ327">
        <v>1</v>
      </c>
      <c r="AK327">
        <v>1</v>
      </c>
      <c r="AL327">
        <v>1</v>
      </c>
      <c r="AN327">
        <v>0</v>
      </c>
      <c r="AO327">
        <v>0</v>
      </c>
      <c r="AP327">
        <v>0</v>
      </c>
      <c r="AQ327">
        <v>0</v>
      </c>
      <c r="AR327">
        <v>0</v>
      </c>
      <c r="AS327" t="s">
        <v>3</v>
      </c>
      <c r="AT327">
        <v>20.454545</v>
      </c>
      <c r="AU327" t="s">
        <v>3</v>
      </c>
      <c r="AV327">
        <v>0</v>
      </c>
      <c r="AW327">
        <v>1</v>
      </c>
      <c r="AX327">
        <v>-1</v>
      </c>
      <c r="AY327">
        <v>0</v>
      </c>
      <c r="AZ327">
        <v>0</v>
      </c>
      <c r="BA327" t="s">
        <v>3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Y327*Source!I113</f>
        <v>2.2499999499999999</v>
      </c>
      <c r="CY327">
        <f t="shared" si="59"/>
        <v>4769.16</v>
      </c>
      <c r="CZ327">
        <f t="shared" si="60"/>
        <v>1012.56</v>
      </c>
      <c r="DA327">
        <f t="shared" si="61"/>
        <v>4.71</v>
      </c>
      <c r="DB327">
        <f t="shared" si="62"/>
        <v>20711.45</v>
      </c>
      <c r="DC327">
        <f t="shared" si="63"/>
        <v>0</v>
      </c>
    </row>
    <row r="328" spans="1:107" x14ac:dyDescent="0.2">
      <c r="A328">
        <f>ROW(Source!A113)</f>
        <v>113</v>
      </c>
      <c r="B328">
        <v>68990560</v>
      </c>
      <c r="C328">
        <v>68991856</v>
      </c>
      <c r="D328">
        <v>64245580</v>
      </c>
      <c r="E328">
        <v>56</v>
      </c>
      <c r="F328">
        <v>1</v>
      </c>
      <c r="G328">
        <v>1</v>
      </c>
      <c r="H328">
        <v>3</v>
      </c>
      <c r="I328" t="s">
        <v>837</v>
      </c>
      <c r="J328" t="s">
        <v>3</v>
      </c>
      <c r="K328" t="s">
        <v>838</v>
      </c>
      <c r="L328">
        <v>1374</v>
      </c>
      <c r="N328">
        <v>1013</v>
      </c>
      <c r="O328" t="s">
        <v>839</v>
      </c>
      <c r="P328" t="s">
        <v>839</v>
      </c>
      <c r="Q328">
        <v>1</v>
      </c>
      <c r="W328">
        <v>0</v>
      </c>
      <c r="X328">
        <v>-1731369543</v>
      </c>
      <c r="Y328">
        <v>23.09</v>
      </c>
      <c r="AA328">
        <v>1</v>
      </c>
      <c r="AB328">
        <v>0</v>
      </c>
      <c r="AC328">
        <v>0</v>
      </c>
      <c r="AD328">
        <v>0</v>
      </c>
      <c r="AE328">
        <v>1</v>
      </c>
      <c r="AF328">
        <v>0</v>
      </c>
      <c r="AG328">
        <v>0</v>
      </c>
      <c r="AH328">
        <v>0</v>
      </c>
      <c r="AI328">
        <v>1</v>
      </c>
      <c r="AJ328">
        <v>1</v>
      </c>
      <c r="AK328">
        <v>1</v>
      </c>
      <c r="AL328">
        <v>1</v>
      </c>
      <c r="AN328">
        <v>0</v>
      </c>
      <c r="AO328">
        <v>1</v>
      </c>
      <c r="AP328">
        <v>0</v>
      </c>
      <c r="AQ328">
        <v>0</v>
      </c>
      <c r="AR328">
        <v>0</v>
      </c>
      <c r="AS328" t="s">
        <v>3</v>
      </c>
      <c r="AT328">
        <v>23.09</v>
      </c>
      <c r="AU328" t="s">
        <v>3</v>
      </c>
      <c r="AV328">
        <v>0</v>
      </c>
      <c r="AW328">
        <v>2</v>
      </c>
      <c r="AX328">
        <v>68991889</v>
      </c>
      <c r="AY328">
        <v>1</v>
      </c>
      <c r="AZ328">
        <v>0</v>
      </c>
      <c r="BA328">
        <v>325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Y328*Source!I113</f>
        <v>2.5398999999999998</v>
      </c>
      <c r="CY328">
        <f t="shared" si="59"/>
        <v>1</v>
      </c>
      <c r="CZ328">
        <f t="shared" si="60"/>
        <v>1</v>
      </c>
      <c r="DA328">
        <f t="shared" si="61"/>
        <v>1</v>
      </c>
      <c r="DB328">
        <f t="shared" si="62"/>
        <v>23.09</v>
      </c>
      <c r="DC328">
        <f t="shared" si="63"/>
        <v>0</v>
      </c>
    </row>
    <row r="329" spans="1:107" x14ac:dyDescent="0.2">
      <c r="A329">
        <f>ROW(Source!A124)</f>
        <v>124</v>
      </c>
      <c r="B329">
        <v>68990560</v>
      </c>
      <c r="C329">
        <v>68991919</v>
      </c>
      <c r="D329">
        <v>37072442</v>
      </c>
      <c r="E329">
        <v>56</v>
      </c>
      <c r="F329">
        <v>1</v>
      </c>
      <c r="G329">
        <v>1</v>
      </c>
      <c r="H329">
        <v>1</v>
      </c>
      <c r="I329" t="s">
        <v>1139</v>
      </c>
      <c r="J329" t="s">
        <v>3</v>
      </c>
      <c r="K329" t="s">
        <v>1140</v>
      </c>
      <c r="L329">
        <v>1191</v>
      </c>
      <c r="N329">
        <v>1013</v>
      </c>
      <c r="O329" t="s">
        <v>818</v>
      </c>
      <c r="P329" t="s">
        <v>818</v>
      </c>
      <c r="Q329">
        <v>1</v>
      </c>
      <c r="W329">
        <v>0</v>
      </c>
      <c r="X329">
        <v>1145761654</v>
      </c>
      <c r="Y329">
        <v>8.2437749999999994</v>
      </c>
      <c r="AA329">
        <v>0</v>
      </c>
      <c r="AB329">
        <v>0</v>
      </c>
      <c r="AC329">
        <v>0</v>
      </c>
      <c r="AD329">
        <v>10.65</v>
      </c>
      <c r="AE329">
        <v>0</v>
      </c>
      <c r="AF329">
        <v>0</v>
      </c>
      <c r="AG329">
        <v>0</v>
      </c>
      <c r="AH329">
        <v>10.65</v>
      </c>
      <c r="AI329">
        <v>1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1</v>
      </c>
      <c r="AQ329">
        <v>0</v>
      </c>
      <c r="AR329">
        <v>0</v>
      </c>
      <c r="AS329" t="s">
        <v>3</v>
      </c>
      <c r="AT329">
        <v>5.31</v>
      </c>
      <c r="AU329" t="s">
        <v>147</v>
      </c>
      <c r="AV329">
        <v>1</v>
      </c>
      <c r="AW329">
        <v>2</v>
      </c>
      <c r="AX329">
        <v>68991928</v>
      </c>
      <c r="AY329">
        <v>1</v>
      </c>
      <c r="AZ329">
        <v>0</v>
      </c>
      <c r="BA329">
        <v>326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Y329*Source!I124</f>
        <v>0.53584537499999996</v>
      </c>
      <c r="CY329">
        <f>AD329</f>
        <v>10.65</v>
      </c>
      <c r="CZ329">
        <f>AH329</f>
        <v>10.65</v>
      </c>
      <c r="DA329">
        <f>AL329</f>
        <v>1</v>
      </c>
      <c r="DB329">
        <f>ROUND(((ROUND(AT329*CZ329,2)*1.15)*1.35),2)</f>
        <v>87.79</v>
      </c>
      <c r="DC329">
        <f>ROUND(((ROUND(AT329*AG329,2)*1.15)*1.35),2)</f>
        <v>0</v>
      </c>
    </row>
    <row r="330" spans="1:107" x14ac:dyDescent="0.2">
      <c r="A330">
        <f>ROW(Source!A124)</f>
        <v>124</v>
      </c>
      <c r="B330">
        <v>68990560</v>
      </c>
      <c r="C330">
        <v>68991919</v>
      </c>
      <c r="D330">
        <v>37064876</v>
      </c>
      <c r="E330">
        <v>56</v>
      </c>
      <c r="F330">
        <v>1</v>
      </c>
      <c r="G330">
        <v>1</v>
      </c>
      <c r="H330">
        <v>1</v>
      </c>
      <c r="I330" t="s">
        <v>819</v>
      </c>
      <c r="J330" t="s">
        <v>3</v>
      </c>
      <c r="K330" t="s">
        <v>820</v>
      </c>
      <c r="L330">
        <v>1191</v>
      </c>
      <c r="N330">
        <v>1013</v>
      </c>
      <c r="O330" t="s">
        <v>818</v>
      </c>
      <c r="P330" t="s">
        <v>818</v>
      </c>
      <c r="Q330">
        <v>1</v>
      </c>
      <c r="W330">
        <v>0</v>
      </c>
      <c r="X330">
        <v>-1417349443</v>
      </c>
      <c r="Y330">
        <v>3.3750000000000002E-2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1</v>
      </c>
      <c r="AJ330">
        <v>1</v>
      </c>
      <c r="AK330">
        <v>1</v>
      </c>
      <c r="AL330">
        <v>1</v>
      </c>
      <c r="AN330">
        <v>0</v>
      </c>
      <c r="AO330">
        <v>1</v>
      </c>
      <c r="AP330">
        <v>1</v>
      </c>
      <c r="AQ330">
        <v>0</v>
      </c>
      <c r="AR330">
        <v>0</v>
      </c>
      <c r="AS330" t="s">
        <v>3</v>
      </c>
      <c r="AT330">
        <v>0.02</v>
      </c>
      <c r="AU330" t="s">
        <v>146</v>
      </c>
      <c r="AV330">
        <v>2</v>
      </c>
      <c r="AW330">
        <v>2</v>
      </c>
      <c r="AX330">
        <v>68991929</v>
      </c>
      <c r="AY330">
        <v>1</v>
      </c>
      <c r="AZ330">
        <v>0</v>
      </c>
      <c r="BA330">
        <v>327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Y330*Source!I124</f>
        <v>2.1937500000000004E-3</v>
      </c>
      <c r="CY330">
        <f>AD330</f>
        <v>0</v>
      </c>
      <c r="CZ330">
        <f>AH330</f>
        <v>0</v>
      </c>
      <c r="DA330">
        <f>AL330</f>
        <v>1</v>
      </c>
      <c r="DB330">
        <f>ROUND(((ROUND(AT330*CZ330,2)*1.25)*1.35),2)</f>
        <v>0</v>
      </c>
      <c r="DC330">
        <f>ROUND(((ROUND(AT330*AG330,2)*1.25)*1.35),2)</f>
        <v>0</v>
      </c>
    </row>
    <row r="331" spans="1:107" x14ac:dyDescent="0.2">
      <c r="A331">
        <f>ROW(Source!A124)</f>
        <v>124</v>
      </c>
      <c r="B331">
        <v>68990560</v>
      </c>
      <c r="C331">
        <v>68991919</v>
      </c>
      <c r="D331">
        <v>64401902</v>
      </c>
      <c r="E331">
        <v>1</v>
      </c>
      <c r="F331">
        <v>1</v>
      </c>
      <c r="G331">
        <v>1</v>
      </c>
      <c r="H331">
        <v>2</v>
      </c>
      <c r="I331" t="s">
        <v>1112</v>
      </c>
      <c r="J331" t="s">
        <v>1113</v>
      </c>
      <c r="K331" t="s">
        <v>1114</v>
      </c>
      <c r="L331">
        <v>1368</v>
      </c>
      <c r="N331">
        <v>1011</v>
      </c>
      <c r="O331" t="s">
        <v>824</v>
      </c>
      <c r="P331" t="s">
        <v>824</v>
      </c>
      <c r="Q331">
        <v>1</v>
      </c>
      <c r="W331">
        <v>0</v>
      </c>
      <c r="X331">
        <v>1166455747</v>
      </c>
      <c r="Y331">
        <v>1.6875000000000001E-2</v>
      </c>
      <c r="AA331">
        <v>0</v>
      </c>
      <c r="AB331">
        <v>7.63</v>
      </c>
      <c r="AC331">
        <v>0</v>
      </c>
      <c r="AD331">
        <v>0</v>
      </c>
      <c r="AE331">
        <v>0</v>
      </c>
      <c r="AF331">
        <v>1.7</v>
      </c>
      <c r="AG331">
        <v>0</v>
      </c>
      <c r="AH331">
        <v>0</v>
      </c>
      <c r="AI331">
        <v>1</v>
      </c>
      <c r="AJ331">
        <v>4.49</v>
      </c>
      <c r="AK331">
        <v>33.65</v>
      </c>
      <c r="AL331">
        <v>1</v>
      </c>
      <c r="AN331">
        <v>0</v>
      </c>
      <c r="AO331">
        <v>1</v>
      </c>
      <c r="AP331">
        <v>1</v>
      </c>
      <c r="AQ331">
        <v>0</v>
      </c>
      <c r="AR331">
        <v>0</v>
      </c>
      <c r="AS331" t="s">
        <v>3</v>
      </c>
      <c r="AT331">
        <v>0.01</v>
      </c>
      <c r="AU331" t="s">
        <v>146</v>
      </c>
      <c r="AV331">
        <v>0</v>
      </c>
      <c r="AW331">
        <v>2</v>
      </c>
      <c r="AX331">
        <v>68991930</v>
      </c>
      <c r="AY331">
        <v>1</v>
      </c>
      <c r="AZ331">
        <v>0</v>
      </c>
      <c r="BA331">
        <v>328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Y331*Source!I124</f>
        <v>1.0968750000000002E-3</v>
      </c>
      <c r="CY331">
        <f>AB331</f>
        <v>7.63</v>
      </c>
      <c r="CZ331">
        <f>AF331</f>
        <v>1.7</v>
      </c>
      <c r="DA331">
        <f>AJ331</f>
        <v>4.49</v>
      </c>
      <c r="DB331">
        <f>ROUND(((ROUND(AT331*CZ331,2)*1.25)*1.35),2)</f>
        <v>0.03</v>
      </c>
      <c r="DC331">
        <f>ROUND(((ROUND(AT331*AG331,2)*1.25)*1.35),2)</f>
        <v>0</v>
      </c>
    </row>
    <row r="332" spans="1:107" x14ac:dyDescent="0.2">
      <c r="A332">
        <f>ROW(Source!A124)</f>
        <v>124</v>
      </c>
      <c r="B332">
        <v>68990560</v>
      </c>
      <c r="C332">
        <v>68991919</v>
      </c>
      <c r="D332">
        <v>64401921</v>
      </c>
      <c r="E332">
        <v>1</v>
      </c>
      <c r="F332">
        <v>1</v>
      </c>
      <c r="G332">
        <v>1</v>
      </c>
      <c r="H332">
        <v>2</v>
      </c>
      <c r="I332" t="s">
        <v>1020</v>
      </c>
      <c r="J332" t="s">
        <v>1021</v>
      </c>
      <c r="K332" t="s">
        <v>1022</v>
      </c>
      <c r="L332">
        <v>1368</v>
      </c>
      <c r="N332">
        <v>1011</v>
      </c>
      <c r="O332" t="s">
        <v>824</v>
      </c>
      <c r="P332" t="s">
        <v>824</v>
      </c>
      <c r="Q332">
        <v>1</v>
      </c>
      <c r="W332">
        <v>0</v>
      </c>
      <c r="X332">
        <v>-833260626</v>
      </c>
      <c r="Y332">
        <v>1.6875000000000001E-2</v>
      </c>
      <c r="AA332">
        <v>0</v>
      </c>
      <c r="AB332">
        <v>685.72</v>
      </c>
      <c r="AC332">
        <v>338.52</v>
      </c>
      <c r="AD332">
        <v>0</v>
      </c>
      <c r="AE332">
        <v>0</v>
      </c>
      <c r="AF332">
        <v>89.99</v>
      </c>
      <c r="AG332">
        <v>10.06</v>
      </c>
      <c r="AH332">
        <v>0</v>
      </c>
      <c r="AI332">
        <v>1</v>
      </c>
      <c r="AJ332">
        <v>7.62</v>
      </c>
      <c r="AK332">
        <v>33.65</v>
      </c>
      <c r="AL332">
        <v>1</v>
      </c>
      <c r="AN332">
        <v>0</v>
      </c>
      <c r="AO332">
        <v>1</v>
      </c>
      <c r="AP332">
        <v>1</v>
      </c>
      <c r="AQ332">
        <v>0</v>
      </c>
      <c r="AR332">
        <v>0</v>
      </c>
      <c r="AS332" t="s">
        <v>3</v>
      </c>
      <c r="AT332">
        <v>0.01</v>
      </c>
      <c r="AU332" t="s">
        <v>146</v>
      </c>
      <c r="AV332">
        <v>0</v>
      </c>
      <c r="AW332">
        <v>2</v>
      </c>
      <c r="AX332">
        <v>68991931</v>
      </c>
      <c r="AY332">
        <v>1</v>
      </c>
      <c r="AZ332">
        <v>0</v>
      </c>
      <c r="BA332">
        <v>329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Y332*Source!I124</f>
        <v>1.0968750000000002E-3</v>
      </c>
      <c r="CY332">
        <f>AB332</f>
        <v>685.72</v>
      </c>
      <c r="CZ332">
        <f>AF332</f>
        <v>89.99</v>
      </c>
      <c r="DA332">
        <f>AJ332</f>
        <v>7.62</v>
      </c>
      <c r="DB332">
        <f>ROUND(((ROUND(AT332*CZ332,2)*1.25)*1.35),2)</f>
        <v>1.52</v>
      </c>
      <c r="DC332">
        <f>ROUND(((ROUND(AT332*AG332,2)*1.25)*1.35),2)</f>
        <v>0.17</v>
      </c>
    </row>
    <row r="333" spans="1:107" x14ac:dyDescent="0.2">
      <c r="A333">
        <f>ROW(Source!A124)</f>
        <v>124</v>
      </c>
      <c r="B333">
        <v>68990560</v>
      </c>
      <c r="C333">
        <v>68991919</v>
      </c>
      <c r="D333">
        <v>64402691</v>
      </c>
      <c r="E333">
        <v>1</v>
      </c>
      <c r="F333">
        <v>1</v>
      </c>
      <c r="G333">
        <v>1</v>
      </c>
      <c r="H333">
        <v>2</v>
      </c>
      <c r="I333" t="s">
        <v>825</v>
      </c>
      <c r="J333" t="s">
        <v>826</v>
      </c>
      <c r="K333" t="s">
        <v>827</v>
      </c>
      <c r="L333">
        <v>1368</v>
      </c>
      <c r="N333">
        <v>1011</v>
      </c>
      <c r="O333" t="s">
        <v>824</v>
      </c>
      <c r="P333" t="s">
        <v>824</v>
      </c>
      <c r="Q333">
        <v>1</v>
      </c>
      <c r="W333">
        <v>0</v>
      </c>
      <c r="X333">
        <v>-841254546</v>
      </c>
      <c r="Y333">
        <v>1.6875000000000001E-2</v>
      </c>
      <c r="AA333">
        <v>0</v>
      </c>
      <c r="AB333">
        <v>776.04</v>
      </c>
      <c r="AC333">
        <v>390.34</v>
      </c>
      <c r="AD333">
        <v>0</v>
      </c>
      <c r="AE333">
        <v>0</v>
      </c>
      <c r="AF333">
        <v>65.709999999999994</v>
      </c>
      <c r="AG333">
        <v>11.6</v>
      </c>
      <c r="AH333">
        <v>0</v>
      </c>
      <c r="AI333">
        <v>1</v>
      </c>
      <c r="AJ333">
        <v>11.81</v>
      </c>
      <c r="AK333">
        <v>33.65</v>
      </c>
      <c r="AL333">
        <v>1</v>
      </c>
      <c r="AN333">
        <v>0</v>
      </c>
      <c r="AO333">
        <v>1</v>
      </c>
      <c r="AP333">
        <v>1</v>
      </c>
      <c r="AQ333">
        <v>0</v>
      </c>
      <c r="AR333">
        <v>0</v>
      </c>
      <c r="AS333" t="s">
        <v>3</v>
      </c>
      <c r="AT333">
        <v>0.01</v>
      </c>
      <c r="AU333" t="s">
        <v>146</v>
      </c>
      <c r="AV333">
        <v>0</v>
      </c>
      <c r="AW333">
        <v>2</v>
      </c>
      <c r="AX333">
        <v>68991932</v>
      </c>
      <c r="AY333">
        <v>1</v>
      </c>
      <c r="AZ333">
        <v>0</v>
      </c>
      <c r="BA333">
        <v>330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Y333*Source!I124</f>
        <v>1.0968750000000002E-3</v>
      </c>
      <c r="CY333">
        <f>AB333</f>
        <v>776.04</v>
      </c>
      <c r="CZ333">
        <f>AF333</f>
        <v>65.709999999999994</v>
      </c>
      <c r="DA333">
        <f>AJ333</f>
        <v>11.81</v>
      </c>
      <c r="DB333">
        <f>ROUND(((ROUND(AT333*CZ333,2)*1.25)*1.35),2)</f>
        <v>1.1100000000000001</v>
      </c>
      <c r="DC333">
        <f>ROUND(((ROUND(AT333*AG333,2)*1.25)*1.35),2)</f>
        <v>0.2</v>
      </c>
    </row>
    <row r="334" spans="1:107" x14ac:dyDescent="0.2">
      <c r="A334">
        <f>ROW(Source!A124)</f>
        <v>124</v>
      </c>
      <c r="B334">
        <v>68990560</v>
      </c>
      <c r="C334">
        <v>68991919</v>
      </c>
      <c r="D334">
        <v>64403327</v>
      </c>
      <c r="E334">
        <v>1</v>
      </c>
      <c r="F334">
        <v>1</v>
      </c>
      <c r="G334">
        <v>1</v>
      </c>
      <c r="H334">
        <v>2</v>
      </c>
      <c r="I334" t="s">
        <v>1115</v>
      </c>
      <c r="J334" t="s">
        <v>1116</v>
      </c>
      <c r="K334" t="s">
        <v>1117</v>
      </c>
      <c r="L334">
        <v>1368</v>
      </c>
      <c r="N334">
        <v>1011</v>
      </c>
      <c r="O334" t="s">
        <v>824</v>
      </c>
      <c r="P334" t="s">
        <v>824</v>
      </c>
      <c r="Q334">
        <v>1</v>
      </c>
      <c r="W334">
        <v>0</v>
      </c>
      <c r="X334">
        <v>-569059459</v>
      </c>
      <c r="Y334">
        <v>1.8900000000000003</v>
      </c>
      <c r="AA334">
        <v>0</v>
      </c>
      <c r="AB334">
        <v>37.24</v>
      </c>
      <c r="AC334">
        <v>0</v>
      </c>
      <c r="AD334">
        <v>0</v>
      </c>
      <c r="AE334">
        <v>0</v>
      </c>
      <c r="AF334">
        <v>6.82</v>
      </c>
      <c r="AG334">
        <v>0</v>
      </c>
      <c r="AH334">
        <v>0</v>
      </c>
      <c r="AI334">
        <v>1</v>
      </c>
      <c r="AJ334">
        <v>5.46</v>
      </c>
      <c r="AK334">
        <v>33.65</v>
      </c>
      <c r="AL334">
        <v>1</v>
      </c>
      <c r="AN334">
        <v>0</v>
      </c>
      <c r="AO334">
        <v>1</v>
      </c>
      <c r="AP334">
        <v>1</v>
      </c>
      <c r="AQ334">
        <v>0</v>
      </c>
      <c r="AR334">
        <v>0</v>
      </c>
      <c r="AS334" t="s">
        <v>3</v>
      </c>
      <c r="AT334">
        <v>1.1200000000000001</v>
      </c>
      <c r="AU334" t="s">
        <v>146</v>
      </c>
      <c r="AV334">
        <v>0</v>
      </c>
      <c r="AW334">
        <v>2</v>
      </c>
      <c r="AX334">
        <v>68991933</v>
      </c>
      <c r="AY334">
        <v>1</v>
      </c>
      <c r="AZ334">
        <v>0</v>
      </c>
      <c r="BA334">
        <v>331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Y334*Source!I124</f>
        <v>0.12285000000000003</v>
      </c>
      <c r="CY334">
        <f>AB334</f>
        <v>37.24</v>
      </c>
      <c r="CZ334">
        <f>AF334</f>
        <v>6.82</v>
      </c>
      <c r="DA334">
        <f>AJ334</f>
        <v>5.46</v>
      </c>
      <c r="DB334">
        <f>ROUND(((ROUND(AT334*CZ334,2)*1.25)*1.35),2)</f>
        <v>12.89</v>
      </c>
      <c r="DC334">
        <f>ROUND(((ROUND(AT334*AG334,2)*1.25)*1.35),2)</f>
        <v>0</v>
      </c>
    </row>
    <row r="335" spans="1:107" x14ac:dyDescent="0.2">
      <c r="A335">
        <f>ROW(Source!A124)</f>
        <v>124</v>
      </c>
      <c r="B335">
        <v>68990560</v>
      </c>
      <c r="C335">
        <v>68991919</v>
      </c>
      <c r="D335">
        <v>64283919</v>
      </c>
      <c r="E335">
        <v>1</v>
      </c>
      <c r="F335">
        <v>1</v>
      </c>
      <c r="G335">
        <v>1</v>
      </c>
      <c r="H335">
        <v>3</v>
      </c>
      <c r="I335" t="s">
        <v>946</v>
      </c>
      <c r="J335" t="s">
        <v>947</v>
      </c>
      <c r="K335" t="s">
        <v>948</v>
      </c>
      <c r="L335">
        <v>1348</v>
      </c>
      <c r="N335">
        <v>1009</v>
      </c>
      <c r="O335" t="s">
        <v>71</v>
      </c>
      <c r="P335" t="s">
        <v>71</v>
      </c>
      <c r="Q335">
        <v>1000</v>
      </c>
      <c r="W335">
        <v>0</v>
      </c>
      <c r="X335">
        <v>-609333436</v>
      </c>
      <c r="Y335">
        <v>8.9999999999999993E-3</v>
      </c>
      <c r="AA335">
        <v>88253</v>
      </c>
      <c r="AB335">
        <v>0</v>
      </c>
      <c r="AC335">
        <v>0</v>
      </c>
      <c r="AD335">
        <v>0</v>
      </c>
      <c r="AE335">
        <v>15620</v>
      </c>
      <c r="AF335">
        <v>0</v>
      </c>
      <c r="AG335">
        <v>0</v>
      </c>
      <c r="AH335">
        <v>0</v>
      </c>
      <c r="AI335">
        <v>5.65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3</v>
      </c>
      <c r="AT335">
        <v>8.9999999999999993E-3</v>
      </c>
      <c r="AU335" t="s">
        <v>3</v>
      </c>
      <c r="AV335">
        <v>0</v>
      </c>
      <c r="AW335">
        <v>2</v>
      </c>
      <c r="AX335">
        <v>68991934</v>
      </c>
      <c r="AY335">
        <v>1</v>
      </c>
      <c r="AZ335">
        <v>0</v>
      </c>
      <c r="BA335">
        <v>332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Y335*Source!I124</f>
        <v>5.8500000000000002E-4</v>
      </c>
      <c r="CY335">
        <f>AA335</f>
        <v>88253</v>
      </c>
      <c r="CZ335">
        <f>AE335</f>
        <v>15620</v>
      </c>
      <c r="DA335">
        <f>AI335</f>
        <v>5.65</v>
      </c>
      <c r="DB335">
        <f>ROUND(ROUND(AT335*CZ335,2),2)</f>
        <v>140.58000000000001</v>
      </c>
      <c r="DC335">
        <f>ROUND(ROUND(AT335*AG335,2),2)</f>
        <v>0</v>
      </c>
    </row>
    <row r="336" spans="1:107" x14ac:dyDescent="0.2">
      <c r="A336">
        <f>ROW(Source!A124)</f>
        <v>124</v>
      </c>
      <c r="B336">
        <v>68990560</v>
      </c>
      <c r="C336">
        <v>68991919</v>
      </c>
      <c r="D336">
        <v>64285001</v>
      </c>
      <c r="E336">
        <v>1</v>
      </c>
      <c r="F336">
        <v>1</v>
      </c>
      <c r="G336">
        <v>1</v>
      </c>
      <c r="H336">
        <v>3</v>
      </c>
      <c r="I336" t="s">
        <v>1121</v>
      </c>
      <c r="J336" t="s">
        <v>1122</v>
      </c>
      <c r="K336" t="s">
        <v>1123</v>
      </c>
      <c r="L336">
        <v>1348</v>
      </c>
      <c r="N336">
        <v>1009</v>
      </c>
      <c r="O336" t="s">
        <v>71</v>
      </c>
      <c r="P336" t="s">
        <v>71</v>
      </c>
      <c r="Q336">
        <v>1000</v>
      </c>
      <c r="W336">
        <v>0</v>
      </c>
      <c r="X336">
        <v>-1150552056</v>
      </c>
      <c r="Y336">
        <v>1.5E-3</v>
      </c>
      <c r="AA336">
        <v>74566.399999999994</v>
      </c>
      <c r="AB336">
        <v>0</v>
      </c>
      <c r="AC336">
        <v>0</v>
      </c>
      <c r="AD336">
        <v>0</v>
      </c>
      <c r="AE336">
        <v>7640</v>
      </c>
      <c r="AF336">
        <v>0</v>
      </c>
      <c r="AG336">
        <v>0</v>
      </c>
      <c r="AH336">
        <v>0</v>
      </c>
      <c r="AI336">
        <v>9.76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3</v>
      </c>
      <c r="AT336">
        <v>1.5E-3</v>
      </c>
      <c r="AU336" t="s">
        <v>3</v>
      </c>
      <c r="AV336">
        <v>0</v>
      </c>
      <c r="AW336">
        <v>2</v>
      </c>
      <c r="AX336">
        <v>68991935</v>
      </c>
      <c r="AY336">
        <v>1</v>
      </c>
      <c r="AZ336">
        <v>0</v>
      </c>
      <c r="BA336">
        <v>333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Y336*Source!I124</f>
        <v>9.7500000000000012E-5</v>
      </c>
      <c r="CY336">
        <f>AA336</f>
        <v>74566.399999999994</v>
      </c>
      <c r="CZ336">
        <f>AE336</f>
        <v>7640</v>
      </c>
      <c r="DA336">
        <f>AI336</f>
        <v>9.76</v>
      </c>
      <c r="DB336">
        <f>ROUND(ROUND(AT336*CZ336,2),2)</f>
        <v>11.46</v>
      </c>
      <c r="DC336">
        <f>ROUND(ROUND(AT336*AG336,2),2)</f>
        <v>0</v>
      </c>
    </row>
    <row r="337" spans="1:107" x14ac:dyDescent="0.2">
      <c r="A337">
        <f>ROW(Source!A125)</f>
        <v>125</v>
      </c>
      <c r="B337">
        <v>68990560</v>
      </c>
      <c r="C337">
        <v>68991936</v>
      </c>
      <c r="D337">
        <v>37064978</v>
      </c>
      <c r="E337">
        <v>56</v>
      </c>
      <c r="F337">
        <v>1</v>
      </c>
      <c r="G337">
        <v>1</v>
      </c>
      <c r="H337">
        <v>1</v>
      </c>
      <c r="I337" t="s">
        <v>1026</v>
      </c>
      <c r="J337" t="s">
        <v>3</v>
      </c>
      <c r="K337" t="s">
        <v>1027</v>
      </c>
      <c r="L337">
        <v>1191</v>
      </c>
      <c r="N337">
        <v>1013</v>
      </c>
      <c r="O337" t="s">
        <v>818</v>
      </c>
      <c r="P337" t="s">
        <v>818</v>
      </c>
      <c r="Q337">
        <v>1</v>
      </c>
      <c r="W337">
        <v>0</v>
      </c>
      <c r="X337">
        <v>-719309759</v>
      </c>
      <c r="Y337">
        <v>57.28725</v>
      </c>
      <c r="AA337">
        <v>0</v>
      </c>
      <c r="AB337">
        <v>0</v>
      </c>
      <c r="AC337">
        <v>0</v>
      </c>
      <c r="AD337">
        <v>8.86</v>
      </c>
      <c r="AE337">
        <v>0</v>
      </c>
      <c r="AF337">
        <v>0</v>
      </c>
      <c r="AG337">
        <v>0</v>
      </c>
      <c r="AH337">
        <v>8.86</v>
      </c>
      <c r="AI337">
        <v>1</v>
      </c>
      <c r="AJ337">
        <v>1</v>
      </c>
      <c r="AK337">
        <v>1</v>
      </c>
      <c r="AL337">
        <v>1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3</v>
      </c>
      <c r="AT337">
        <v>36.9</v>
      </c>
      <c r="AU337" t="s">
        <v>147</v>
      </c>
      <c r="AV337">
        <v>1</v>
      </c>
      <c r="AW337">
        <v>2</v>
      </c>
      <c r="AX337">
        <v>68991944</v>
      </c>
      <c r="AY337">
        <v>1</v>
      </c>
      <c r="AZ337">
        <v>0</v>
      </c>
      <c r="BA337">
        <v>334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Y337*Source!I125</f>
        <v>3.7236712500000002</v>
      </c>
      <c r="CY337">
        <f>AD337</f>
        <v>8.86</v>
      </c>
      <c r="CZ337">
        <f>AH337</f>
        <v>8.86</v>
      </c>
      <c r="DA337">
        <f>AL337</f>
        <v>1</v>
      </c>
      <c r="DB337">
        <f>ROUND(((ROUND(AT337*CZ337,2)*1.15)*1.35),2)</f>
        <v>507.56</v>
      </c>
      <c r="DC337">
        <f>ROUND(((ROUND(AT337*AG337,2)*1.15)*1.35),2)</f>
        <v>0</v>
      </c>
    </row>
    <row r="338" spans="1:107" x14ac:dyDescent="0.2">
      <c r="A338">
        <f>ROW(Source!A125)</f>
        <v>125</v>
      </c>
      <c r="B338">
        <v>68990560</v>
      </c>
      <c r="C338">
        <v>68991936</v>
      </c>
      <c r="D338">
        <v>37064876</v>
      </c>
      <c r="E338">
        <v>56</v>
      </c>
      <c r="F338">
        <v>1</v>
      </c>
      <c r="G338">
        <v>1</v>
      </c>
      <c r="H338">
        <v>1</v>
      </c>
      <c r="I338" t="s">
        <v>819</v>
      </c>
      <c r="J338" t="s">
        <v>3</v>
      </c>
      <c r="K338" t="s">
        <v>820</v>
      </c>
      <c r="L338">
        <v>1191</v>
      </c>
      <c r="N338">
        <v>1013</v>
      </c>
      <c r="O338" t="s">
        <v>818</v>
      </c>
      <c r="P338" t="s">
        <v>818</v>
      </c>
      <c r="Q338">
        <v>1</v>
      </c>
      <c r="W338">
        <v>0</v>
      </c>
      <c r="X338">
        <v>-1417349443</v>
      </c>
      <c r="Y338">
        <v>6.7500000000000004E-2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1</v>
      </c>
      <c r="AJ338">
        <v>1</v>
      </c>
      <c r="AK338">
        <v>1</v>
      </c>
      <c r="AL338">
        <v>1</v>
      </c>
      <c r="AN338">
        <v>0</v>
      </c>
      <c r="AO338">
        <v>1</v>
      </c>
      <c r="AP338">
        <v>1</v>
      </c>
      <c r="AQ338">
        <v>0</v>
      </c>
      <c r="AR338">
        <v>0</v>
      </c>
      <c r="AS338" t="s">
        <v>3</v>
      </c>
      <c r="AT338">
        <v>0.04</v>
      </c>
      <c r="AU338" t="s">
        <v>146</v>
      </c>
      <c r="AV338">
        <v>2</v>
      </c>
      <c r="AW338">
        <v>2</v>
      </c>
      <c r="AX338">
        <v>68991945</v>
      </c>
      <c r="AY338">
        <v>1</v>
      </c>
      <c r="AZ338">
        <v>0</v>
      </c>
      <c r="BA338">
        <v>335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Y338*Source!I125</f>
        <v>4.3875000000000008E-3</v>
      </c>
      <c r="CY338">
        <f>AD338</f>
        <v>0</v>
      </c>
      <c r="CZ338">
        <f>AH338</f>
        <v>0</v>
      </c>
      <c r="DA338">
        <f>AL338</f>
        <v>1</v>
      </c>
      <c r="DB338">
        <f>ROUND(((ROUND(AT338*CZ338,2)*1.25)*1.35),2)</f>
        <v>0</v>
      </c>
      <c r="DC338">
        <f>ROUND(((ROUND(AT338*AG338,2)*1.25)*1.35),2)</f>
        <v>0</v>
      </c>
    </row>
    <row r="339" spans="1:107" x14ac:dyDescent="0.2">
      <c r="A339">
        <f>ROW(Source!A125)</f>
        <v>125</v>
      </c>
      <c r="B339">
        <v>68990560</v>
      </c>
      <c r="C339">
        <v>68991936</v>
      </c>
      <c r="D339">
        <v>64401959</v>
      </c>
      <c r="E339">
        <v>1</v>
      </c>
      <c r="F339">
        <v>1</v>
      </c>
      <c r="G339">
        <v>1</v>
      </c>
      <c r="H339">
        <v>2</v>
      </c>
      <c r="I339" t="s">
        <v>859</v>
      </c>
      <c r="J339" t="s">
        <v>860</v>
      </c>
      <c r="K339" t="s">
        <v>861</v>
      </c>
      <c r="L339">
        <v>1368</v>
      </c>
      <c r="N339">
        <v>1011</v>
      </c>
      <c r="O339" t="s">
        <v>824</v>
      </c>
      <c r="P339" t="s">
        <v>824</v>
      </c>
      <c r="Q339">
        <v>1</v>
      </c>
      <c r="W339">
        <v>0</v>
      </c>
      <c r="X339">
        <v>10009565</v>
      </c>
      <c r="Y339">
        <v>1.6875000000000001E-2</v>
      </c>
      <c r="AA339">
        <v>0</v>
      </c>
      <c r="AB339">
        <v>465.15</v>
      </c>
      <c r="AC339">
        <v>454.28</v>
      </c>
      <c r="AD339">
        <v>0</v>
      </c>
      <c r="AE339">
        <v>0</v>
      </c>
      <c r="AF339">
        <v>31.26</v>
      </c>
      <c r="AG339">
        <v>13.5</v>
      </c>
      <c r="AH339">
        <v>0</v>
      </c>
      <c r="AI339">
        <v>1</v>
      </c>
      <c r="AJ339">
        <v>14.88</v>
      </c>
      <c r="AK339">
        <v>33.65</v>
      </c>
      <c r="AL339">
        <v>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3</v>
      </c>
      <c r="AT339">
        <v>0.01</v>
      </c>
      <c r="AU339" t="s">
        <v>146</v>
      </c>
      <c r="AV339">
        <v>0</v>
      </c>
      <c r="AW339">
        <v>2</v>
      </c>
      <c r="AX339">
        <v>68991946</v>
      </c>
      <c r="AY339">
        <v>1</v>
      </c>
      <c r="AZ339">
        <v>0</v>
      </c>
      <c r="BA339">
        <v>336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Y339*Source!I125</f>
        <v>1.0968750000000002E-3</v>
      </c>
      <c r="CY339">
        <f>AB339</f>
        <v>465.15</v>
      </c>
      <c r="CZ339">
        <f>AF339</f>
        <v>31.26</v>
      </c>
      <c r="DA339">
        <f>AJ339</f>
        <v>14.88</v>
      </c>
      <c r="DB339">
        <f>ROUND(((ROUND(AT339*CZ339,2)*1.25)*1.35),2)</f>
        <v>0.52</v>
      </c>
      <c r="DC339">
        <f>ROUND(((ROUND(AT339*AG339,2)*1.25)*1.35),2)</f>
        <v>0.24</v>
      </c>
    </row>
    <row r="340" spans="1:107" x14ac:dyDescent="0.2">
      <c r="A340">
        <f>ROW(Source!A125)</f>
        <v>125</v>
      </c>
      <c r="B340">
        <v>68990560</v>
      </c>
      <c r="C340">
        <v>68991936</v>
      </c>
      <c r="D340">
        <v>64402691</v>
      </c>
      <c r="E340">
        <v>1</v>
      </c>
      <c r="F340">
        <v>1</v>
      </c>
      <c r="G340">
        <v>1</v>
      </c>
      <c r="H340">
        <v>2</v>
      </c>
      <c r="I340" t="s">
        <v>825</v>
      </c>
      <c r="J340" t="s">
        <v>826</v>
      </c>
      <c r="K340" t="s">
        <v>827</v>
      </c>
      <c r="L340">
        <v>1368</v>
      </c>
      <c r="N340">
        <v>1011</v>
      </c>
      <c r="O340" t="s">
        <v>824</v>
      </c>
      <c r="P340" t="s">
        <v>824</v>
      </c>
      <c r="Q340">
        <v>1</v>
      </c>
      <c r="W340">
        <v>0</v>
      </c>
      <c r="X340">
        <v>-841254546</v>
      </c>
      <c r="Y340">
        <v>5.0625000000000003E-2</v>
      </c>
      <c r="AA340">
        <v>0</v>
      </c>
      <c r="AB340">
        <v>776.04</v>
      </c>
      <c r="AC340">
        <v>390.34</v>
      </c>
      <c r="AD340">
        <v>0</v>
      </c>
      <c r="AE340">
        <v>0</v>
      </c>
      <c r="AF340">
        <v>65.709999999999994</v>
      </c>
      <c r="AG340">
        <v>11.6</v>
      </c>
      <c r="AH340">
        <v>0</v>
      </c>
      <c r="AI340">
        <v>1</v>
      </c>
      <c r="AJ340">
        <v>11.81</v>
      </c>
      <c r="AK340">
        <v>33.65</v>
      </c>
      <c r="AL340">
        <v>1</v>
      </c>
      <c r="AN340">
        <v>0</v>
      </c>
      <c r="AO340">
        <v>1</v>
      </c>
      <c r="AP340">
        <v>1</v>
      </c>
      <c r="AQ340">
        <v>0</v>
      </c>
      <c r="AR340">
        <v>0</v>
      </c>
      <c r="AS340" t="s">
        <v>3</v>
      </c>
      <c r="AT340">
        <v>0.03</v>
      </c>
      <c r="AU340" t="s">
        <v>146</v>
      </c>
      <c r="AV340">
        <v>0</v>
      </c>
      <c r="AW340">
        <v>2</v>
      </c>
      <c r="AX340">
        <v>68991947</v>
      </c>
      <c r="AY340">
        <v>1</v>
      </c>
      <c r="AZ340">
        <v>0</v>
      </c>
      <c r="BA340">
        <v>337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Y340*Source!I125</f>
        <v>3.2906250000000001E-3</v>
      </c>
      <c r="CY340">
        <f>AB340</f>
        <v>776.04</v>
      </c>
      <c r="CZ340">
        <f>AF340</f>
        <v>65.709999999999994</v>
      </c>
      <c r="DA340">
        <f>AJ340</f>
        <v>11.81</v>
      </c>
      <c r="DB340">
        <f>ROUND(((ROUND(AT340*CZ340,2)*1.25)*1.35),2)</f>
        <v>3.32</v>
      </c>
      <c r="DC340">
        <f>ROUND(((ROUND(AT340*AG340,2)*1.25)*1.35),2)</f>
        <v>0.59</v>
      </c>
    </row>
    <row r="341" spans="1:107" x14ac:dyDescent="0.2">
      <c r="A341">
        <f>ROW(Source!A125)</f>
        <v>125</v>
      </c>
      <c r="B341">
        <v>68990560</v>
      </c>
      <c r="C341">
        <v>68991936</v>
      </c>
      <c r="D341">
        <v>64256200</v>
      </c>
      <c r="E341">
        <v>1</v>
      </c>
      <c r="F341">
        <v>1</v>
      </c>
      <c r="G341">
        <v>1</v>
      </c>
      <c r="H341">
        <v>3</v>
      </c>
      <c r="I341" t="s">
        <v>1034</v>
      </c>
      <c r="J341" t="s">
        <v>1035</v>
      </c>
      <c r="K341" t="s">
        <v>1036</v>
      </c>
      <c r="L341">
        <v>1346</v>
      </c>
      <c r="N341">
        <v>1009</v>
      </c>
      <c r="O341" t="s">
        <v>170</v>
      </c>
      <c r="P341" t="s">
        <v>170</v>
      </c>
      <c r="Q341">
        <v>1</v>
      </c>
      <c r="W341">
        <v>0</v>
      </c>
      <c r="X341">
        <v>1103561696</v>
      </c>
      <c r="Y341">
        <v>0.3</v>
      </c>
      <c r="AA341">
        <v>48.18</v>
      </c>
      <c r="AB341">
        <v>0</v>
      </c>
      <c r="AC341">
        <v>0</v>
      </c>
      <c r="AD341">
        <v>0</v>
      </c>
      <c r="AE341">
        <v>1.82</v>
      </c>
      <c r="AF341">
        <v>0</v>
      </c>
      <c r="AG341">
        <v>0</v>
      </c>
      <c r="AH341">
        <v>0</v>
      </c>
      <c r="AI341">
        <v>26.47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3</v>
      </c>
      <c r="AT341">
        <v>0.3</v>
      </c>
      <c r="AU341" t="s">
        <v>3</v>
      </c>
      <c r="AV341">
        <v>0</v>
      </c>
      <c r="AW341">
        <v>2</v>
      </c>
      <c r="AX341">
        <v>68991948</v>
      </c>
      <c r="AY341">
        <v>1</v>
      </c>
      <c r="AZ341">
        <v>0</v>
      </c>
      <c r="BA341">
        <v>338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Y341*Source!I125</f>
        <v>1.95E-2</v>
      </c>
      <c r="CY341">
        <f>AA341</f>
        <v>48.18</v>
      </c>
      <c r="CZ341">
        <f>AE341</f>
        <v>1.82</v>
      </c>
      <c r="DA341">
        <f>AI341</f>
        <v>26.47</v>
      </c>
      <c r="DB341">
        <f>ROUND(ROUND(AT341*CZ341,2),2)</f>
        <v>0.55000000000000004</v>
      </c>
      <c r="DC341">
        <f>ROUND(ROUND(AT341*AG341,2),2)</f>
        <v>0</v>
      </c>
    </row>
    <row r="342" spans="1:107" x14ac:dyDescent="0.2">
      <c r="A342">
        <f>ROW(Source!A125)</f>
        <v>125</v>
      </c>
      <c r="B342">
        <v>68990560</v>
      </c>
      <c r="C342">
        <v>68991936</v>
      </c>
      <c r="D342">
        <v>64284432</v>
      </c>
      <c r="E342">
        <v>1</v>
      </c>
      <c r="F342">
        <v>1</v>
      </c>
      <c r="G342">
        <v>1</v>
      </c>
      <c r="H342">
        <v>3</v>
      </c>
      <c r="I342" t="s">
        <v>436</v>
      </c>
      <c r="J342" t="s">
        <v>438</v>
      </c>
      <c r="K342" t="s">
        <v>437</v>
      </c>
      <c r="L342">
        <v>1296</v>
      </c>
      <c r="N342">
        <v>1002</v>
      </c>
      <c r="O342" t="s">
        <v>174</v>
      </c>
      <c r="P342" t="s">
        <v>174</v>
      </c>
      <c r="Q342">
        <v>1</v>
      </c>
      <c r="W342">
        <v>0</v>
      </c>
      <c r="X342">
        <v>-914527566</v>
      </c>
      <c r="Y342">
        <v>25</v>
      </c>
      <c r="AA342">
        <v>556.17999999999995</v>
      </c>
      <c r="AB342">
        <v>0</v>
      </c>
      <c r="AC342">
        <v>0</v>
      </c>
      <c r="AD342">
        <v>0</v>
      </c>
      <c r="AE342">
        <v>149.51</v>
      </c>
      <c r="AF342">
        <v>0</v>
      </c>
      <c r="AG342">
        <v>0</v>
      </c>
      <c r="AH342">
        <v>0</v>
      </c>
      <c r="AI342">
        <v>3.72</v>
      </c>
      <c r="AJ342">
        <v>1</v>
      </c>
      <c r="AK342">
        <v>1</v>
      </c>
      <c r="AL342">
        <v>1</v>
      </c>
      <c r="AN342">
        <v>0</v>
      </c>
      <c r="AO342">
        <v>0</v>
      </c>
      <c r="AP342">
        <v>0</v>
      </c>
      <c r="AQ342">
        <v>0</v>
      </c>
      <c r="AR342">
        <v>0</v>
      </c>
      <c r="AS342" t="s">
        <v>3</v>
      </c>
      <c r="AT342">
        <v>25</v>
      </c>
      <c r="AU342" t="s">
        <v>3</v>
      </c>
      <c r="AV342">
        <v>0</v>
      </c>
      <c r="AW342">
        <v>1</v>
      </c>
      <c r="AX342">
        <v>-1</v>
      </c>
      <c r="AY342">
        <v>0</v>
      </c>
      <c r="AZ342">
        <v>0</v>
      </c>
      <c r="BA342" t="s">
        <v>3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Y342*Source!I125</f>
        <v>1.625</v>
      </c>
      <c r="CY342">
        <f>AA342</f>
        <v>556.17999999999995</v>
      </c>
      <c r="CZ342">
        <f>AE342</f>
        <v>149.51</v>
      </c>
      <c r="DA342">
        <f>AI342</f>
        <v>3.72</v>
      </c>
      <c r="DB342">
        <f>ROUND(ROUND(AT342*CZ342,2),2)</f>
        <v>3737.75</v>
      </c>
      <c r="DC342">
        <f>ROUND(ROUND(AT342*AG342,2),2)</f>
        <v>0</v>
      </c>
    </row>
    <row r="343" spans="1:107" x14ac:dyDescent="0.2">
      <c r="A343">
        <f>ROW(Source!A125)</f>
        <v>125</v>
      </c>
      <c r="B343">
        <v>68990560</v>
      </c>
      <c r="C343">
        <v>68991936</v>
      </c>
      <c r="D343">
        <v>64284881</v>
      </c>
      <c r="E343">
        <v>1</v>
      </c>
      <c r="F343">
        <v>1</v>
      </c>
      <c r="G343">
        <v>1</v>
      </c>
      <c r="H343">
        <v>3</v>
      </c>
      <c r="I343" t="s">
        <v>1141</v>
      </c>
      <c r="J343" t="s">
        <v>1142</v>
      </c>
      <c r="K343" t="s">
        <v>1143</v>
      </c>
      <c r="L343">
        <v>1346</v>
      </c>
      <c r="N343">
        <v>1009</v>
      </c>
      <c r="O343" t="s">
        <v>170</v>
      </c>
      <c r="P343" t="s">
        <v>170</v>
      </c>
      <c r="Q343">
        <v>1</v>
      </c>
      <c r="W343">
        <v>0</v>
      </c>
      <c r="X343">
        <v>-481531337</v>
      </c>
      <c r="Y343">
        <v>2.7</v>
      </c>
      <c r="AA343">
        <v>210.6</v>
      </c>
      <c r="AB343">
        <v>0</v>
      </c>
      <c r="AC343">
        <v>0</v>
      </c>
      <c r="AD343">
        <v>0</v>
      </c>
      <c r="AE343">
        <v>32.6</v>
      </c>
      <c r="AF343">
        <v>0</v>
      </c>
      <c r="AG343">
        <v>0</v>
      </c>
      <c r="AH343">
        <v>0</v>
      </c>
      <c r="AI343">
        <v>6.46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3</v>
      </c>
      <c r="AT343">
        <v>2.7</v>
      </c>
      <c r="AU343" t="s">
        <v>3</v>
      </c>
      <c r="AV343">
        <v>0</v>
      </c>
      <c r="AW343">
        <v>2</v>
      </c>
      <c r="AX343">
        <v>68991950</v>
      </c>
      <c r="AY343">
        <v>1</v>
      </c>
      <c r="AZ343">
        <v>0</v>
      </c>
      <c r="BA343">
        <v>340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Y343*Source!I125</f>
        <v>0.17550000000000002</v>
      </c>
      <c r="CY343">
        <f>AA343</f>
        <v>210.6</v>
      </c>
      <c r="CZ343">
        <f>AE343</f>
        <v>32.6</v>
      </c>
      <c r="DA343">
        <f>AI343</f>
        <v>6.46</v>
      </c>
      <c r="DB343">
        <f>ROUND(ROUND(AT343*CZ343,2),2)</f>
        <v>88.02</v>
      </c>
      <c r="DC343">
        <f>ROUND(ROUND(AT343*AG343,2),2)</f>
        <v>0</v>
      </c>
    </row>
    <row r="344" spans="1:107" x14ac:dyDescent="0.2">
      <c r="A344">
        <f>ROW(Source!A127)</f>
        <v>127</v>
      </c>
      <c r="B344">
        <v>68990560</v>
      </c>
      <c r="C344">
        <v>68991980</v>
      </c>
      <c r="D344">
        <v>64240997</v>
      </c>
      <c r="E344">
        <v>56</v>
      </c>
      <c r="F344">
        <v>1</v>
      </c>
      <c r="G344">
        <v>1</v>
      </c>
      <c r="H344">
        <v>1</v>
      </c>
      <c r="I344" t="s">
        <v>874</v>
      </c>
      <c r="J344" t="s">
        <v>3</v>
      </c>
      <c r="K344" t="s">
        <v>875</v>
      </c>
      <c r="L344">
        <v>1191</v>
      </c>
      <c r="N344">
        <v>1013</v>
      </c>
      <c r="O344" t="s">
        <v>818</v>
      </c>
      <c r="P344" t="s">
        <v>818</v>
      </c>
      <c r="Q344">
        <v>1</v>
      </c>
      <c r="W344">
        <v>0</v>
      </c>
      <c r="X344">
        <v>-1027537862</v>
      </c>
      <c r="Y344">
        <v>164.85997499999999</v>
      </c>
      <c r="AA344">
        <v>0</v>
      </c>
      <c r="AB344">
        <v>0</v>
      </c>
      <c r="AC344">
        <v>0</v>
      </c>
      <c r="AD344">
        <v>9.18</v>
      </c>
      <c r="AE344">
        <v>0</v>
      </c>
      <c r="AF344">
        <v>0</v>
      </c>
      <c r="AG344">
        <v>0</v>
      </c>
      <c r="AH344">
        <v>9.18</v>
      </c>
      <c r="AI344">
        <v>1</v>
      </c>
      <c r="AJ344">
        <v>1</v>
      </c>
      <c r="AK344">
        <v>1</v>
      </c>
      <c r="AL344">
        <v>1</v>
      </c>
      <c r="AN344">
        <v>0</v>
      </c>
      <c r="AO344">
        <v>1</v>
      </c>
      <c r="AP344">
        <v>1</v>
      </c>
      <c r="AQ344">
        <v>0</v>
      </c>
      <c r="AR344">
        <v>0</v>
      </c>
      <c r="AS344" t="s">
        <v>3</v>
      </c>
      <c r="AT344">
        <v>106.19</v>
      </c>
      <c r="AU344" t="s">
        <v>147</v>
      </c>
      <c r="AV344">
        <v>1</v>
      </c>
      <c r="AW344">
        <v>2</v>
      </c>
      <c r="AX344">
        <v>68992008</v>
      </c>
      <c r="AY344">
        <v>1</v>
      </c>
      <c r="AZ344">
        <v>0</v>
      </c>
      <c r="BA344">
        <v>341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Y344*Source!I127</f>
        <v>57.536131274999995</v>
      </c>
      <c r="CY344">
        <f>AD344</f>
        <v>9.18</v>
      </c>
      <c r="CZ344">
        <f>AH344</f>
        <v>9.18</v>
      </c>
      <c r="DA344">
        <f>AL344</f>
        <v>1</v>
      </c>
      <c r="DB344">
        <f>ROUND(((ROUND(AT344*CZ344,2)*1.15)*1.35),2)</f>
        <v>1513.41</v>
      </c>
      <c r="DC344">
        <f>ROUND(((ROUND(AT344*AG344,2)*1.15)*1.35),2)</f>
        <v>0</v>
      </c>
    </row>
    <row r="345" spans="1:107" x14ac:dyDescent="0.2">
      <c r="A345">
        <f>ROW(Source!A127)</f>
        <v>127</v>
      </c>
      <c r="B345">
        <v>68990560</v>
      </c>
      <c r="C345">
        <v>68991980</v>
      </c>
      <c r="D345">
        <v>64241154</v>
      </c>
      <c r="E345">
        <v>56</v>
      </c>
      <c r="F345">
        <v>1</v>
      </c>
      <c r="G345">
        <v>1</v>
      </c>
      <c r="H345">
        <v>1</v>
      </c>
      <c r="I345" t="s">
        <v>819</v>
      </c>
      <c r="J345" t="s">
        <v>3</v>
      </c>
      <c r="K345" t="s">
        <v>820</v>
      </c>
      <c r="L345">
        <v>1191</v>
      </c>
      <c r="N345">
        <v>1013</v>
      </c>
      <c r="O345" t="s">
        <v>818</v>
      </c>
      <c r="P345" t="s">
        <v>818</v>
      </c>
      <c r="Q345">
        <v>1</v>
      </c>
      <c r="W345">
        <v>0</v>
      </c>
      <c r="X345">
        <v>-1417349443</v>
      </c>
      <c r="Y345">
        <v>1.08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1</v>
      </c>
      <c r="AQ345">
        <v>0</v>
      </c>
      <c r="AR345">
        <v>0</v>
      </c>
      <c r="AS345" t="s">
        <v>3</v>
      </c>
      <c r="AT345">
        <v>0.64</v>
      </c>
      <c r="AU345" t="s">
        <v>146</v>
      </c>
      <c r="AV345">
        <v>2</v>
      </c>
      <c r="AW345">
        <v>2</v>
      </c>
      <c r="AX345">
        <v>68992009</v>
      </c>
      <c r="AY345">
        <v>1</v>
      </c>
      <c r="AZ345">
        <v>0</v>
      </c>
      <c r="BA345">
        <v>342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Y345*Source!I127</f>
        <v>0.37691999999999998</v>
      </c>
      <c r="CY345">
        <f>AD345</f>
        <v>0</v>
      </c>
      <c r="CZ345">
        <f>AH345</f>
        <v>0</v>
      </c>
      <c r="DA345">
        <f>AL345</f>
        <v>1</v>
      </c>
      <c r="DB345">
        <f>ROUND(((ROUND(AT345*CZ345,2)*1.25)*1.35),2)</f>
        <v>0</v>
      </c>
      <c r="DC345">
        <f>ROUND(((ROUND(AT345*AG345,2)*1.25)*1.35),2)</f>
        <v>0</v>
      </c>
    </row>
    <row r="346" spans="1:107" x14ac:dyDescent="0.2">
      <c r="A346">
        <f>ROW(Source!A127)</f>
        <v>127</v>
      </c>
      <c r="B346">
        <v>68990560</v>
      </c>
      <c r="C346">
        <v>68991980</v>
      </c>
      <c r="D346">
        <v>64401763</v>
      </c>
      <c r="E346">
        <v>1</v>
      </c>
      <c r="F346">
        <v>1</v>
      </c>
      <c r="G346">
        <v>1</v>
      </c>
      <c r="H346">
        <v>2</v>
      </c>
      <c r="I346" t="s">
        <v>821</v>
      </c>
      <c r="J346" t="s">
        <v>822</v>
      </c>
      <c r="K346" t="s">
        <v>823</v>
      </c>
      <c r="L346">
        <v>1368</v>
      </c>
      <c r="N346">
        <v>1011</v>
      </c>
      <c r="O346" t="s">
        <v>824</v>
      </c>
      <c r="P346" t="s">
        <v>824</v>
      </c>
      <c r="Q346">
        <v>1</v>
      </c>
      <c r="W346">
        <v>0</v>
      </c>
      <c r="X346">
        <v>-1346461524</v>
      </c>
      <c r="Y346">
        <v>0.45562500000000006</v>
      </c>
      <c r="AA346">
        <v>0</v>
      </c>
      <c r="AB346">
        <v>1074.3699999999999</v>
      </c>
      <c r="AC346">
        <v>454.28</v>
      </c>
      <c r="AD346">
        <v>0</v>
      </c>
      <c r="AE346">
        <v>0</v>
      </c>
      <c r="AF346">
        <v>115.4</v>
      </c>
      <c r="AG346">
        <v>13.5</v>
      </c>
      <c r="AH346">
        <v>0</v>
      </c>
      <c r="AI346">
        <v>1</v>
      </c>
      <c r="AJ346">
        <v>9.31</v>
      </c>
      <c r="AK346">
        <v>33.65</v>
      </c>
      <c r="AL346">
        <v>1</v>
      </c>
      <c r="AN346">
        <v>0</v>
      </c>
      <c r="AO346">
        <v>1</v>
      </c>
      <c r="AP346">
        <v>1</v>
      </c>
      <c r="AQ346">
        <v>0</v>
      </c>
      <c r="AR346">
        <v>0</v>
      </c>
      <c r="AS346" t="s">
        <v>3</v>
      </c>
      <c r="AT346">
        <v>0.27</v>
      </c>
      <c r="AU346" t="s">
        <v>146</v>
      </c>
      <c r="AV346">
        <v>0</v>
      </c>
      <c r="AW346">
        <v>2</v>
      </c>
      <c r="AX346">
        <v>68992010</v>
      </c>
      <c r="AY346">
        <v>1</v>
      </c>
      <c r="AZ346">
        <v>0</v>
      </c>
      <c r="BA346">
        <v>343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Y346*Source!I127</f>
        <v>0.15901312500000001</v>
      </c>
      <c r="CY346">
        <f>AB346</f>
        <v>1074.3699999999999</v>
      </c>
      <c r="CZ346">
        <f>AF346</f>
        <v>115.4</v>
      </c>
      <c r="DA346">
        <f>AJ346</f>
        <v>9.31</v>
      </c>
      <c r="DB346">
        <f>ROUND(((ROUND(AT346*CZ346,2)*1.25)*1.35),2)</f>
        <v>52.58</v>
      </c>
      <c r="DC346">
        <f>ROUND(((ROUND(AT346*AG346,2)*1.25)*1.35),2)</f>
        <v>6.16</v>
      </c>
    </row>
    <row r="347" spans="1:107" x14ac:dyDescent="0.2">
      <c r="A347">
        <f>ROW(Source!A127)</f>
        <v>127</v>
      </c>
      <c r="B347">
        <v>68990560</v>
      </c>
      <c r="C347">
        <v>68991980</v>
      </c>
      <c r="D347">
        <v>64402691</v>
      </c>
      <c r="E347">
        <v>1</v>
      </c>
      <c r="F347">
        <v>1</v>
      </c>
      <c r="G347">
        <v>1</v>
      </c>
      <c r="H347">
        <v>2</v>
      </c>
      <c r="I347" t="s">
        <v>825</v>
      </c>
      <c r="J347" t="s">
        <v>826</v>
      </c>
      <c r="K347" t="s">
        <v>827</v>
      </c>
      <c r="L347">
        <v>1368</v>
      </c>
      <c r="N347">
        <v>1011</v>
      </c>
      <c r="O347" t="s">
        <v>824</v>
      </c>
      <c r="P347" t="s">
        <v>824</v>
      </c>
      <c r="Q347">
        <v>1</v>
      </c>
      <c r="W347">
        <v>0</v>
      </c>
      <c r="X347">
        <v>-841254546</v>
      </c>
      <c r="Y347">
        <v>0.62437500000000012</v>
      </c>
      <c r="AA347">
        <v>0</v>
      </c>
      <c r="AB347">
        <v>776.04</v>
      </c>
      <c r="AC347">
        <v>390.34</v>
      </c>
      <c r="AD347">
        <v>0</v>
      </c>
      <c r="AE347">
        <v>0</v>
      </c>
      <c r="AF347">
        <v>65.709999999999994</v>
      </c>
      <c r="AG347">
        <v>11.6</v>
      </c>
      <c r="AH347">
        <v>0</v>
      </c>
      <c r="AI347">
        <v>1</v>
      </c>
      <c r="AJ347">
        <v>11.81</v>
      </c>
      <c r="AK347">
        <v>33.65</v>
      </c>
      <c r="AL347">
        <v>1</v>
      </c>
      <c r="AN347">
        <v>0</v>
      </c>
      <c r="AO347">
        <v>1</v>
      </c>
      <c r="AP347">
        <v>1</v>
      </c>
      <c r="AQ347">
        <v>0</v>
      </c>
      <c r="AR347">
        <v>0</v>
      </c>
      <c r="AS347" t="s">
        <v>3</v>
      </c>
      <c r="AT347">
        <v>0.37</v>
      </c>
      <c r="AU347" t="s">
        <v>146</v>
      </c>
      <c r="AV347">
        <v>0</v>
      </c>
      <c r="AW347">
        <v>2</v>
      </c>
      <c r="AX347">
        <v>68992011</v>
      </c>
      <c r="AY347">
        <v>1</v>
      </c>
      <c r="AZ347">
        <v>0</v>
      </c>
      <c r="BA347">
        <v>344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Y347*Source!I127</f>
        <v>0.21790687500000003</v>
      </c>
      <c r="CY347">
        <f>AB347</f>
        <v>776.04</v>
      </c>
      <c r="CZ347">
        <f>AF347</f>
        <v>65.709999999999994</v>
      </c>
      <c r="DA347">
        <f>AJ347</f>
        <v>11.81</v>
      </c>
      <c r="DB347">
        <f>ROUND(((ROUND(AT347*CZ347,2)*1.25)*1.35),2)</f>
        <v>41.02</v>
      </c>
      <c r="DC347">
        <f>ROUND(((ROUND(AT347*AG347,2)*1.25)*1.35),2)</f>
        <v>7.24</v>
      </c>
    </row>
    <row r="348" spans="1:107" x14ac:dyDescent="0.2">
      <c r="A348">
        <f>ROW(Source!A127)</f>
        <v>127</v>
      </c>
      <c r="B348">
        <v>68990560</v>
      </c>
      <c r="C348">
        <v>68991980</v>
      </c>
      <c r="D348">
        <v>64255178</v>
      </c>
      <c r="E348">
        <v>1</v>
      </c>
      <c r="F348">
        <v>1</v>
      </c>
      <c r="G348">
        <v>1</v>
      </c>
      <c r="H348">
        <v>3</v>
      </c>
      <c r="I348" t="s">
        <v>1144</v>
      </c>
      <c r="J348" t="s">
        <v>1145</v>
      </c>
      <c r="K348" t="s">
        <v>1146</v>
      </c>
      <c r="L348">
        <v>1425</v>
      </c>
      <c r="N348">
        <v>1013</v>
      </c>
      <c r="O348" t="s">
        <v>18</v>
      </c>
      <c r="P348" t="s">
        <v>18</v>
      </c>
      <c r="Q348">
        <v>1</v>
      </c>
      <c r="W348">
        <v>0</v>
      </c>
      <c r="X348">
        <v>813866170</v>
      </c>
      <c r="Y348">
        <v>7</v>
      </c>
      <c r="AA348">
        <v>379.96</v>
      </c>
      <c r="AB348">
        <v>0</v>
      </c>
      <c r="AC348">
        <v>0</v>
      </c>
      <c r="AD348">
        <v>0</v>
      </c>
      <c r="AE348">
        <v>118</v>
      </c>
      <c r="AF348">
        <v>0</v>
      </c>
      <c r="AG348">
        <v>0</v>
      </c>
      <c r="AH348">
        <v>0</v>
      </c>
      <c r="AI348">
        <v>3.22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3</v>
      </c>
      <c r="AT348">
        <v>7</v>
      </c>
      <c r="AU348" t="s">
        <v>3</v>
      </c>
      <c r="AV348">
        <v>0</v>
      </c>
      <c r="AW348">
        <v>2</v>
      </c>
      <c r="AX348">
        <v>68992012</v>
      </c>
      <c r="AY348">
        <v>1</v>
      </c>
      <c r="AZ348">
        <v>0</v>
      </c>
      <c r="BA348">
        <v>345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Y348*Source!I127</f>
        <v>2.4429999999999996</v>
      </c>
      <c r="CY348">
        <f t="shared" ref="CY348:CY356" si="64">AA348</f>
        <v>379.96</v>
      </c>
      <c r="CZ348">
        <f t="shared" ref="CZ348:CZ356" si="65">AE348</f>
        <v>118</v>
      </c>
      <c r="DA348">
        <f t="shared" ref="DA348:DA356" si="66">AI348</f>
        <v>3.22</v>
      </c>
      <c r="DB348">
        <f t="shared" ref="DB348:DB356" si="67">ROUND(ROUND(AT348*CZ348,2),2)</f>
        <v>826</v>
      </c>
      <c r="DC348">
        <f t="shared" ref="DC348:DC356" si="68">ROUND(ROUND(AT348*AG348,2),2)</f>
        <v>0</v>
      </c>
    </row>
    <row r="349" spans="1:107" x14ac:dyDescent="0.2">
      <c r="A349">
        <f>ROW(Source!A127)</f>
        <v>127</v>
      </c>
      <c r="B349">
        <v>68990560</v>
      </c>
      <c r="C349">
        <v>68991980</v>
      </c>
      <c r="D349">
        <v>64255475</v>
      </c>
      <c r="E349">
        <v>1</v>
      </c>
      <c r="F349">
        <v>1</v>
      </c>
      <c r="G349">
        <v>1</v>
      </c>
      <c r="H349">
        <v>3</v>
      </c>
      <c r="I349" t="s">
        <v>1147</v>
      </c>
      <c r="J349" t="s">
        <v>1148</v>
      </c>
      <c r="K349" t="s">
        <v>1149</v>
      </c>
      <c r="L349">
        <v>1425</v>
      </c>
      <c r="N349">
        <v>1013</v>
      </c>
      <c r="O349" t="s">
        <v>18</v>
      </c>
      <c r="P349" t="s">
        <v>18</v>
      </c>
      <c r="Q349">
        <v>1</v>
      </c>
      <c r="W349">
        <v>0</v>
      </c>
      <c r="X349">
        <v>-1787490145</v>
      </c>
      <c r="Y349">
        <v>29</v>
      </c>
      <c r="AA349">
        <v>39</v>
      </c>
      <c r="AB349">
        <v>0</v>
      </c>
      <c r="AC349">
        <v>0</v>
      </c>
      <c r="AD349">
        <v>0</v>
      </c>
      <c r="AE349">
        <v>10</v>
      </c>
      <c r="AF349">
        <v>0</v>
      </c>
      <c r="AG349">
        <v>0</v>
      </c>
      <c r="AH349">
        <v>0</v>
      </c>
      <c r="AI349">
        <v>3.9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0</v>
      </c>
      <c r="AQ349">
        <v>0</v>
      </c>
      <c r="AR349">
        <v>0</v>
      </c>
      <c r="AS349" t="s">
        <v>3</v>
      </c>
      <c r="AT349">
        <v>29</v>
      </c>
      <c r="AU349" t="s">
        <v>3</v>
      </c>
      <c r="AV349">
        <v>0</v>
      </c>
      <c r="AW349">
        <v>2</v>
      </c>
      <c r="AX349">
        <v>68992013</v>
      </c>
      <c r="AY349">
        <v>1</v>
      </c>
      <c r="AZ349">
        <v>0</v>
      </c>
      <c r="BA349">
        <v>346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Y349*Source!I127</f>
        <v>10.120999999999999</v>
      </c>
      <c r="CY349">
        <f t="shared" si="64"/>
        <v>39</v>
      </c>
      <c r="CZ349">
        <f t="shared" si="65"/>
        <v>10</v>
      </c>
      <c r="DA349">
        <f t="shared" si="66"/>
        <v>3.9</v>
      </c>
      <c r="DB349">
        <f t="shared" si="67"/>
        <v>290</v>
      </c>
      <c r="DC349">
        <f t="shared" si="68"/>
        <v>0</v>
      </c>
    </row>
    <row r="350" spans="1:107" x14ac:dyDescent="0.2">
      <c r="A350">
        <f>ROW(Source!A127)</f>
        <v>127</v>
      </c>
      <c r="B350">
        <v>68990560</v>
      </c>
      <c r="C350">
        <v>68991980</v>
      </c>
      <c r="D350">
        <v>64269397</v>
      </c>
      <c r="E350">
        <v>1</v>
      </c>
      <c r="F350">
        <v>1</v>
      </c>
      <c r="G350">
        <v>1</v>
      </c>
      <c r="H350">
        <v>3</v>
      </c>
      <c r="I350" t="s">
        <v>1150</v>
      </c>
      <c r="J350" t="s">
        <v>1151</v>
      </c>
      <c r="K350" t="s">
        <v>1152</v>
      </c>
      <c r="L350">
        <v>1301</v>
      </c>
      <c r="N350">
        <v>1003</v>
      </c>
      <c r="O350" t="s">
        <v>379</v>
      </c>
      <c r="P350" t="s">
        <v>379</v>
      </c>
      <c r="Q350">
        <v>1</v>
      </c>
      <c r="W350">
        <v>0</v>
      </c>
      <c r="X350">
        <v>1153161201</v>
      </c>
      <c r="Y350">
        <v>200</v>
      </c>
      <c r="AA350">
        <v>72.97</v>
      </c>
      <c r="AB350">
        <v>0</v>
      </c>
      <c r="AC350">
        <v>0</v>
      </c>
      <c r="AD350">
        <v>0</v>
      </c>
      <c r="AE350">
        <v>6.91</v>
      </c>
      <c r="AF350">
        <v>0</v>
      </c>
      <c r="AG350">
        <v>0</v>
      </c>
      <c r="AH350">
        <v>0</v>
      </c>
      <c r="AI350">
        <v>10.56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3</v>
      </c>
      <c r="AT350">
        <v>200</v>
      </c>
      <c r="AU350" t="s">
        <v>3</v>
      </c>
      <c r="AV350">
        <v>0</v>
      </c>
      <c r="AW350">
        <v>2</v>
      </c>
      <c r="AX350">
        <v>68992014</v>
      </c>
      <c r="AY350">
        <v>1</v>
      </c>
      <c r="AZ350">
        <v>0</v>
      </c>
      <c r="BA350">
        <v>347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Y350*Source!I127</f>
        <v>69.8</v>
      </c>
      <c r="CY350">
        <f t="shared" si="64"/>
        <v>72.97</v>
      </c>
      <c r="CZ350">
        <f t="shared" si="65"/>
        <v>6.91</v>
      </c>
      <c r="DA350">
        <f t="shared" si="66"/>
        <v>10.56</v>
      </c>
      <c r="DB350">
        <f t="shared" si="67"/>
        <v>1382</v>
      </c>
      <c r="DC350">
        <f t="shared" si="68"/>
        <v>0</v>
      </c>
    </row>
    <row r="351" spans="1:107" x14ac:dyDescent="0.2">
      <c r="A351">
        <f>ROW(Source!A127)</f>
        <v>127</v>
      </c>
      <c r="B351">
        <v>68990560</v>
      </c>
      <c r="C351">
        <v>68991980</v>
      </c>
      <c r="D351">
        <v>64270715</v>
      </c>
      <c r="E351">
        <v>1</v>
      </c>
      <c r="F351">
        <v>1</v>
      </c>
      <c r="G351">
        <v>1</v>
      </c>
      <c r="H351">
        <v>3</v>
      </c>
      <c r="I351" t="s">
        <v>1153</v>
      </c>
      <c r="J351" t="s">
        <v>1154</v>
      </c>
      <c r="K351" t="s">
        <v>1155</v>
      </c>
      <c r="L351">
        <v>1371</v>
      </c>
      <c r="N351">
        <v>1013</v>
      </c>
      <c r="O351" t="s">
        <v>29</v>
      </c>
      <c r="P351" t="s">
        <v>29</v>
      </c>
      <c r="Q351">
        <v>1</v>
      </c>
      <c r="W351">
        <v>0</v>
      </c>
      <c r="X351">
        <v>418881754</v>
      </c>
      <c r="Y351">
        <v>350</v>
      </c>
      <c r="AA351">
        <v>69.45</v>
      </c>
      <c r="AB351">
        <v>0</v>
      </c>
      <c r="AC351">
        <v>0</v>
      </c>
      <c r="AD351">
        <v>0</v>
      </c>
      <c r="AE351">
        <v>17.32</v>
      </c>
      <c r="AF351">
        <v>0</v>
      </c>
      <c r="AG351">
        <v>0</v>
      </c>
      <c r="AH351">
        <v>0</v>
      </c>
      <c r="AI351">
        <v>4.01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3</v>
      </c>
      <c r="AT351">
        <v>350</v>
      </c>
      <c r="AU351" t="s">
        <v>3</v>
      </c>
      <c r="AV351">
        <v>0</v>
      </c>
      <c r="AW351">
        <v>2</v>
      </c>
      <c r="AX351">
        <v>68992015</v>
      </c>
      <c r="AY351">
        <v>1</v>
      </c>
      <c r="AZ351">
        <v>0</v>
      </c>
      <c r="BA351">
        <v>348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Y351*Source!I127</f>
        <v>122.14999999999999</v>
      </c>
      <c r="CY351">
        <f t="shared" si="64"/>
        <v>69.45</v>
      </c>
      <c r="CZ351">
        <f t="shared" si="65"/>
        <v>17.32</v>
      </c>
      <c r="DA351">
        <f t="shared" si="66"/>
        <v>4.01</v>
      </c>
      <c r="DB351">
        <f t="shared" si="67"/>
        <v>6062</v>
      </c>
      <c r="DC351">
        <f t="shared" si="68"/>
        <v>0</v>
      </c>
    </row>
    <row r="352" spans="1:107" x14ac:dyDescent="0.2">
      <c r="A352">
        <f>ROW(Source!A127)</f>
        <v>127</v>
      </c>
      <c r="B352">
        <v>68990560</v>
      </c>
      <c r="C352">
        <v>68991980</v>
      </c>
      <c r="D352">
        <v>64270717</v>
      </c>
      <c r="E352">
        <v>1</v>
      </c>
      <c r="F352">
        <v>1</v>
      </c>
      <c r="G352">
        <v>1</v>
      </c>
      <c r="H352">
        <v>3</v>
      </c>
      <c r="I352" t="s">
        <v>1156</v>
      </c>
      <c r="J352" t="s">
        <v>1157</v>
      </c>
      <c r="K352" t="s">
        <v>1158</v>
      </c>
      <c r="L352">
        <v>1301</v>
      </c>
      <c r="N352">
        <v>1003</v>
      </c>
      <c r="O352" t="s">
        <v>379</v>
      </c>
      <c r="P352" t="s">
        <v>379</v>
      </c>
      <c r="Q352">
        <v>1</v>
      </c>
      <c r="W352">
        <v>0</v>
      </c>
      <c r="X352">
        <v>-111255765</v>
      </c>
      <c r="Y352">
        <v>42</v>
      </c>
      <c r="AA352">
        <v>102.32</v>
      </c>
      <c r="AB352">
        <v>0</v>
      </c>
      <c r="AC352">
        <v>0</v>
      </c>
      <c r="AD352">
        <v>0</v>
      </c>
      <c r="AE352">
        <v>23.15</v>
      </c>
      <c r="AF352">
        <v>0</v>
      </c>
      <c r="AG352">
        <v>0</v>
      </c>
      <c r="AH352">
        <v>0</v>
      </c>
      <c r="AI352">
        <v>4.42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3</v>
      </c>
      <c r="AT352">
        <v>42</v>
      </c>
      <c r="AU352" t="s">
        <v>3</v>
      </c>
      <c r="AV352">
        <v>0</v>
      </c>
      <c r="AW352">
        <v>2</v>
      </c>
      <c r="AX352">
        <v>68992016</v>
      </c>
      <c r="AY352">
        <v>1</v>
      </c>
      <c r="AZ352">
        <v>0</v>
      </c>
      <c r="BA352">
        <v>349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Y352*Source!I127</f>
        <v>14.657999999999999</v>
      </c>
      <c r="CY352">
        <f t="shared" si="64"/>
        <v>102.32</v>
      </c>
      <c r="CZ352">
        <f t="shared" si="65"/>
        <v>23.15</v>
      </c>
      <c r="DA352">
        <f t="shared" si="66"/>
        <v>4.42</v>
      </c>
      <c r="DB352">
        <f t="shared" si="67"/>
        <v>972.3</v>
      </c>
      <c r="DC352">
        <f t="shared" si="68"/>
        <v>0</v>
      </c>
    </row>
    <row r="353" spans="1:107" x14ac:dyDescent="0.2">
      <c r="A353">
        <f>ROW(Source!A127)</f>
        <v>127</v>
      </c>
      <c r="B353">
        <v>68990560</v>
      </c>
      <c r="C353">
        <v>68991980</v>
      </c>
      <c r="D353">
        <v>64270718</v>
      </c>
      <c r="E353">
        <v>1</v>
      </c>
      <c r="F353">
        <v>1</v>
      </c>
      <c r="G353">
        <v>1</v>
      </c>
      <c r="H353">
        <v>3</v>
      </c>
      <c r="I353" t="s">
        <v>1159</v>
      </c>
      <c r="J353" t="s">
        <v>1160</v>
      </c>
      <c r="K353" t="s">
        <v>1161</v>
      </c>
      <c r="L353">
        <v>1301</v>
      </c>
      <c r="N353">
        <v>1003</v>
      </c>
      <c r="O353" t="s">
        <v>379</v>
      </c>
      <c r="P353" t="s">
        <v>379</v>
      </c>
      <c r="Q353">
        <v>1</v>
      </c>
      <c r="W353">
        <v>0</v>
      </c>
      <c r="X353">
        <v>1290809418</v>
      </c>
      <c r="Y353">
        <v>12</v>
      </c>
      <c r="AA353">
        <v>285.60000000000002</v>
      </c>
      <c r="AB353">
        <v>0</v>
      </c>
      <c r="AC353">
        <v>0</v>
      </c>
      <c r="AD353">
        <v>0</v>
      </c>
      <c r="AE353">
        <v>64.47</v>
      </c>
      <c r="AF353">
        <v>0</v>
      </c>
      <c r="AG353">
        <v>0</v>
      </c>
      <c r="AH353">
        <v>0</v>
      </c>
      <c r="AI353">
        <v>4.43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3</v>
      </c>
      <c r="AT353">
        <v>12</v>
      </c>
      <c r="AU353" t="s">
        <v>3</v>
      </c>
      <c r="AV353">
        <v>0</v>
      </c>
      <c r="AW353">
        <v>2</v>
      </c>
      <c r="AX353">
        <v>68992017</v>
      </c>
      <c r="AY353">
        <v>1</v>
      </c>
      <c r="AZ353">
        <v>0</v>
      </c>
      <c r="BA353">
        <v>350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Y353*Source!I127</f>
        <v>4.1879999999999997</v>
      </c>
      <c r="CY353">
        <f t="shared" si="64"/>
        <v>285.60000000000002</v>
      </c>
      <c r="CZ353">
        <f t="shared" si="65"/>
        <v>64.47</v>
      </c>
      <c r="DA353">
        <f t="shared" si="66"/>
        <v>4.43</v>
      </c>
      <c r="DB353">
        <f t="shared" si="67"/>
        <v>773.64</v>
      </c>
      <c r="DC353">
        <f t="shared" si="68"/>
        <v>0</v>
      </c>
    </row>
    <row r="354" spans="1:107" x14ac:dyDescent="0.2">
      <c r="A354">
        <f>ROW(Source!A127)</f>
        <v>127</v>
      </c>
      <c r="B354">
        <v>68990560</v>
      </c>
      <c r="C354">
        <v>68991980</v>
      </c>
      <c r="D354">
        <v>64270720</v>
      </c>
      <c r="E354">
        <v>1</v>
      </c>
      <c r="F354">
        <v>1</v>
      </c>
      <c r="G354">
        <v>1</v>
      </c>
      <c r="H354">
        <v>3</v>
      </c>
      <c r="I354" t="s">
        <v>1162</v>
      </c>
      <c r="J354" t="s">
        <v>1163</v>
      </c>
      <c r="K354" t="s">
        <v>1164</v>
      </c>
      <c r="L354">
        <v>1301</v>
      </c>
      <c r="N354">
        <v>1003</v>
      </c>
      <c r="O354" t="s">
        <v>379</v>
      </c>
      <c r="P354" t="s">
        <v>379</v>
      </c>
      <c r="Q354">
        <v>1</v>
      </c>
      <c r="W354">
        <v>0</v>
      </c>
      <c r="X354">
        <v>1560225674</v>
      </c>
      <c r="Y354">
        <v>55</v>
      </c>
      <c r="AA354">
        <v>57.53</v>
      </c>
      <c r="AB354">
        <v>0</v>
      </c>
      <c r="AC354">
        <v>0</v>
      </c>
      <c r="AD354">
        <v>0</v>
      </c>
      <c r="AE354">
        <v>7.5</v>
      </c>
      <c r="AF354">
        <v>0</v>
      </c>
      <c r="AG354">
        <v>0</v>
      </c>
      <c r="AH354">
        <v>0</v>
      </c>
      <c r="AI354">
        <v>7.67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3</v>
      </c>
      <c r="AT354">
        <v>55</v>
      </c>
      <c r="AU354" t="s">
        <v>3</v>
      </c>
      <c r="AV354">
        <v>0</v>
      </c>
      <c r="AW354">
        <v>2</v>
      </c>
      <c r="AX354">
        <v>68992018</v>
      </c>
      <c r="AY354">
        <v>1</v>
      </c>
      <c r="AZ354">
        <v>0</v>
      </c>
      <c r="BA354">
        <v>351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Y354*Source!I127</f>
        <v>19.195</v>
      </c>
      <c r="CY354">
        <f t="shared" si="64"/>
        <v>57.53</v>
      </c>
      <c r="CZ354">
        <f t="shared" si="65"/>
        <v>7.5</v>
      </c>
      <c r="DA354">
        <f t="shared" si="66"/>
        <v>7.67</v>
      </c>
      <c r="DB354">
        <f t="shared" si="67"/>
        <v>412.5</v>
      </c>
      <c r="DC354">
        <f t="shared" si="68"/>
        <v>0</v>
      </c>
    </row>
    <row r="355" spans="1:107" x14ac:dyDescent="0.2">
      <c r="A355">
        <f>ROW(Source!A127)</f>
        <v>127</v>
      </c>
      <c r="B355">
        <v>68990560</v>
      </c>
      <c r="C355">
        <v>68991980</v>
      </c>
      <c r="D355">
        <v>53791615</v>
      </c>
      <c r="E355">
        <v>1</v>
      </c>
      <c r="F355">
        <v>1</v>
      </c>
      <c r="G355">
        <v>1</v>
      </c>
      <c r="H355">
        <v>3</v>
      </c>
      <c r="I355" t="s">
        <v>444</v>
      </c>
      <c r="J355" t="s">
        <v>446</v>
      </c>
      <c r="K355" t="s">
        <v>445</v>
      </c>
      <c r="L355">
        <v>1327</v>
      </c>
      <c r="N355">
        <v>1005</v>
      </c>
      <c r="O355" t="s">
        <v>46</v>
      </c>
      <c r="P355" t="s">
        <v>46</v>
      </c>
      <c r="Q355">
        <v>1</v>
      </c>
      <c r="W355">
        <v>0</v>
      </c>
      <c r="X355">
        <v>530766575</v>
      </c>
      <c r="Y355">
        <v>118</v>
      </c>
      <c r="AA355">
        <v>275.19</v>
      </c>
      <c r="AB355">
        <v>0</v>
      </c>
      <c r="AC355">
        <v>0</v>
      </c>
      <c r="AD355">
        <v>0</v>
      </c>
      <c r="AE355">
        <v>132.94</v>
      </c>
      <c r="AF355">
        <v>0</v>
      </c>
      <c r="AG355">
        <v>0</v>
      </c>
      <c r="AH355">
        <v>0</v>
      </c>
      <c r="AI355">
        <v>2.0699999999999998</v>
      </c>
      <c r="AJ355">
        <v>1</v>
      </c>
      <c r="AK355">
        <v>1</v>
      </c>
      <c r="AL355">
        <v>1</v>
      </c>
      <c r="AN355">
        <v>0</v>
      </c>
      <c r="AO355">
        <v>0</v>
      </c>
      <c r="AP355">
        <v>0</v>
      </c>
      <c r="AQ355">
        <v>0</v>
      </c>
      <c r="AR355">
        <v>0</v>
      </c>
      <c r="AS355" t="s">
        <v>3</v>
      </c>
      <c r="AT355">
        <v>118</v>
      </c>
      <c r="AU355" t="s">
        <v>3</v>
      </c>
      <c r="AV355">
        <v>0</v>
      </c>
      <c r="AW355">
        <v>1</v>
      </c>
      <c r="AX355">
        <v>-1</v>
      </c>
      <c r="AY355">
        <v>0</v>
      </c>
      <c r="AZ355">
        <v>0</v>
      </c>
      <c r="BA355" t="s">
        <v>3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Y355*Source!I127</f>
        <v>41.181999999999995</v>
      </c>
      <c r="CY355">
        <f t="shared" si="64"/>
        <v>275.19</v>
      </c>
      <c r="CZ355">
        <f t="shared" si="65"/>
        <v>132.94</v>
      </c>
      <c r="DA355">
        <f t="shared" si="66"/>
        <v>2.0699999999999998</v>
      </c>
      <c r="DB355">
        <f t="shared" si="67"/>
        <v>15686.92</v>
      </c>
      <c r="DC355">
        <f t="shared" si="68"/>
        <v>0</v>
      </c>
    </row>
    <row r="356" spans="1:107" x14ac:dyDescent="0.2">
      <c r="A356">
        <f>ROW(Source!A127)</f>
        <v>127</v>
      </c>
      <c r="B356">
        <v>68990560</v>
      </c>
      <c r="C356">
        <v>68991980</v>
      </c>
      <c r="D356">
        <v>53791664</v>
      </c>
      <c r="E356">
        <v>1</v>
      </c>
      <c r="F356">
        <v>1</v>
      </c>
      <c r="G356">
        <v>1</v>
      </c>
      <c r="H356">
        <v>3</v>
      </c>
      <c r="I356" t="s">
        <v>448</v>
      </c>
      <c r="J356" t="s">
        <v>450</v>
      </c>
      <c r="K356" t="s">
        <v>449</v>
      </c>
      <c r="L356">
        <v>1301</v>
      </c>
      <c r="N356">
        <v>1003</v>
      </c>
      <c r="O356" t="s">
        <v>379</v>
      </c>
      <c r="P356" t="s">
        <v>379</v>
      </c>
      <c r="Q356">
        <v>1</v>
      </c>
      <c r="W356">
        <v>0</v>
      </c>
      <c r="X356">
        <v>2075019590</v>
      </c>
      <c r="Y356">
        <v>69.340974000000003</v>
      </c>
      <c r="AA356">
        <v>154.01</v>
      </c>
      <c r="AB356">
        <v>0</v>
      </c>
      <c r="AC356">
        <v>0</v>
      </c>
      <c r="AD356">
        <v>0</v>
      </c>
      <c r="AE356">
        <v>15.62</v>
      </c>
      <c r="AF356">
        <v>0</v>
      </c>
      <c r="AG356">
        <v>0</v>
      </c>
      <c r="AH356">
        <v>0</v>
      </c>
      <c r="AI356">
        <v>9.86</v>
      </c>
      <c r="AJ356">
        <v>1</v>
      </c>
      <c r="AK356">
        <v>1</v>
      </c>
      <c r="AL356">
        <v>1</v>
      </c>
      <c r="AN356">
        <v>0</v>
      </c>
      <c r="AO356">
        <v>0</v>
      </c>
      <c r="AP356">
        <v>0</v>
      </c>
      <c r="AQ356">
        <v>0</v>
      </c>
      <c r="AR356">
        <v>0</v>
      </c>
      <c r="AS356" t="s">
        <v>3</v>
      </c>
      <c r="AT356">
        <v>69.340974000000003</v>
      </c>
      <c r="AU356" t="s">
        <v>3</v>
      </c>
      <c r="AV356">
        <v>0</v>
      </c>
      <c r="AW356">
        <v>1</v>
      </c>
      <c r="AX356">
        <v>-1</v>
      </c>
      <c r="AY356">
        <v>0</v>
      </c>
      <c r="AZ356">
        <v>0</v>
      </c>
      <c r="BA356" t="s">
        <v>3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Y356*Source!I127</f>
        <v>24.199999926</v>
      </c>
      <c r="CY356">
        <f t="shared" si="64"/>
        <v>154.01</v>
      </c>
      <c r="CZ356">
        <f t="shared" si="65"/>
        <v>15.62</v>
      </c>
      <c r="DA356">
        <f t="shared" si="66"/>
        <v>9.86</v>
      </c>
      <c r="DB356">
        <f t="shared" si="67"/>
        <v>1083.1099999999999</v>
      </c>
      <c r="DC356">
        <f t="shared" si="68"/>
        <v>0</v>
      </c>
    </row>
    <row r="357" spans="1:107" x14ac:dyDescent="0.2">
      <c r="A357">
        <f>ROW(Source!A130)</f>
        <v>130</v>
      </c>
      <c r="B357">
        <v>68990560</v>
      </c>
      <c r="C357">
        <v>69005463</v>
      </c>
      <c r="D357">
        <v>37072767</v>
      </c>
      <c r="E357">
        <v>56</v>
      </c>
      <c r="F357">
        <v>1</v>
      </c>
      <c r="G357">
        <v>1</v>
      </c>
      <c r="H357">
        <v>1</v>
      </c>
      <c r="I357" t="s">
        <v>874</v>
      </c>
      <c r="J357" t="s">
        <v>3</v>
      </c>
      <c r="K357" t="s">
        <v>875</v>
      </c>
      <c r="L357">
        <v>1191</v>
      </c>
      <c r="N357">
        <v>1013</v>
      </c>
      <c r="O357" t="s">
        <v>818</v>
      </c>
      <c r="P357" t="s">
        <v>818</v>
      </c>
      <c r="Q357">
        <v>1</v>
      </c>
      <c r="W357">
        <v>0</v>
      </c>
      <c r="X357">
        <v>-1027537862</v>
      </c>
      <c r="Y357">
        <v>10.370699999999999</v>
      </c>
      <c r="AA357">
        <v>0</v>
      </c>
      <c r="AB357">
        <v>0</v>
      </c>
      <c r="AC357">
        <v>0</v>
      </c>
      <c r="AD357">
        <v>9.18</v>
      </c>
      <c r="AE357">
        <v>0</v>
      </c>
      <c r="AF357">
        <v>0</v>
      </c>
      <c r="AG357">
        <v>0</v>
      </c>
      <c r="AH357">
        <v>9.18</v>
      </c>
      <c r="AI357">
        <v>1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1</v>
      </c>
      <c r="AQ357">
        <v>0</v>
      </c>
      <c r="AR357">
        <v>0</v>
      </c>
      <c r="AS357" t="s">
        <v>3</v>
      </c>
      <c r="AT357">
        <v>6.68</v>
      </c>
      <c r="AU357" t="s">
        <v>456</v>
      </c>
      <c r="AV357">
        <v>1</v>
      </c>
      <c r="AW357">
        <v>2</v>
      </c>
      <c r="AX357">
        <v>69005476</v>
      </c>
      <c r="AY357">
        <v>1</v>
      </c>
      <c r="AZ357">
        <v>0</v>
      </c>
      <c r="BA357">
        <v>353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Y357*Source!I130</f>
        <v>1.4104152000000001</v>
      </c>
      <c r="CY357">
        <f>AD357</f>
        <v>9.18</v>
      </c>
      <c r="CZ357">
        <f>AH357</f>
        <v>9.18</v>
      </c>
      <c r="DA357">
        <f>AL357</f>
        <v>1</v>
      </c>
      <c r="DB357">
        <f>ROUND(((ROUND(AT357*CZ357,2)*1.35)*1.15),2)</f>
        <v>95.2</v>
      </c>
      <c r="DC357">
        <f>ROUND(((ROUND(AT357*AG357,2)*1.35)*1.15),2)</f>
        <v>0</v>
      </c>
    </row>
    <row r="358" spans="1:107" x14ac:dyDescent="0.2">
      <c r="A358">
        <f>ROW(Source!A130)</f>
        <v>130</v>
      </c>
      <c r="B358">
        <v>68990560</v>
      </c>
      <c r="C358">
        <v>69005463</v>
      </c>
      <c r="D358">
        <v>37064876</v>
      </c>
      <c r="E358">
        <v>56</v>
      </c>
      <c r="F358">
        <v>1</v>
      </c>
      <c r="G358">
        <v>1</v>
      </c>
      <c r="H358">
        <v>1</v>
      </c>
      <c r="I358" t="s">
        <v>819</v>
      </c>
      <c r="J358" t="s">
        <v>3</v>
      </c>
      <c r="K358" t="s">
        <v>820</v>
      </c>
      <c r="L358">
        <v>1191</v>
      </c>
      <c r="N358">
        <v>1013</v>
      </c>
      <c r="O358" t="s">
        <v>818</v>
      </c>
      <c r="P358" t="s">
        <v>818</v>
      </c>
      <c r="Q358">
        <v>1</v>
      </c>
      <c r="W358">
        <v>0</v>
      </c>
      <c r="X358">
        <v>-1417349443</v>
      </c>
      <c r="Y358">
        <v>6.7500000000000004E-2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1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1</v>
      </c>
      <c r="AQ358">
        <v>0</v>
      </c>
      <c r="AR358">
        <v>0</v>
      </c>
      <c r="AS358" t="s">
        <v>3</v>
      </c>
      <c r="AT358">
        <v>0.04</v>
      </c>
      <c r="AU358" t="s">
        <v>455</v>
      </c>
      <c r="AV358">
        <v>2</v>
      </c>
      <c r="AW358">
        <v>2</v>
      </c>
      <c r="AX358">
        <v>69005477</v>
      </c>
      <c r="AY358">
        <v>1</v>
      </c>
      <c r="AZ358">
        <v>0</v>
      </c>
      <c r="BA358">
        <v>354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Y358*Source!I130</f>
        <v>9.1800000000000007E-3</v>
      </c>
      <c r="CY358">
        <f>AD358</f>
        <v>0</v>
      </c>
      <c r="CZ358">
        <f>AH358</f>
        <v>0</v>
      </c>
      <c r="DA358">
        <f>AL358</f>
        <v>1</v>
      </c>
      <c r="DB358">
        <f>ROUND(((ROUND(AT358*CZ358,2)*1.35)*1.25),2)</f>
        <v>0</v>
      </c>
      <c r="DC358">
        <f>ROUND(((ROUND(AT358*AG358,2)*1.35)*1.25),2)</f>
        <v>0</v>
      </c>
    </row>
    <row r="359" spans="1:107" x14ac:dyDescent="0.2">
      <c r="A359">
        <f>ROW(Source!A130)</f>
        <v>130</v>
      </c>
      <c r="B359">
        <v>68990560</v>
      </c>
      <c r="C359">
        <v>69005463</v>
      </c>
      <c r="D359">
        <v>64401959</v>
      </c>
      <c r="E359">
        <v>1</v>
      </c>
      <c r="F359">
        <v>1</v>
      </c>
      <c r="G359">
        <v>1</v>
      </c>
      <c r="H359">
        <v>2</v>
      </c>
      <c r="I359" t="s">
        <v>859</v>
      </c>
      <c r="J359" t="s">
        <v>860</v>
      </c>
      <c r="K359" t="s">
        <v>861</v>
      </c>
      <c r="L359">
        <v>1368</v>
      </c>
      <c r="N359">
        <v>1011</v>
      </c>
      <c r="O359" t="s">
        <v>824</v>
      </c>
      <c r="P359" t="s">
        <v>824</v>
      </c>
      <c r="Q359">
        <v>1</v>
      </c>
      <c r="W359">
        <v>0</v>
      </c>
      <c r="X359">
        <v>10009565</v>
      </c>
      <c r="Y359">
        <v>8.4375000000000006E-3</v>
      </c>
      <c r="AA359">
        <v>0</v>
      </c>
      <c r="AB359">
        <v>465.15</v>
      </c>
      <c r="AC359">
        <v>454.28</v>
      </c>
      <c r="AD359">
        <v>0</v>
      </c>
      <c r="AE359">
        <v>0</v>
      </c>
      <c r="AF359">
        <v>31.26</v>
      </c>
      <c r="AG359">
        <v>13.5</v>
      </c>
      <c r="AH359">
        <v>0</v>
      </c>
      <c r="AI359">
        <v>1</v>
      </c>
      <c r="AJ359">
        <v>14.88</v>
      </c>
      <c r="AK359">
        <v>33.65</v>
      </c>
      <c r="AL359">
        <v>1</v>
      </c>
      <c r="AN359">
        <v>0</v>
      </c>
      <c r="AO359">
        <v>1</v>
      </c>
      <c r="AP359">
        <v>1</v>
      </c>
      <c r="AQ359">
        <v>0</v>
      </c>
      <c r="AR359">
        <v>0</v>
      </c>
      <c r="AS359" t="s">
        <v>3</v>
      </c>
      <c r="AT359">
        <v>5.0000000000000001E-3</v>
      </c>
      <c r="AU359" t="s">
        <v>455</v>
      </c>
      <c r="AV359">
        <v>0</v>
      </c>
      <c r="AW359">
        <v>2</v>
      </c>
      <c r="AX359">
        <v>69005478</v>
      </c>
      <c r="AY359">
        <v>1</v>
      </c>
      <c r="AZ359">
        <v>0</v>
      </c>
      <c r="BA359">
        <v>355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Y359*Source!I130</f>
        <v>1.1475000000000001E-3</v>
      </c>
      <c r="CY359">
        <f>AB359</f>
        <v>465.15</v>
      </c>
      <c r="CZ359">
        <f>AF359</f>
        <v>31.26</v>
      </c>
      <c r="DA359">
        <f>AJ359</f>
        <v>14.88</v>
      </c>
      <c r="DB359">
        <f>ROUND(((ROUND(AT359*CZ359,2)*1.35)*1.25),2)</f>
        <v>0.27</v>
      </c>
      <c r="DC359">
        <f>ROUND(((ROUND(AT359*AG359,2)*1.35)*1.25),2)</f>
        <v>0.12</v>
      </c>
    </row>
    <row r="360" spans="1:107" x14ac:dyDescent="0.2">
      <c r="A360">
        <f>ROW(Source!A130)</f>
        <v>130</v>
      </c>
      <c r="B360">
        <v>68990560</v>
      </c>
      <c r="C360">
        <v>69005463</v>
      </c>
      <c r="D360">
        <v>64402691</v>
      </c>
      <c r="E360">
        <v>1</v>
      </c>
      <c r="F360">
        <v>1</v>
      </c>
      <c r="G360">
        <v>1</v>
      </c>
      <c r="H360">
        <v>2</v>
      </c>
      <c r="I360" t="s">
        <v>825</v>
      </c>
      <c r="J360" t="s">
        <v>826</v>
      </c>
      <c r="K360" t="s">
        <v>827</v>
      </c>
      <c r="L360">
        <v>1368</v>
      </c>
      <c r="N360">
        <v>1011</v>
      </c>
      <c r="O360" t="s">
        <v>824</v>
      </c>
      <c r="P360" t="s">
        <v>824</v>
      </c>
      <c r="Q360">
        <v>1</v>
      </c>
      <c r="W360">
        <v>0</v>
      </c>
      <c r="X360">
        <v>-841254546</v>
      </c>
      <c r="Y360">
        <v>5.0625000000000003E-2</v>
      </c>
      <c r="AA360">
        <v>0</v>
      </c>
      <c r="AB360">
        <v>776.04</v>
      </c>
      <c r="AC360">
        <v>390.34</v>
      </c>
      <c r="AD360">
        <v>0</v>
      </c>
      <c r="AE360">
        <v>0</v>
      </c>
      <c r="AF360">
        <v>65.709999999999994</v>
      </c>
      <c r="AG360">
        <v>11.6</v>
      </c>
      <c r="AH360">
        <v>0</v>
      </c>
      <c r="AI360">
        <v>1</v>
      </c>
      <c r="AJ360">
        <v>11.81</v>
      </c>
      <c r="AK360">
        <v>33.65</v>
      </c>
      <c r="AL360">
        <v>1</v>
      </c>
      <c r="AN360">
        <v>0</v>
      </c>
      <c r="AO360">
        <v>1</v>
      </c>
      <c r="AP360">
        <v>1</v>
      </c>
      <c r="AQ360">
        <v>0</v>
      </c>
      <c r="AR360">
        <v>0</v>
      </c>
      <c r="AS360" t="s">
        <v>3</v>
      </c>
      <c r="AT360">
        <v>0.03</v>
      </c>
      <c r="AU360" t="s">
        <v>455</v>
      </c>
      <c r="AV360">
        <v>0</v>
      </c>
      <c r="AW360">
        <v>2</v>
      </c>
      <c r="AX360">
        <v>69005479</v>
      </c>
      <c r="AY360">
        <v>1</v>
      </c>
      <c r="AZ360">
        <v>0</v>
      </c>
      <c r="BA360">
        <v>356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Y360*Source!I130</f>
        <v>6.8850000000000014E-3</v>
      </c>
      <c r="CY360">
        <f>AB360</f>
        <v>776.04</v>
      </c>
      <c r="CZ360">
        <f>AF360</f>
        <v>65.709999999999994</v>
      </c>
      <c r="DA360">
        <f>AJ360</f>
        <v>11.81</v>
      </c>
      <c r="DB360">
        <f>ROUND(((ROUND(AT360*CZ360,2)*1.35)*1.25),2)</f>
        <v>3.32</v>
      </c>
      <c r="DC360">
        <f>ROUND(((ROUND(AT360*AG360,2)*1.35)*1.25),2)</f>
        <v>0.59</v>
      </c>
    </row>
    <row r="361" spans="1:107" x14ac:dyDescent="0.2">
      <c r="A361">
        <f>ROW(Source!A130)</f>
        <v>130</v>
      </c>
      <c r="B361">
        <v>68990560</v>
      </c>
      <c r="C361">
        <v>69005463</v>
      </c>
      <c r="D361">
        <v>64255043</v>
      </c>
      <c r="E361">
        <v>1</v>
      </c>
      <c r="F361">
        <v>1</v>
      </c>
      <c r="G361">
        <v>1</v>
      </c>
      <c r="H361">
        <v>3</v>
      </c>
      <c r="I361" t="s">
        <v>1165</v>
      </c>
      <c r="J361" t="s">
        <v>1166</v>
      </c>
      <c r="K361" t="s">
        <v>1167</v>
      </c>
      <c r="L361">
        <v>1425</v>
      </c>
      <c r="N361">
        <v>1013</v>
      </c>
      <c r="O361" t="s">
        <v>18</v>
      </c>
      <c r="P361" t="s">
        <v>18</v>
      </c>
      <c r="Q361">
        <v>1</v>
      </c>
      <c r="W361">
        <v>0</v>
      </c>
      <c r="X361">
        <v>-1342959957</v>
      </c>
      <c r="Y361">
        <v>2.63</v>
      </c>
      <c r="AA361">
        <v>20.04</v>
      </c>
      <c r="AB361">
        <v>0</v>
      </c>
      <c r="AC361">
        <v>0</v>
      </c>
      <c r="AD361">
        <v>0</v>
      </c>
      <c r="AE361">
        <v>12</v>
      </c>
      <c r="AF361">
        <v>0</v>
      </c>
      <c r="AG361">
        <v>0</v>
      </c>
      <c r="AH361">
        <v>0</v>
      </c>
      <c r="AI361">
        <v>1.67</v>
      </c>
      <c r="AJ361">
        <v>1</v>
      </c>
      <c r="AK361">
        <v>1</v>
      </c>
      <c r="AL361">
        <v>1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3</v>
      </c>
      <c r="AT361">
        <v>2.63</v>
      </c>
      <c r="AU361" t="s">
        <v>3</v>
      </c>
      <c r="AV361">
        <v>0</v>
      </c>
      <c r="AW361">
        <v>2</v>
      </c>
      <c r="AX361">
        <v>69005480</v>
      </c>
      <c r="AY361">
        <v>1</v>
      </c>
      <c r="AZ361">
        <v>0</v>
      </c>
      <c r="BA361">
        <v>357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Y361*Source!I130</f>
        <v>0.35768</v>
      </c>
      <c r="CY361">
        <f t="shared" ref="CY361:CY368" si="69">AA361</f>
        <v>20.04</v>
      </c>
      <c r="CZ361">
        <f t="shared" ref="CZ361:CZ368" si="70">AE361</f>
        <v>12</v>
      </c>
      <c r="DA361">
        <f t="shared" ref="DA361:DA368" si="71">AI361</f>
        <v>1.67</v>
      </c>
      <c r="DB361">
        <f t="shared" ref="DB361:DB368" si="72">ROUND(ROUND(AT361*CZ361,2),2)</f>
        <v>31.56</v>
      </c>
      <c r="DC361">
        <f t="shared" ref="DC361:DC368" si="73">ROUND(ROUND(AT361*AG361,2),2)</f>
        <v>0</v>
      </c>
    </row>
    <row r="362" spans="1:107" x14ac:dyDescent="0.2">
      <c r="A362">
        <f>ROW(Source!A130)</f>
        <v>130</v>
      </c>
      <c r="B362">
        <v>68990560</v>
      </c>
      <c r="C362">
        <v>69005463</v>
      </c>
      <c r="D362">
        <v>64255146</v>
      </c>
      <c r="E362">
        <v>1</v>
      </c>
      <c r="F362">
        <v>1</v>
      </c>
      <c r="G362">
        <v>1</v>
      </c>
      <c r="H362">
        <v>3</v>
      </c>
      <c r="I362" t="s">
        <v>1168</v>
      </c>
      <c r="J362" t="s">
        <v>1169</v>
      </c>
      <c r="K362" t="s">
        <v>1170</v>
      </c>
      <c r="L362">
        <v>1407</v>
      </c>
      <c r="N362">
        <v>1013</v>
      </c>
      <c r="O362" t="s">
        <v>1171</v>
      </c>
      <c r="P362" t="s">
        <v>1171</v>
      </c>
      <c r="Q362">
        <v>1</v>
      </c>
      <c r="W362">
        <v>0</v>
      </c>
      <c r="X362">
        <v>-1043382999</v>
      </c>
      <c r="Y362">
        <v>0.26300000000000001</v>
      </c>
      <c r="AA362">
        <v>1056</v>
      </c>
      <c r="AB362">
        <v>0</v>
      </c>
      <c r="AC362">
        <v>0</v>
      </c>
      <c r="AD362">
        <v>0</v>
      </c>
      <c r="AE362">
        <v>160</v>
      </c>
      <c r="AF362">
        <v>0</v>
      </c>
      <c r="AG362">
        <v>0</v>
      </c>
      <c r="AH362">
        <v>0</v>
      </c>
      <c r="AI362">
        <v>6.6</v>
      </c>
      <c r="AJ362">
        <v>1</v>
      </c>
      <c r="AK362">
        <v>1</v>
      </c>
      <c r="AL362">
        <v>1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3</v>
      </c>
      <c r="AT362">
        <v>0.26300000000000001</v>
      </c>
      <c r="AU362" t="s">
        <v>3</v>
      </c>
      <c r="AV362">
        <v>0</v>
      </c>
      <c r="AW362">
        <v>2</v>
      </c>
      <c r="AX362">
        <v>69005481</v>
      </c>
      <c r="AY362">
        <v>1</v>
      </c>
      <c r="AZ362">
        <v>0</v>
      </c>
      <c r="BA362">
        <v>358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Y362*Source!I130</f>
        <v>3.5768000000000001E-2</v>
      </c>
      <c r="CY362">
        <f t="shared" si="69"/>
        <v>1056</v>
      </c>
      <c r="CZ362">
        <f t="shared" si="70"/>
        <v>160</v>
      </c>
      <c r="DA362">
        <f t="shared" si="71"/>
        <v>6.6</v>
      </c>
      <c r="DB362">
        <f t="shared" si="72"/>
        <v>42.08</v>
      </c>
      <c r="DC362">
        <f t="shared" si="73"/>
        <v>0</v>
      </c>
    </row>
    <row r="363" spans="1:107" x14ac:dyDescent="0.2">
      <c r="A363">
        <f>ROW(Source!A130)</f>
        <v>130</v>
      </c>
      <c r="B363">
        <v>68990560</v>
      </c>
      <c r="C363">
        <v>69005463</v>
      </c>
      <c r="D363">
        <v>53782684</v>
      </c>
      <c r="E363">
        <v>1</v>
      </c>
      <c r="F363">
        <v>1</v>
      </c>
      <c r="G363">
        <v>1</v>
      </c>
      <c r="H363">
        <v>3</v>
      </c>
      <c r="I363" t="s">
        <v>459</v>
      </c>
      <c r="J363" t="s">
        <v>461</v>
      </c>
      <c r="K363" t="s">
        <v>460</v>
      </c>
      <c r="L363">
        <v>1301</v>
      </c>
      <c r="N363">
        <v>1003</v>
      </c>
      <c r="O363" t="s">
        <v>379</v>
      </c>
      <c r="P363" t="s">
        <v>379</v>
      </c>
      <c r="Q363">
        <v>1</v>
      </c>
      <c r="W363">
        <v>0</v>
      </c>
      <c r="X363">
        <v>806595545</v>
      </c>
      <c r="Y363">
        <v>101</v>
      </c>
      <c r="AA363">
        <v>47.85</v>
      </c>
      <c r="AB363">
        <v>0</v>
      </c>
      <c r="AC363">
        <v>0</v>
      </c>
      <c r="AD363">
        <v>0</v>
      </c>
      <c r="AE363">
        <v>12.3</v>
      </c>
      <c r="AF363">
        <v>0</v>
      </c>
      <c r="AG363">
        <v>0</v>
      </c>
      <c r="AH363">
        <v>0</v>
      </c>
      <c r="AI363">
        <v>3.89</v>
      </c>
      <c r="AJ363">
        <v>1</v>
      </c>
      <c r="AK363">
        <v>1</v>
      </c>
      <c r="AL363">
        <v>1</v>
      </c>
      <c r="AN363">
        <v>0</v>
      </c>
      <c r="AO363">
        <v>0</v>
      </c>
      <c r="AP363">
        <v>0</v>
      </c>
      <c r="AQ363">
        <v>0</v>
      </c>
      <c r="AR363">
        <v>0</v>
      </c>
      <c r="AS363" t="s">
        <v>3</v>
      </c>
      <c r="AT363">
        <v>101</v>
      </c>
      <c r="AU363" t="s">
        <v>3</v>
      </c>
      <c r="AV363">
        <v>0</v>
      </c>
      <c r="AW363">
        <v>1</v>
      </c>
      <c r="AX363">
        <v>-1</v>
      </c>
      <c r="AY363">
        <v>0</v>
      </c>
      <c r="AZ363">
        <v>0</v>
      </c>
      <c r="BA363" t="s">
        <v>3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Y363*Source!I130</f>
        <v>13.736000000000001</v>
      </c>
      <c r="CY363">
        <f t="shared" si="69"/>
        <v>47.85</v>
      </c>
      <c r="CZ363">
        <f t="shared" si="70"/>
        <v>12.3</v>
      </c>
      <c r="DA363">
        <f t="shared" si="71"/>
        <v>3.89</v>
      </c>
      <c r="DB363">
        <f t="shared" si="72"/>
        <v>1242.3</v>
      </c>
      <c r="DC363">
        <f t="shared" si="73"/>
        <v>0</v>
      </c>
    </row>
    <row r="364" spans="1:107" x14ac:dyDescent="0.2">
      <c r="A364">
        <f>ROW(Source!A130)</f>
        <v>130</v>
      </c>
      <c r="B364">
        <v>68990560</v>
      </c>
      <c r="C364">
        <v>69005463</v>
      </c>
      <c r="D364">
        <v>64278203</v>
      </c>
      <c r="E364">
        <v>1</v>
      </c>
      <c r="F364">
        <v>1</v>
      </c>
      <c r="G364">
        <v>1</v>
      </c>
      <c r="H364">
        <v>3</v>
      </c>
      <c r="I364" t="s">
        <v>1172</v>
      </c>
      <c r="J364" t="s">
        <v>1173</v>
      </c>
      <c r="K364" t="s">
        <v>1174</v>
      </c>
      <c r="L364">
        <v>1425</v>
      </c>
      <c r="N364">
        <v>1013</v>
      </c>
      <c r="O364" t="s">
        <v>18</v>
      </c>
      <c r="P364" t="s">
        <v>18</v>
      </c>
      <c r="Q364">
        <v>1</v>
      </c>
      <c r="W364">
        <v>0</v>
      </c>
      <c r="X364">
        <v>592850011</v>
      </c>
      <c r="Y364">
        <v>0.08</v>
      </c>
      <c r="AA364">
        <v>595.98</v>
      </c>
      <c r="AB364">
        <v>0</v>
      </c>
      <c r="AC364">
        <v>0</v>
      </c>
      <c r="AD364">
        <v>0</v>
      </c>
      <c r="AE364">
        <v>63</v>
      </c>
      <c r="AF364">
        <v>0</v>
      </c>
      <c r="AG364">
        <v>0</v>
      </c>
      <c r="AH364">
        <v>0</v>
      </c>
      <c r="AI364">
        <v>9.4600000000000009</v>
      </c>
      <c r="AJ364">
        <v>1</v>
      </c>
      <c r="AK364">
        <v>1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3</v>
      </c>
      <c r="AT364">
        <v>0.08</v>
      </c>
      <c r="AU364" t="s">
        <v>3</v>
      </c>
      <c r="AV364">
        <v>0</v>
      </c>
      <c r="AW364">
        <v>2</v>
      </c>
      <c r="AX364">
        <v>69005483</v>
      </c>
      <c r="AY364">
        <v>1</v>
      </c>
      <c r="AZ364">
        <v>0</v>
      </c>
      <c r="BA364">
        <v>360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Y364*Source!I130</f>
        <v>1.0880000000000001E-2</v>
      </c>
      <c r="CY364">
        <f t="shared" si="69"/>
        <v>595.98</v>
      </c>
      <c r="CZ364">
        <f t="shared" si="70"/>
        <v>63</v>
      </c>
      <c r="DA364">
        <f t="shared" si="71"/>
        <v>9.4600000000000009</v>
      </c>
      <c r="DB364">
        <f t="shared" si="72"/>
        <v>5.04</v>
      </c>
      <c r="DC364">
        <f t="shared" si="73"/>
        <v>0</v>
      </c>
    </row>
    <row r="365" spans="1:107" x14ac:dyDescent="0.2">
      <c r="A365">
        <f>ROW(Source!A130)</f>
        <v>130</v>
      </c>
      <c r="B365">
        <v>68990560</v>
      </c>
      <c r="C365">
        <v>69005463</v>
      </c>
      <c r="D365">
        <v>64278205</v>
      </c>
      <c r="E365">
        <v>1</v>
      </c>
      <c r="F365">
        <v>1</v>
      </c>
      <c r="G365">
        <v>1</v>
      </c>
      <c r="H365">
        <v>3</v>
      </c>
      <c r="I365" t="s">
        <v>1175</v>
      </c>
      <c r="J365" t="s">
        <v>1176</v>
      </c>
      <c r="K365" t="s">
        <v>1177</v>
      </c>
      <c r="L365">
        <v>1425</v>
      </c>
      <c r="N365">
        <v>1013</v>
      </c>
      <c r="O365" t="s">
        <v>18</v>
      </c>
      <c r="P365" t="s">
        <v>18</v>
      </c>
      <c r="Q365">
        <v>1</v>
      </c>
      <c r="W365">
        <v>0</v>
      </c>
      <c r="X365">
        <v>1581942853</v>
      </c>
      <c r="Y365">
        <v>0.08</v>
      </c>
      <c r="AA365">
        <v>597.24</v>
      </c>
      <c r="AB365">
        <v>0</v>
      </c>
      <c r="AC365">
        <v>0</v>
      </c>
      <c r="AD365">
        <v>0</v>
      </c>
      <c r="AE365">
        <v>63</v>
      </c>
      <c r="AF365">
        <v>0</v>
      </c>
      <c r="AG365">
        <v>0</v>
      </c>
      <c r="AH365">
        <v>0</v>
      </c>
      <c r="AI365">
        <v>9.48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0</v>
      </c>
      <c r="AQ365">
        <v>0</v>
      </c>
      <c r="AR365">
        <v>0</v>
      </c>
      <c r="AS365" t="s">
        <v>3</v>
      </c>
      <c r="AT365">
        <v>0.08</v>
      </c>
      <c r="AU365" t="s">
        <v>3</v>
      </c>
      <c r="AV365">
        <v>0</v>
      </c>
      <c r="AW365">
        <v>2</v>
      </c>
      <c r="AX365">
        <v>69005484</v>
      </c>
      <c r="AY365">
        <v>1</v>
      </c>
      <c r="AZ365">
        <v>0</v>
      </c>
      <c r="BA365">
        <v>361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Y365*Source!I130</f>
        <v>1.0880000000000001E-2</v>
      </c>
      <c r="CY365">
        <f t="shared" si="69"/>
        <v>597.24</v>
      </c>
      <c r="CZ365">
        <f t="shared" si="70"/>
        <v>63</v>
      </c>
      <c r="DA365">
        <f t="shared" si="71"/>
        <v>9.48</v>
      </c>
      <c r="DB365">
        <f t="shared" si="72"/>
        <v>5.04</v>
      </c>
      <c r="DC365">
        <f t="shared" si="73"/>
        <v>0</v>
      </c>
    </row>
    <row r="366" spans="1:107" x14ac:dyDescent="0.2">
      <c r="A366">
        <f>ROW(Source!A130)</f>
        <v>130</v>
      </c>
      <c r="B366">
        <v>68990560</v>
      </c>
      <c r="C366">
        <v>69005463</v>
      </c>
      <c r="D366">
        <v>64278207</v>
      </c>
      <c r="E366">
        <v>1</v>
      </c>
      <c r="F366">
        <v>1</v>
      </c>
      <c r="G366">
        <v>1</v>
      </c>
      <c r="H366">
        <v>3</v>
      </c>
      <c r="I366" t="s">
        <v>1178</v>
      </c>
      <c r="J366" t="s">
        <v>1179</v>
      </c>
      <c r="K366" t="s">
        <v>1180</v>
      </c>
      <c r="L366">
        <v>1425</v>
      </c>
      <c r="N366">
        <v>1013</v>
      </c>
      <c r="O366" t="s">
        <v>18</v>
      </c>
      <c r="P366" t="s">
        <v>18</v>
      </c>
      <c r="Q366">
        <v>1</v>
      </c>
      <c r="W366">
        <v>0</v>
      </c>
      <c r="X366">
        <v>-204535672</v>
      </c>
      <c r="Y366">
        <v>0.4</v>
      </c>
      <c r="AA366">
        <v>1186.56</v>
      </c>
      <c r="AB366">
        <v>0</v>
      </c>
      <c r="AC366">
        <v>0</v>
      </c>
      <c r="AD366">
        <v>0</v>
      </c>
      <c r="AE366">
        <v>128</v>
      </c>
      <c r="AF366">
        <v>0</v>
      </c>
      <c r="AG366">
        <v>0</v>
      </c>
      <c r="AH366">
        <v>0</v>
      </c>
      <c r="AI366">
        <v>9.27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3</v>
      </c>
      <c r="AT366">
        <v>0.4</v>
      </c>
      <c r="AU366" t="s">
        <v>3</v>
      </c>
      <c r="AV366">
        <v>0</v>
      </c>
      <c r="AW366">
        <v>2</v>
      </c>
      <c r="AX366">
        <v>69005485</v>
      </c>
      <c r="AY366">
        <v>1</v>
      </c>
      <c r="AZ366">
        <v>0</v>
      </c>
      <c r="BA366">
        <v>362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Y366*Source!I130</f>
        <v>5.4400000000000004E-2</v>
      </c>
      <c r="CY366">
        <f t="shared" si="69"/>
        <v>1186.56</v>
      </c>
      <c r="CZ366">
        <f t="shared" si="70"/>
        <v>128</v>
      </c>
      <c r="DA366">
        <f t="shared" si="71"/>
        <v>9.27</v>
      </c>
      <c r="DB366">
        <f t="shared" si="72"/>
        <v>51.2</v>
      </c>
      <c r="DC366">
        <f t="shared" si="73"/>
        <v>0</v>
      </c>
    </row>
    <row r="367" spans="1:107" x14ac:dyDescent="0.2">
      <c r="A367">
        <f>ROW(Source!A130)</f>
        <v>130</v>
      </c>
      <c r="B367">
        <v>68990560</v>
      </c>
      <c r="C367">
        <v>69005463</v>
      </c>
      <c r="D367">
        <v>64278209</v>
      </c>
      <c r="E367">
        <v>1</v>
      </c>
      <c r="F367">
        <v>1</v>
      </c>
      <c r="G367">
        <v>1</v>
      </c>
      <c r="H367">
        <v>3</v>
      </c>
      <c r="I367" t="s">
        <v>1181</v>
      </c>
      <c r="J367" t="s">
        <v>1182</v>
      </c>
      <c r="K367" t="s">
        <v>1183</v>
      </c>
      <c r="L367">
        <v>1425</v>
      </c>
      <c r="N367">
        <v>1013</v>
      </c>
      <c r="O367" t="s">
        <v>18</v>
      </c>
      <c r="P367" t="s">
        <v>18</v>
      </c>
      <c r="Q367">
        <v>1</v>
      </c>
      <c r="W367">
        <v>0</v>
      </c>
      <c r="X367">
        <v>-542304646</v>
      </c>
      <c r="Y367">
        <v>7.0000000000000007E-2</v>
      </c>
      <c r="AA367">
        <v>1178.8800000000001</v>
      </c>
      <c r="AB367">
        <v>0</v>
      </c>
      <c r="AC367">
        <v>0</v>
      </c>
      <c r="AD367">
        <v>0</v>
      </c>
      <c r="AE367">
        <v>128</v>
      </c>
      <c r="AF367">
        <v>0</v>
      </c>
      <c r="AG367">
        <v>0</v>
      </c>
      <c r="AH367">
        <v>0</v>
      </c>
      <c r="AI367">
        <v>9.2100000000000009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3</v>
      </c>
      <c r="AT367">
        <v>7.0000000000000007E-2</v>
      </c>
      <c r="AU367" t="s">
        <v>3</v>
      </c>
      <c r="AV367">
        <v>0</v>
      </c>
      <c r="AW367">
        <v>2</v>
      </c>
      <c r="AX367">
        <v>69005486</v>
      </c>
      <c r="AY367">
        <v>1</v>
      </c>
      <c r="AZ367">
        <v>0</v>
      </c>
      <c r="BA367">
        <v>363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Y367*Source!I130</f>
        <v>9.5200000000000024E-3</v>
      </c>
      <c r="CY367">
        <f t="shared" si="69"/>
        <v>1178.8800000000001</v>
      </c>
      <c r="CZ367">
        <f t="shared" si="70"/>
        <v>128</v>
      </c>
      <c r="DA367">
        <f t="shared" si="71"/>
        <v>9.2100000000000009</v>
      </c>
      <c r="DB367">
        <f t="shared" si="72"/>
        <v>8.9600000000000009</v>
      </c>
      <c r="DC367">
        <f t="shared" si="73"/>
        <v>0</v>
      </c>
    </row>
    <row r="368" spans="1:107" x14ac:dyDescent="0.2">
      <c r="A368">
        <f>ROW(Source!A130)</f>
        <v>130</v>
      </c>
      <c r="B368">
        <v>68990560</v>
      </c>
      <c r="C368">
        <v>69005463</v>
      </c>
      <c r="D368">
        <v>64278211</v>
      </c>
      <c r="E368">
        <v>1</v>
      </c>
      <c r="F368">
        <v>1</v>
      </c>
      <c r="G368">
        <v>1</v>
      </c>
      <c r="H368">
        <v>3</v>
      </c>
      <c r="I368" t="s">
        <v>1184</v>
      </c>
      <c r="J368" t="s">
        <v>1185</v>
      </c>
      <c r="K368" t="s">
        <v>1186</v>
      </c>
      <c r="L368">
        <v>1425</v>
      </c>
      <c r="N368">
        <v>1013</v>
      </c>
      <c r="O368" t="s">
        <v>18</v>
      </c>
      <c r="P368" t="s">
        <v>18</v>
      </c>
      <c r="Q368">
        <v>1</v>
      </c>
      <c r="W368">
        <v>0</v>
      </c>
      <c r="X368">
        <v>1756177494</v>
      </c>
      <c r="Y368">
        <v>7.0000000000000007E-2</v>
      </c>
      <c r="AA368">
        <v>1192.96</v>
      </c>
      <c r="AB368">
        <v>0</v>
      </c>
      <c r="AC368">
        <v>0</v>
      </c>
      <c r="AD368">
        <v>0</v>
      </c>
      <c r="AE368">
        <v>128</v>
      </c>
      <c r="AF368">
        <v>0</v>
      </c>
      <c r="AG368">
        <v>0</v>
      </c>
      <c r="AH368">
        <v>0</v>
      </c>
      <c r="AI368">
        <v>9.32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3</v>
      </c>
      <c r="AT368">
        <v>7.0000000000000007E-2</v>
      </c>
      <c r="AU368" t="s">
        <v>3</v>
      </c>
      <c r="AV368">
        <v>0</v>
      </c>
      <c r="AW368">
        <v>2</v>
      </c>
      <c r="AX368">
        <v>69005487</v>
      </c>
      <c r="AY368">
        <v>1</v>
      </c>
      <c r="AZ368">
        <v>0</v>
      </c>
      <c r="BA368">
        <v>364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Y368*Source!I130</f>
        <v>9.5200000000000024E-3</v>
      </c>
      <c r="CY368">
        <f t="shared" si="69"/>
        <v>1192.96</v>
      </c>
      <c r="CZ368">
        <f t="shared" si="70"/>
        <v>128</v>
      </c>
      <c r="DA368">
        <f t="shared" si="71"/>
        <v>9.32</v>
      </c>
      <c r="DB368">
        <f t="shared" si="72"/>
        <v>8.9600000000000009</v>
      </c>
      <c r="DC368">
        <f t="shared" si="73"/>
        <v>0</v>
      </c>
    </row>
    <row r="369" spans="1:107" x14ac:dyDescent="0.2">
      <c r="A369">
        <f>ROW(Source!A132)</f>
        <v>132</v>
      </c>
      <c r="B369">
        <v>68990560</v>
      </c>
      <c r="C369">
        <v>68992047</v>
      </c>
      <c r="D369">
        <v>37080781</v>
      </c>
      <c r="E369">
        <v>56</v>
      </c>
      <c r="F369">
        <v>1</v>
      </c>
      <c r="G369">
        <v>1</v>
      </c>
      <c r="H369">
        <v>1</v>
      </c>
      <c r="I369" t="s">
        <v>816</v>
      </c>
      <c r="J369" t="s">
        <v>3</v>
      </c>
      <c r="K369" t="s">
        <v>817</v>
      </c>
      <c r="L369">
        <v>1191</v>
      </c>
      <c r="N369">
        <v>1013</v>
      </c>
      <c r="O369" t="s">
        <v>818</v>
      </c>
      <c r="P369" t="s">
        <v>818</v>
      </c>
      <c r="Q369">
        <v>1</v>
      </c>
      <c r="W369">
        <v>0</v>
      </c>
      <c r="X369">
        <v>912892513</v>
      </c>
      <c r="Y369">
        <v>501.03832500000004</v>
      </c>
      <c r="AA369">
        <v>0</v>
      </c>
      <c r="AB369">
        <v>0</v>
      </c>
      <c r="AC369">
        <v>0</v>
      </c>
      <c r="AD369">
        <v>9.92</v>
      </c>
      <c r="AE369">
        <v>0</v>
      </c>
      <c r="AF369">
        <v>0</v>
      </c>
      <c r="AG369">
        <v>0</v>
      </c>
      <c r="AH369">
        <v>9.92</v>
      </c>
      <c r="AI369">
        <v>1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1</v>
      </c>
      <c r="AQ369">
        <v>0</v>
      </c>
      <c r="AR369">
        <v>0</v>
      </c>
      <c r="AS369" t="s">
        <v>3</v>
      </c>
      <c r="AT369">
        <v>322.73</v>
      </c>
      <c r="AU369" t="s">
        <v>147</v>
      </c>
      <c r="AV369">
        <v>1</v>
      </c>
      <c r="AW369">
        <v>2</v>
      </c>
      <c r="AX369">
        <v>68992058</v>
      </c>
      <c r="AY369">
        <v>1</v>
      </c>
      <c r="AZ369">
        <v>0</v>
      </c>
      <c r="BA369">
        <v>365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Y369*Source!I132</f>
        <v>22.0456863</v>
      </c>
      <c r="CY369">
        <f>AD369</f>
        <v>9.92</v>
      </c>
      <c r="CZ369">
        <f>AH369</f>
        <v>9.92</v>
      </c>
      <c r="DA369">
        <f>AL369</f>
        <v>1</v>
      </c>
      <c r="DB369">
        <f>ROUND(((ROUND(AT369*CZ369,2)*1.15)*1.35),2)</f>
        <v>4970.3</v>
      </c>
      <c r="DC369">
        <f>ROUND(((ROUND(AT369*AG369,2)*1.15)*1.35),2)</f>
        <v>0</v>
      </c>
    </row>
    <row r="370" spans="1:107" x14ac:dyDescent="0.2">
      <c r="A370">
        <f>ROW(Source!A132)</f>
        <v>132</v>
      </c>
      <c r="B370">
        <v>68990560</v>
      </c>
      <c r="C370">
        <v>68992047</v>
      </c>
      <c r="D370">
        <v>37064876</v>
      </c>
      <c r="E370">
        <v>56</v>
      </c>
      <c r="F370">
        <v>1</v>
      </c>
      <c r="G370">
        <v>1</v>
      </c>
      <c r="H370">
        <v>1</v>
      </c>
      <c r="I370" t="s">
        <v>819</v>
      </c>
      <c r="J370" t="s">
        <v>3</v>
      </c>
      <c r="K370" t="s">
        <v>820</v>
      </c>
      <c r="L370">
        <v>1191</v>
      </c>
      <c r="N370">
        <v>1013</v>
      </c>
      <c r="O370" t="s">
        <v>818</v>
      </c>
      <c r="P370" t="s">
        <v>818</v>
      </c>
      <c r="Q370">
        <v>1</v>
      </c>
      <c r="W370">
        <v>0</v>
      </c>
      <c r="X370">
        <v>-1417349443</v>
      </c>
      <c r="Y370">
        <v>33.665625000000006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1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1</v>
      </c>
      <c r="AQ370">
        <v>0</v>
      </c>
      <c r="AR370">
        <v>0</v>
      </c>
      <c r="AS370" t="s">
        <v>3</v>
      </c>
      <c r="AT370">
        <v>19.95</v>
      </c>
      <c r="AU370" t="s">
        <v>146</v>
      </c>
      <c r="AV370">
        <v>2</v>
      </c>
      <c r="AW370">
        <v>2</v>
      </c>
      <c r="AX370">
        <v>68992059</v>
      </c>
      <c r="AY370">
        <v>1</v>
      </c>
      <c r="AZ370">
        <v>0</v>
      </c>
      <c r="BA370">
        <v>366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Y370*Source!I132</f>
        <v>1.4812875000000001</v>
      </c>
      <c r="CY370">
        <f>AD370</f>
        <v>0</v>
      </c>
      <c r="CZ370">
        <f>AH370</f>
        <v>0</v>
      </c>
      <c r="DA370">
        <f>AL370</f>
        <v>1</v>
      </c>
      <c r="DB370">
        <f>ROUND(((ROUND(AT370*CZ370,2)*1.25)*1.35),2)</f>
        <v>0</v>
      </c>
      <c r="DC370">
        <f>ROUND(((ROUND(AT370*AG370,2)*1.25)*1.35),2)</f>
        <v>0</v>
      </c>
    </row>
    <row r="371" spans="1:107" x14ac:dyDescent="0.2">
      <c r="A371">
        <f>ROW(Source!A132)</f>
        <v>132</v>
      </c>
      <c r="B371">
        <v>68990560</v>
      </c>
      <c r="C371">
        <v>68992047</v>
      </c>
      <c r="D371">
        <v>64401774</v>
      </c>
      <c r="E371">
        <v>1</v>
      </c>
      <c r="F371">
        <v>1</v>
      </c>
      <c r="G371">
        <v>1</v>
      </c>
      <c r="H371">
        <v>2</v>
      </c>
      <c r="I371" t="s">
        <v>1187</v>
      </c>
      <c r="J371" t="s">
        <v>1188</v>
      </c>
      <c r="K371" t="s">
        <v>1189</v>
      </c>
      <c r="L371">
        <v>1368</v>
      </c>
      <c r="N371">
        <v>1011</v>
      </c>
      <c r="O371" t="s">
        <v>824</v>
      </c>
      <c r="P371" t="s">
        <v>824</v>
      </c>
      <c r="Q371">
        <v>1</v>
      </c>
      <c r="W371">
        <v>0</v>
      </c>
      <c r="X371">
        <v>-242824420</v>
      </c>
      <c r="Y371">
        <v>4.0500000000000007</v>
      </c>
      <c r="AA371">
        <v>0</v>
      </c>
      <c r="AB371">
        <v>1016.38</v>
      </c>
      <c r="AC371">
        <v>454.28</v>
      </c>
      <c r="AD371">
        <v>0</v>
      </c>
      <c r="AE371">
        <v>0</v>
      </c>
      <c r="AF371">
        <v>96.89</v>
      </c>
      <c r="AG371">
        <v>13.5</v>
      </c>
      <c r="AH371">
        <v>0</v>
      </c>
      <c r="AI371">
        <v>1</v>
      </c>
      <c r="AJ371">
        <v>10.49</v>
      </c>
      <c r="AK371">
        <v>33.65</v>
      </c>
      <c r="AL371">
        <v>1</v>
      </c>
      <c r="AN371">
        <v>0</v>
      </c>
      <c r="AO371">
        <v>1</v>
      </c>
      <c r="AP371">
        <v>1</v>
      </c>
      <c r="AQ371">
        <v>0</v>
      </c>
      <c r="AR371">
        <v>0</v>
      </c>
      <c r="AS371" t="s">
        <v>3</v>
      </c>
      <c r="AT371">
        <v>2.4</v>
      </c>
      <c r="AU371" t="s">
        <v>146</v>
      </c>
      <c r="AV371">
        <v>0</v>
      </c>
      <c r="AW371">
        <v>2</v>
      </c>
      <c r="AX371">
        <v>68992060</v>
      </c>
      <c r="AY371">
        <v>1</v>
      </c>
      <c r="AZ371">
        <v>0</v>
      </c>
      <c r="BA371">
        <v>367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Y371*Source!I132</f>
        <v>0.17820000000000003</v>
      </c>
      <c r="CY371">
        <f>AB371</f>
        <v>1016.38</v>
      </c>
      <c r="CZ371">
        <f>AF371</f>
        <v>96.89</v>
      </c>
      <c r="DA371">
        <f>AJ371</f>
        <v>10.49</v>
      </c>
      <c r="DB371">
        <f>ROUND(((ROUND(AT371*CZ371,2)*1.25)*1.35),2)</f>
        <v>392.41</v>
      </c>
      <c r="DC371">
        <f>ROUND(((ROUND(AT371*AG371,2)*1.25)*1.35),2)</f>
        <v>54.68</v>
      </c>
    </row>
    <row r="372" spans="1:107" x14ac:dyDescent="0.2">
      <c r="A372">
        <f>ROW(Source!A132)</f>
        <v>132</v>
      </c>
      <c r="B372">
        <v>68990560</v>
      </c>
      <c r="C372">
        <v>68992047</v>
      </c>
      <c r="D372">
        <v>64401959</v>
      </c>
      <c r="E372">
        <v>1</v>
      </c>
      <c r="F372">
        <v>1</v>
      </c>
      <c r="G372">
        <v>1</v>
      </c>
      <c r="H372">
        <v>2</v>
      </c>
      <c r="I372" t="s">
        <v>859</v>
      </c>
      <c r="J372" t="s">
        <v>860</v>
      </c>
      <c r="K372" t="s">
        <v>861</v>
      </c>
      <c r="L372">
        <v>1368</v>
      </c>
      <c r="N372">
        <v>1011</v>
      </c>
      <c r="O372" t="s">
        <v>824</v>
      </c>
      <c r="P372" t="s">
        <v>824</v>
      </c>
      <c r="Q372">
        <v>1</v>
      </c>
      <c r="W372">
        <v>0</v>
      </c>
      <c r="X372">
        <v>10009565</v>
      </c>
      <c r="Y372">
        <v>28.687500000000004</v>
      </c>
      <c r="AA372">
        <v>0</v>
      </c>
      <c r="AB372">
        <v>465.15</v>
      </c>
      <c r="AC372">
        <v>454.28</v>
      </c>
      <c r="AD372">
        <v>0</v>
      </c>
      <c r="AE372">
        <v>0</v>
      </c>
      <c r="AF372">
        <v>31.26</v>
      </c>
      <c r="AG372">
        <v>13.5</v>
      </c>
      <c r="AH372">
        <v>0</v>
      </c>
      <c r="AI372">
        <v>1</v>
      </c>
      <c r="AJ372">
        <v>14.88</v>
      </c>
      <c r="AK372">
        <v>33.65</v>
      </c>
      <c r="AL372">
        <v>1</v>
      </c>
      <c r="AN372">
        <v>0</v>
      </c>
      <c r="AO372">
        <v>1</v>
      </c>
      <c r="AP372">
        <v>1</v>
      </c>
      <c r="AQ372">
        <v>0</v>
      </c>
      <c r="AR372">
        <v>0</v>
      </c>
      <c r="AS372" t="s">
        <v>3</v>
      </c>
      <c r="AT372">
        <v>17</v>
      </c>
      <c r="AU372" t="s">
        <v>146</v>
      </c>
      <c r="AV372">
        <v>0</v>
      </c>
      <c r="AW372">
        <v>2</v>
      </c>
      <c r="AX372">
        <v>68992061</v>
      </c>
      <c r="AY372">
        <v>1</v>
      </c>
      <c r="AZ372">
        <v>0</v>
      </c>
      <c r="BA372">
        <v>368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Y372*Source!I132</f>
        <v>1.2622500000000001</v>
      </c>
      <c r="CY372">
        <f>AB372</f>
        <v>465.15</v>
      </c>
      <c r="CZ372">
        <f>AF372</f>
        <v>31.26</v>
      </c>
      <c r="DA372">
        <f>AJ372</f>
        <v>14.88</v>
      </c>
      <c r="DB372">
        <f>ROUND(((ROUND(AT372*CZ372,2)*1.25)*1.35),2)</f>
        <v>896.77</v>
      </c>
      <c r="DC372">
        <f>ROUND(((ROUND(AT372*AG372,2)*1.25)*1.35),2)</f>
        <v>387.28</v>
      </c>
    </row>
    <row r="373" spans="1:107" x14ac:dyDescent="0.2">
      <c r="A373">
        <f>ROW(Source!A132)</f>
        <v>132</v>
      </c>
      <c r="B373">
        <v>68990560</v>
      </c>
      <c r="C373">
        <v>68992047</v>
      </c>
      <c r="D373">
        <v>64402691</v>
      </c>
      <c r="E373">
        <v>1</v>
      </c>
      <c r="F373">
        <v>1</v>
      </c>
      <c r="G373">
        <v>1</v>
      </c>
      <c r="H373">
        <v>2</v>
      </c>
      <c r="I373" t="s">
        <v>825</v>
      </c>
      <c r="J373" t="s">
        <v>826</v>
      </c>
      <c r="K373" t="s">
        <v>827</v>
      </c>
      <c r="L373">
        <v>1368</v>
      </c>
      <c r="N373">
        <v>1011</v>
      </c>
      <c r="O373" t="s">
        <v>824</v>
      </c>
      <c r="P373" t="s">
        <v>824</v>
      </c>
      <c r="Q373">
        <v>1</v>
      </c>
      <c r="W373">
        <v>0</v>
      </c>
      <c r="X373">
        <v>-841254546</v>
      </c>
      <c r="Y373">
        <v>0.92812500000000009</v>
      </c>
      <c r="AA373">
        <v>0</v>
      </c>
      <c r="AB373">
        <v>776.04</v>
      </c>
      <c r="AC373">
        <v>390.34</v>
      </c>
      <c r="AD373">
        <v>0</v>
      </c>
      <c r="AE373">
        <v>0</v>
      </c>
      <c r="AF373">
        <v>65.709999999999994</v>
      </c>
      <c r="AG373">
        <v>11.6</v>
      </c>
      <c r="AH373">
        <v>0</v>
      </c>
      <c r="AI373">
        <v>1</v>
      </c>
      <c r="AJ373">
        <v>11.81</v>
      </c>
      <c r="AK373">
        <v>33.65</v>
      </c>
      <c r="AL373">
        <v>1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3</v>
      </c>
      <c r="AT373">
        <v>0.55000000000000004</v>
      </c>
      <c r="AU373" t="s">
        <v>146</v>
      </c>
      <c r="AV373">
        <v>0</v>
      </c>
      <c r="AW373">
        <v>2</v>
      </c>
      <c r="AX373">
        <v>68992062</v>
      </c>
      <c r="AY373">
        <v>1</v>
      </c>
      <c r="AZ373">
        <v>0</v>
      </c>
      <c r="BA373">
        <v>369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Y373*Source!I132</f>
        <v>4.0837499999999999E-2</v>
      </c>
      <c r="CY373">
        <f>AB373</f>
        <v>776.04</v>
      </c>
      <c r="CZ373">
        <f>AF373</f>
        <v>65.709999999999994</v>
      </c>
      <c r="DA373">
        <f>AJ373</f>
        <v>11.81</v>
      </c>
      <c r="DB373">
        <f>ROUND(((ROUND(AT373*CZ373,2)*1.25)*1.35),2)</f>
        <v>60.99</v>
      </c>
      <c r="DC373">
        <f>ROUND(((ROUND(AT373*AG373,2)*1.25)*1.35),2)</f>
        <v>10.77</v>
      </c>
    </row>
    <row r="374" spans="1:107" x14ac:dyDescent="0.2">
      <c r="A374">
        <f>ROW(Source!A132)</f>
        <v>132</v>
      </c>
      <c r="B374">
        <v>68990560</v>
      </c>
      <c r="C374">
        <v>68992047</v>
      </c>
      <c r="D374">
        <v>53733968</v>
      </c>
      <c r="E374">
        <v>1</v>
      </c>
      <c r="F374">
        <v>1</v>
      </c>
      <c r="G374">
        <v>1</v>
      </c>
      <c r="H374">
        <v>3</v>
      </c>
      <c r="I374" t="s">
        <v>474</v>
      </c>
      <c r="J374" t="s">
        <v>476</v>
      </c>
      <c r="K374" t="s">
        <v>475</v>
      </c>
      <c r="L374">
        <v>1371</v>
      </c>
      <c r="N374">
        <v>1013</v>
      </c>
      <c r="O374" t="s">
        <v>29</v>
      </c>
      <c r="P374" t="s">
        <v>29</v>
      </c>
      <c r="Q374">
        <v>1</v>
      </c>
      <c r="W374">
        <v>0</v>
      </c>
      <c r="X374">
        <v>47437256</v>
      </c>
      <c r="Y374">
        <v>45.454545000000003</v>
      </c>
      <c r="AA374">
        <v>746.04</v>
      </c>
      <c r="AB374">
        <v>0</v>
      </c>
      <c r="AC374">
        <v>0</v>
      </c>
      <c r="AD374">
        <v>0</v>
      </c>
      <c r="AE374">
        <v>206.66</v>
      </c>
      <c r="AF374">
        <v>0</v>
      </c>
      <c r="AG374">
        <v>0</v>
      </c>
      <c r="AH374">
        <v>0</v>
      </c>
      <c r="AI374">
        <v>3.61</v>
      </c>
      <c r="AJ374">
        <v>1</v>
      </c>
      <c r="AK374">
        <v>1</v>
      </c>
      <c r="AL374">
        <v>1</v>
      </c>
      <c r="AN374">
        <v>0</v>
      </c>
      <c r="AO374">
        <v>0</v>
      </c>
      <c r="AP374">
        <v>0</v>
      </c>
      <c r="AQ374">
        <v>0</v>
      </c>
      <c r="AR374">
        <v>0</v>
      </c>
      <c r="AS374" t="s">
        <v>3</v>
      </c>
      <c r="AT374">
        <v>45.454545000000003</v>
      </c>
      <c r="AU374" t="s">
        <v>3</v>
      </c>
      <c r="AV374">
        <v>0</v>
      </c>
      <c r="AW374">
        <v>1</v>
      </c>
      <c r="AX374">
        <v>-1</v>
      </c>
      <c r="AY374">
        <v>0</v>
      </c>
      <c r="AZ374">
        <v>0</v>
      </c>
      <c r="BA374" t="s">
        <v>3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Y374*Source!I132</f>
        <v>1.9999999800000001</v>
      </c>
      <c r="CY374">
        <f>AA374</f>
        <v>746.04</v>
      </c>
      <c r="CZ374">
        <f>AE374</f>
        <v>206.66</v>
      </c>
      <c r="DA374">
        <f>AI374</f>
        <v>3.61</v>
      </c>
      <c r="DB374">
        <f>ROUND(ROUND(AT374*CZ374,2),2)</f>
        <v>9393.64</v>
      </c>
      <c r="DC374">
        <f>ROUND(ROUND(AT374*AG374,2),2)</f>
        <v>0</v>
      </c>
    </row>
    <row r="375" spans="1:107" x14ac:dyDescent="0.2">
      <c r="A375">
        <f>ROW(Source!A132)</f>
        <v>132</v>
      </c>
      <c r="B375">
        <v>68990560</v>
      </c>
      <c r="C375">
        <v>68992047</v>
      </c>
      <c r="D375">
        <v>53734148</v>
      </c>
      <c r="E375">
        <v>1</v>
      </c>
      <c r="F375">
        <v>1</v>
      </c>
      <c r="G375">
        <v>1</v>
      </c>
      <c r="H375">
        <v>3</v>
      </c>
      <c r="I375" t="s">
        <v>478</v>
      </c>
      <c r="J375" t="s">
        <v>480</v>
      </c>
      <c r="K375" t="s">
        <v>479</v>
      </c>
      <c r="L375">
        <v>1371</v>
      </c>
      <c r="N375">
        <v>1013</v>
      </c>
      <c r="O375" t="s">
        <v>29</v>
      </c>
      <c r="P375" t="s">
        <v>29</v>
      </c>
      <c r="Q375">
        <v>1</v>
      </c>
      <c r="W375">
        <v>0</v>
      </c>
      <c r="X375">
        <v>-20578651</v>
      </c>
      <c r="Y375">
        <v>136.36363600000001</v>
      </c>
      <c r="AA375">
        <v>345.62</v>
      </c>
      <c r="AB375">
        <v>0</v>
      </c>
      <c r="AC375">
        <v>0</v>
      </c>
      <c r="AD375">
        <v>0</v>
      </c>
      <c r="AE375">
        <v>90.24</v>
      </c>
      <c r="AF375">
        <v>0</v>
      </c>
      <c r="AG375">
        <v>0</v>
      </c>
      <c r="AH375">
        <v>0</v>
      </c>
      <c r="AI375">
        <v>3.83</v>
      </c>
      <c r="AJ375">
        <v>1</v>
      </c>
      <c r="AK375">
        <v>1</v>
      </c>
      <c r="AL375">
        <v>1</v>
      </c>
      <c r="AN375">
        <v>0</v>
      </c>
      <c r="AO375">
        <v>0</v>
      </c>
      <c r="AP375">
        <v>0</v>
      </c>
      <c r="AQ375">
        <v>0</v>
      </c>
      <c r="AR375">
        <v>0</v>
      </c>
      <c r="AS375" t="s">
        <v>3</v>
      </c>
      <c r="AT375">
        <v>136.36363600000001</v>
      </c>
      <c r="AU375" t="s">
        <v>3</v>
      </c>
      <c r="AV375">
        <v>0</v>
      </c>
      <c r="AW375">
        <v>1</v>
      </c>
      <c r="AX375">
        <v>-1</v>
      </c>
      <c r="AY375">
        <v>0</v>
      </c>
      <c r="AZ375">
        <v>0</v>
      </c>
      <c r="BA375" t="s">
        <v>3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Y375*Source!I132</f>
        <v>5.9999999840000005</v>
      </c>
      <c r="CY375">
        <f>AA375</f>
        <v>345.62</v>
      </c>
      <c r="CZ375">
        <f>AE375</f>
        <v>90.24</v>
      </c>
      <c r="DA375">
        <f>AI375</f>
        <v>3.83</v>
      </c>
      <c r="DB375">
        <f>ROUND(ROUND(AT375*CZ375,2),2)</f>
        <v>12305.45</v>
      </c>
      <c r="DC375">
        <f>ROUND(ROUND(AT375*AG375,2),2)</f>
        <v>0</v>
      </c>
    </row>
    <row r="376" spans="1:107" x14ac:dyDescent="0.2">
      <c r="A376">
        <f>ROW(Source!A132)</f>
        <v>132</v>
      </c>
      <c r="B376">
        <v>68990560</v>
      </c>
      <c r="C376">
        <v>68992047</v>
      </c>
      <c r="D376">
        <v>64255009</v>
      </c>
      <c r="E376">
        <v>1</v>
      </c>
      <c r="F376">
        <v>1</v>
      </c>
      <c r="G376">
        <v>1</v>
      </c>
      <c r="H376">
        <v>3</v>
      </c>
      <c r="I376" t="s">
        <v>963</v>
      </c>
      <c r="J376" t="s">
        <v>964</v>
      </c>
      <c r="K376" t="s">
        <v>965</v>
      </c>
      <c r="L376">
        <v>1346</v>
      </c>
      <c r="N376">
        <v>1009</v>
      </c>
      <c r="O376" t="s">
        <v>170</v>
      </c>
      <c r="P376" t="s">
        <v>170</v>
      </c>
      <c r="Q376">
        <v>1</v>
      </c>
      <c r="W376">
        <v>0</v>
      </c>
      <c r="X376">
        <v>-584220791</v>
      </c>
      <c r="Y376">
        <v>1</v>
      </c>
      <c r="AA376">
        <v>93.93</v>
      </c>
      <c r="AB376">
        <v>0</v>
      </c>
      <c r="AC376">
        <v>0</v>
      </c>
      <c r="AD376">
        <v>0</v>
      </c>
      <c r="AE376">
        <v>9.0399999999999991</v>
      </c>
      <c r="AF376">
        <v>0</v>
      </c>
      <c r="AG376">
        <v>0</v>
      </c>
      <c r="AH376">
        <v>0</v>
      </c>
      <c r="AI376">
        <v>10.39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3</v>
      </c>
      <c r="AT376">
        <v>1</v>
      </c>
      <c r="AU376" t="s">
        <v>3</v>
      </c>
      <c r="AV376">
        <v>0</v>
      </c>
      <c r="AW376">
        <v>2</v>
      </c>
      <c r="AX376">
        <v>68992063</v>
      </c>
      <c r="AY376">
        <v>1</v>
      </c>
      <c r="AZ376">
        <v>0</v>
      </c>
      <c r="BA376">
        <v>370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Y376*Source!I132</f>
        <v>4.3999999999999997E-2</v>
      </c>
      <c r="CY376">
        <f>AA376</f>
        <v>93.93</v>
      </c>
      <c r="CZ376">
        <f>AE376</f>
        <v>9.0399999999999991</v>
      </c>
      <c r="DA376">
        <f>AI376</f>
        <v>10.39</v>
      </c>
      <c r="DB376">
        <f>ROUND(ROUND(AT376*CZ376,2),2)</f>
        <v>9.0399999999999991</v>
      </c>
      <c r="DC376">
        <f>ROUND(ROUND(AT376*AG376,2),2)</f>
        <v>0</v>
      </c>
    </row>
    <row r="377" spans="1:107" x14ac:dyDescent="0.2">
      <c r="A377">
        <f>ROW(Source!A132)</f>
        <v>132</v>
      </c>
      <c r="B377">
        <v>68990560</v>
      </c>
      <c r="C377">
        <v>68992047</v>
      </c>
      <c r="D377">
        <v>53797541</v>
      </c>
      <c r="E377">
        <v>1</v>
      </c>
      <c r="F377">
        <v>1</v>
      </c>
      <c r="G377">
        <v>1</v>
      </c>
      <c r="H377">
        <v>3</v>
      </c>
      <c r="I377" t="s">
        <v>466</v>
      </c>
      <c r="J377" t="s">
        <v>468</v>
      </c>
      <c r="K377" t="s">
        <v>467</v>
      </c>
      <c r="L377">
        <v>1327</v>
      </c>
      <c r="N377">
        <v>1005</v>
      </c>
      <c r="O377" t="s">
        <v>46</v>
      </c>
      <c r="P377" t="s">
        <v>46</v>
      </c>
      <c r="Q377">
        <v>1</v>
      </c>
      <c r="W377">
        <v>0</v>
      </c>
      <c r="X377">
        <v>1035889047</v>
      </c>
      <c r="Y377">
        <v>75</v>
      </c>
      <c r="AA377">
        <v>2093.85</v>
      </c>
      <c r="AB377">
        <v>0</v>
      </c>
      <c r="AC377">
        <v>0</v>
      </c>
      <c r="AD377">
        <v>0</v>
      </c>
      <c r="AE377">
        <v>253.8</v>
      </c>
      <c r="AF377">
        <v>0</v>
      </c>
      <c r="AG377">
        <v>0</v>
      </c>
      <c r="AH377">
        <v>0</v>
      </c>
      <c r="AI377">
        <v>8.25</v>
      </c>
      <c r="AJ377">
        <v>1</v>
      </c>
      <c r="AK377">
        <v>1</v>
      </c>
      <c r="AL377">
        <v>1</v>
      </c>
      <c r="AN377">
        <v>0</v>
      </c>
      <c r="AO377">
        <v>0</v>
      </c>
      <c r="AP377">
        <v>0</v>
      </c>
      <c r="AQ377">
        <v>0</v>
      </c>
      <c r="AR377">
        <v>0</v>
      </c>
      <c r="AS377" t="s">
        <v>3</v>
      </c>
      <c r="AT377">
        <v>75</v>
      </c>
      <c r="AU377" t="s">
        <v>3</v>
      </c>
      <c r="AV377">
        <v>0</v>
      </c>
      <c r="AW377">
        <v>1</v>
      </c>
      <c r="AX377">
        <v>-1</v>
      </c>
      <c r="AY377">
        <v>0</v>
      </c>
      <c r="AZ377">
        <v>0</v>
      </c>
      <c r="BA377" t="s">
        <v>3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Y377*Source!I132</f>
        <v>3.3</v>
      </c>
      <c r="CY377">
        <f>AA377</f>
        <v>2093.85</v>
      </c>
      <c r="CZ377">
        <f>AE377</f>
        <v>253.8</v>
      </c>
      <c r="DA377">
        <f>AI377</f>
        <v>8.25</v>
      </c>
      <c r="DB377">
        <f>ROUND(ROUND(AT377*CZ377,2),2)</f>
        <v>19035</v>
      </c>
      <c r="DC377">
        <f>ROUND(ROUND(AT377*AG377,2),2)</f>
        <v>0</v>
      </c>
    </row>
    <row r="378" spans="1:107" x14ac:dyDescent="0.2">
      <c r="A378">
        <f>ROW(Source!A132)</f>
        <v>132</v>
      </c>
      <c r="B378">
        <v>68990560</v>
      </c>
      <c r="C378">
        <v>68992047</v>
      </c>
      <c r="D378">
        <v>53772719</v>
      </c>
      <c r="E378">
        <v>1</v>
      </c>
      <c r="F378">
        <v>1</v>
      </c>
      <c r="G378">
        <v>1</v>
      </c>
      <c r="H378">
        <v>3</v>
      </c>
      <c r="I378" t="s">
        <v>470</v>
      </c>
      <c r="J378" t="s">
        <v>472</v>
      </c>
      <c r="K378" t="s">
        <v>471</v>
      </c>
      <c r="L378">
        <v>1327</v>
      </c>
      <c r="N378">
        <v>1005</v>
      </c>
      <c r="O378" t="s">
        <v>46</v>
      </c>
      <c r="P378" t="s">
        <v>46</v>
      </c>
      <c r="Q378">
        <v>1</v>
      </c>
      <c r="W378">
        <v>0</v>
      </c>
      <c r="X378">
        <v>-954990349</v>
      </c>
      <c r="Y378">
        <v>100</v>
      </c>
      <c r="AA378">
        <v>7496.2</v>
      </c>
      <c r="AB378">
        <v>0</v>
      </c>
      <c r="AC378">
        <v>0</v>
      </c>
      <c r="AD378">
        <v>0</v>
      </c>
      <c r="AE378">
        <v>1793.35</v>
      </c>
      <c r="AF378">
        <v>0</v>
      </c>
      <c r="AG378">
        <v>0</v>
      </c>
      <c r="AH378">
        <v>0</v>
      </c>
      <c r="AI378">
        <v>4.18</v>
      </c>
      <c r="AJ378">
        <v>1</v>
      </c>
      <c r="AK378">
        <v>1</v>
      </c>
      <c r="AL378">
        <v>1</v>
      </c>
      <c r="AN378">
        <v>0</v>
      </c>
      <c r="AO378">
        <v>0</v>
      </c>
      <c r="AP378">
        <v>0</v>
      </c>
      <c r="AQ378">
        <v>0</v>
      </c>
      <c r="AR378">
        <v>0</v>
      </c>
      <c r="AS378" t="s">
        <v>3</v>
      </c>
      <c r="AT378">
        <v>100</v>
      </c>
      <c r="AU378" t="s">
        <v>3</v>
      </c>
      <c r="AV378">
        <v>0</v>
      </c>
      <c r="AW378">
        <v>1</v>
      </c>
      <c r="AX378">
        <v>-1</v>
      </c>
      <c r="AY378">
        <v>0</v>
      </c>
      <c r="AZ378">
        <v>0</v>
      </c>
      <c r="BA378" t="s">
        <v>3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Y378*Source!I132</f>
        <v>4.3999999999999995</v>
      </c>
      <c r="CY378">
        <f>AA378</f>
        <v>7496.2</v>
      </c>
      <c r="CZ378">
        <f>AE378</f>
        <v>1793.35</v>
      </c>
      <c r="DA378">
        <f>AI378</f>
        <v>4.18</v>
      </c>
      <c r="DB378">
        <f>ROUND(ROUND(AT378*CZ378,2),2)</f>
        <v>179335</v>
      </c>
      <c r="DC378">
        <f>ROUND(ROUND(AT378*AG378,2),2)</f>
        <v>0</v>
      </c>
    </row>
    <row r="379" spans="1:107" x14ac:dyDescent="0.2">
      <c r="A379">
        <f>ROW(Source!A137)</f>
        <v>137</v>
      </c>
      <c r="B379">
        <v>68990560</v>
      </c>
      <c r="C379">
        <v>68992071</v>
      </c>
      <c r="D379">
        <v>37080781</v>
      </c>
      <c r="E379">
        <v>56</v>
      </c>
      <c r="F379">
        <v>1</v>
      </c>
      <c r="G379">
        <v>1</v>
      </c>
      <c r="H379">
        <v>1</v>
      </c>
      <c r="I379" t="s">
        <v>816</v>
      </c>
      <c r="J379" t="s">
        <v>3</v>
      </c>
      <c r="K379" t="s">
        <v>817</v>
      </c>
      <c r="L379">
        <v>1191</v>
      </c>
      <c r="N379">
        <v>1013</v>
      </c>
      <c r="O379" t="s">
        <v>818</v>
      </c>
      <c r="P379" t="s">
        <v>818</v>
      </c>
      <c r="Q379">
        <v>1</v>
      </c>
      <c r="W379">
        <v>0</v>
      </c>
      <c r="X379">
        <v>912892513</v>
      </c>
      <c r="Y379">
        <v>501.03832500000004</v>
      </c>
      <c r="AA379">
        <v>0</v>
      </c>
      <c r="AB379">
        <v>0</v>
      </c>
      <c r="AC379">
        <v>0</v>
      </c>
      <c r="AD379">
        <v>9.92</v>
      </c>
      <c r="AE379">
        <v>0</v>
      </c>
      <c r="AF379">
        <v>0</v>
      </c>
      <c r="AG379">
        <v>0</v>
      </c>
      <c r="AH379">
        <v>9.92</v>
      </c>
      <c r="AI379">
        <v>1</v>
      </c>
      <c r="AJ379">
        <v>1</v>
      </c>
      <c r="AK379">
        <v>1</v>
      </c>
      <c r="AL379">
        <v>1</v>
      </c>
      <c r="AN379">
        <v>0</v>
      </c>
      <c r="AO379">
        <v>1</v>
      </c>
      <c r="AP379">
        <v>1</v>
      </c>
      <c r="AQ379">
        <v>0</v>
      </c>
      <c r="AR379">
        <v>0</v>
      </c>
      <c r="AS379" t="s">
        <v>3</v>
      </c>
      <c r="AT379">
        <v>322.73</v>
      </c>
      <c r="AU379" t="s">
        <v>147</v>
      </c>
      <c r="AV379">
        <v>1</v>
      </c>
      <c r="AW379">
        <v>2</v>
      </c>
      <c r="AX379">
        <v>68992082</v>
      </c>
      <c r="AY379">
        <v>1</v>
      </c>
      <c r="AZ379">
        <v>0</v>
      </c>
      <c r="BA379">
        <v>374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Y379*Source!I137</f>
        <v>22.0456863</v>
      </c>
      <c r="CY379">
        <f>AD379</f>
        <v>9.92</v>
      </c>
      <c r="CZ379">
        <f>AH379</f>
        <v>9.92</v>
      </c>
      <c r="DA379">
        <f>AL379</f>
        <v>1</v>
      </c>
      <c r="DB379">
        <f>ROUND(((ROUND(AT379*CZ379,2)*1.15)*1.35),2)</f>
        <v>4970.3</v>
      </c>
      <c r="DC379">
        <f>ROUND(((ROUND(AT379*AG379,2)*1.15)*1.35),2)</f>
        <v>0</v>
      </c>
    </row>
    <row r="380" spans="1:107" x14ac:dyDescent="0.2">
      <c r="A380">
        <f>ROW(Source!A137)</f>
        <v>137</v>
      </c>
      <c r="B380">
        <v>68990560</v>
      </c>
      <c r="C380">
        <v>68992071</v>
      </c>
      <c r="D380">
        <v>37064876</v>
      </c>
      <c r="E380">
        <v>56</v>
      </c>
      <c r="F380">
        <v>1</v>
      </c>
      <c r="G380">
        <v>1</v>
      </c>
      <c r="H380">
        <v>1</v>
      </c>
      <c r="I380" t="s">
        <v>819</v>
      </c>
      <c r="J380" t="s">
        <v>3</v>
      </c>
      <c r="K380" t="s">
        <v>820</v>
      </c>
      <c r="L380">
        <v>1191</v>
      </c>
      <c r="N380">
        <v>1013</v>
      </c>
      <c r="O380" t="s">
        <v>818</v>
      </c>
      <c r="P380" t="s">
        <v>818</v>
      </c>
      <c r="Q380">
        <v>1</v>
      </c>
      <c r="W380">
        <v>0</v>
      </c>
      <c r="X380">
        <v>-1417349443</v>
      </c>
      <c r="Y380">
        <v>33.665625000000006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1</v>
      </c>
      <c r="AJ380">
        <v>1</v>
      </c>
      <c r="AK380">
        <v>1</v>
      </c>
      <c r="AL380">
        <v>1</v>
      </c>
      <c r="AN380">
        <v>0</v>
      </c>
      <c r="AO380">
        <v>1</v>
      </c>
      <c r="AP380">
        <v>1</v>
      </c>
      <c r="AQ380">
        <v>0</v>
      </c>
      <c r="AR380">
        <v>0</v>
      </c>
      <c r="AS380" t="s">
        <v>3</v>
      </c>
      <c r="AT380">
        <v>19.95</v>
      </c>
      <c r="AU380" t="s">
        <v>146</v>
      </c>
      <c r="AV380">
        <v>2</v>
      </c>
      <c r="AW380">
        <v>2</v>
      </c>
      <c r="AX380">
        <v>68992083</v>
      </c>
      <c r="AY380">
        <v>1</v>
      </c>
      <c r="AZ380">
        <v>0</v>
      </c>
      <c r="BA380">
        <v>375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Y380*Source!I137</f>
        <v>1.4812875000000001</v>
      </c>
      <c r="CY380">
        <f>AD380</f>
        <v>0</v>
      </c>
      <c r="CZ380">
        <f>AH380</f>
        <v>0</v>
      </c>
      <c r="DA380">
        <f>AL380</f>
        <v>1</v>
      </c>
      <c r="DB380">
        <f>ROUND(((ROUND(AT380*CZ380,2)*1.25)*1.35),2)</f>
        <v>0</v>
      </c>
      <c r="DC380">
        <f>ROUND(((ROUND(AT380*AG380,2)*1.25)*1.35),2)</f>
        <v>0</v>
      </c>
    </row>
    <row r="381" spans="1:107" x14ac:dyDescent="0.2">
      <c r="A381">
        <f>ROW(Source!A137)</f>
        <v>137</v>
      </c>
      <c r="B381">
        <v>68990560</v>
      </c>
      <c r="C381">
        <v>68992071</v>
      </c>
      <c r="D381">
        <v>64401774</v>
      </c>
      <c r="E381">
        <v>1</v>
      </c>
      <c r="F381">
        <v>1</v>
      </c>
      <c r="G381">
        <v>1</v>
      </c>
      <c r="H381">
        <v>2</v>
      </c>
      <c r="I381" t="s">
        <v>1187</v>
      </c>
      <c r="J381" t="s">
        <v>1188</v>
      </c>
      <c r="K381" t="s">
        <v>1189</v>
      </c>
      <c r="L381">
        <v>1368</v>
      </c>
      <c r="N381">
        <v>1011</v>
      </c>
      <c r="O381" t="s">
        <v>824</v>
      </c>
      <c r="P381" t="s">
        <v>824</v>
      </c>
      <c r="Q381">
        <v>1</v>
      </c>
      <c r="W381">
        <v>0</v>
      </c>
      <c r="X381">
        <v>-242824420</v>
      </c>
      <c r="Y381">
        <v>4.0500000000000007</v>
      </c>
      <c r="AA381">
        <v>0</v>
      </c>
      <c r="AB381">
        <v>1016.38</v>
      </c>
      <c r="AC381">
        <v>454.28</v>
      </c>
      <c r="AD381">
        <v>0</v>
      </c>
      <c r="AE381">
        <v>0</v>
      </c>
      <c r="AF381">
        <v>96.89</v>
      </c>
      <c r="AG381">
        <v>13.5</v>
      </c>
      <c r="AH381">
        <v>0</v>
      </c>
      <c r="AI381">
        <v>1</v>
      </c>
      <c r="AJ381">
        <v>10.49</v>
      </c>
      <c r="AK381">
        <v>33.65</v>
      </c>
      <c r="AL381">
        <v>1</v>
      </c>
      <c r="AN381">
        <v>0</v>
      </c>
      <c r="AO381">
        <v>1</v>
      </c>
      <c r="AP381">
        <v>1</v>
      </c>
      <c r="AQ381">
        <v>0</v>
      </c>
      <c r="AR381">
        <v>0</v>
      </c>
      <c r="AS381" t="s">
        <v>3</v>
      </c>
      <c r="AT381">
        <v>2.4</v>
      </c>
      <c r="AU381" t="s">
        <v>146</v>
      </c>
      <c r="AV381">
        <v>0</v>
      </c>
      <c r="AW381">
        <v>2</v>
      </c>
      <c r="AX381">
        <v>68992084</v>
      </c>
      <c r="AY381">
        <v>1</v>
      </c>
      <c r="AZ381">
        <v>0</v>
      </c>
      <c r="BA381">
        <v>376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Y381*Source!I137</f>
        <v>0.17820000000000003</v>
      </c>
      <c r="CY381">
        <f>AB381</f>
        <v>1016.38</v>
      </c>
      <c r="CZ381">
        <f>AF381</f>
        <v>96.89</v>
      </c>
      <c r="DA381">
        <f>AJ381</f>
        <v>10.49</v>
      </c>
      <c r="DB381">
        <f>ROUND(((ROUND(AT381*CZ381,2)*1.25)*1.35),2)</f>
        <v>392.41</v>
      </c>
      <c r="DC381">
        <f>ROUND(((ROUND(AT381*AG381,2)*1.25)*1.35),2)</f>
        <v>54.68</v>
      </c>
    </row>
    <row r="382" spans="1:107" x14ac:dyDescent="0.2">
      <c r="A382">
        <f>ROW(Source!A137)</f>
        <v>137</v>
      </c>
      <c r="B382">
        <v>68990560</v>
      </c>
      <c r="C382">
        <v>68992071</v>
      </c>
      <c r="D382">
        <v>64401959</v>
      </c>
      <c r="E382">
        <v>1</v>
      </c>
      <c r="F382">
        <v>1</v>
      </c>
      <c r="G382">
        <v>1</v>
      </c>
      <c r="H382">
        <v>2</v>
      </c>
      <c r="I382" t="s">
        <v>859</v>
      </c>
      <c r="J382" t="s">
        <v>860</v>
      </c>
      <c r="K382" t="s">
        <v>861</v>
      </c>
      <c r="L382">
        <v>1368</v>
      </c>
      <c r="N382">
        <v>1011</v>
      </c>
      <c r="O382" t="s">
        <v>824</v>
      </c>
      <c r="P382" t="s">
        <v>824</v>
      </c>
      <c r="Q382">
        <v>1</v>
      </c>
      <c r="W382">
        <v>0</v>
      </c>
      <c r="X382">
        <v>10009565</v>
      </c>
      <c r="Y382">
        <v>28.687500000000004</v>
      </c>
      <c r="AA382">
        <v>0</v>
      </c>
      <c r="AB382">
        <v>465.15</v>
      </c>
      <c r="AC382">
        <v>454.28</v>
      </c>
      <c r="AD382">
        <v>0</v>
      </c>
      <c r="AE382">
        <v>0</v>
      </c>
      <c r="AF382">
        <v>31.26</v>
      </c>
      <c r="AG382">
        <v>13.5</v>
      </c>
      <c r="AH382">
        <v>0</v>
      </c>
      <c r="AI382">
        <v>1</v>
      </c>
      <c r="AJ382">
        <v>14.88</v>
      </c>
      <c r="AK382">
        <v>33.65</v>
      </c>
      <c r="AL382">
        <v>1</v>
      </c>
      <c r="AN382">
        <v>0</v>
      </c>
      <c r="AO382">
        <v>1</v>
      </c>
      <c r="AP382">
        <v>1</v>
      </c>
      <c r="AQ382">
        <v>0</v>
      </c>
      <c r="AR382">
        <v>0</v>
      </c>
      <c r="AS382" t="s">
        <v>3</v>
      </c>
      <c r="AT382">
        <v>17</v>
      </c>
      <c r="AU382" t="s">
        <v>146</v>
      </c>
      <c r="AV382">
        <v>0</v>
      </c>
      <c r="AW382">
        <v>2</v>
      </c>
      <c r="AX382">
        <v>68992085</v>
      </c>
      <c r="AY382">
        <v>1</v>
      </c>
      <c r="AZ382">
        <v>0</v>
      </c>
      <c r="BA382">
        <v>377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Y382*Source!I137</f>
        <v>1.2622500000000001</v>
      </c>
      <c r="CY382">
        <f>AB382</f>
        <v>465.15</v>
      </c>
      <c r="CZ382">
        <f>AF382</f>
        <v>31.26</v>
      </c>
      <c r="DA382">
        <f>AJ382</f>
        <v>14.88</v>
      </c>
      <c r="DB382">
        <f>ROUND(((ROUND(AT382*CZ382,2)*1.25)*1.35),2)</f>
        <v>896.77</v>
      </c>
      <c r="DC382">
        <f>ROUND(((ROUND(AT382*AG382,2)*1.25)*1.35),2)</f>
        <v>387.28</v>
      </c>
    </row>
    <row r="383" spans="1:107" x14ac:dyDescent="0.2">
      <c r="A383">
        <f>ROW(Source!A137)</f>
        <v>137</v>
      </c>
      <c r="B383">
        <v>68990560</v>
      </c>
      <c r="C383">
        <v>68992071</v>
      </c>
      <c r="D383">
        <v>64402691</v>
      </c>
      <c r="E383">
        <v>1</v>
      </c>
      <c r="F383">
        <v>1</v>
      </c>
      <c r="G383">
        <v>1</v>
      </c>
      <c r="H383">
        <v>2</v>
      </c>
      <c r="I383" t="s">
        <v>825</v>
      </c>
      <c r="J383" t="s">
        <v>826</v>
      </c>
      <c r="K383" t="s">
        <v>827</v>
      </c>
      <c r="L383">
        <v>1368</v>
      </c>
      <c r="N383">
        <v>1011</v>
      </c>
      <c r="O383" t="s">
        <v>824</v>
      </c>
      <c r="P383" t="s">
        <v>824</v>
      </c>
      <c r="Q383">
        <v>1</v>
      </c>
      <c r="W383">
        <v>0</v>
      </c>
      <c r="X383">
        <v>-841254546</v>
      </c>
      <c r="Y383">
        <v>0.92812500000000009</v>
      </c>
      <c r="AA383">
        <v>0</v>
      </c>
      <c r="AB383">
        <v>776.04</v>
      </c>
      <c r="AC383">
        <v>390.34</v>
      </c>
      <c r="AD383">
        <v>0</v>
      </c>
      <c r="AE383">
        <v>0</v>
      </c>
      <c r="AF383">
        <v>65.709999999999994</v>
      </c>
      <c r="AG383">
        <v>11.6</v>
      </c>
      <c r="AH383">
        <v>0</v>
      </c>
      <c r="AI383">
        <v>1</v>
      </c>
      <c r="AJ383">
        <v>11.81</v>
      </c>
      <c r="AK383">
        <v>33.65</v>
      </c>
      <c r="AL383">
        <v>1</v>
      </c>
      <c r="AN383">
        <v>0</v>
      </c>
      <c r="AO383">
        <v>1</v>
      </c>
      <c r="AP383">
        <v>1</v>
      </c>
      <c r="AQ383">
        <v>0</v>
      </c>
      <c r="AR383">
        <v>0</v>
      </c>
      <c r="AS383" t="s">
        <v>3</v>
      </c>
      <c r="AT383">
        <v>0.55000000000000004</v>
      </c>
      <c r="AU383" t="s">
        <v>146</v>
      </c>
      <c r="AV383">
        <v>0</v>
      </c>
      <c r="AW383">
        <v>2</v>
      </c>
      <c r="AX383">
        <v>68992086</v>
      </c>
      <c r="AY383">
        <v>1</v>
      </c>
      <c r="AZ383">
        <v>0</v>
      </c>
      <c r="BA383">
        <v>378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Y383*Source!I137</f>
        <v>4.0837499999999999E-2</v>
      </c>
      <c r="CY383">
        <f>AB383</f>
        <v>776.04</v>
      </c>
      <c r="CZ383">
        <f>AF383</f>
        <v>65.709999999999994</v>
      </c>
      <c r="DA383">
        <f>AJ383</f>
        <v>11.81</v>
      </c>
      <c r="DB383">
        <f>ROUND(((ROUND(AT383*CZ383,2)*1.25)*1.35),2)</f>
        <v>60.99</v>
      </c>
      <c r="DC383">
        <f>ROUND(((ROUND(AT383*AG383,2)*1.25)*1.35),2)</f>
        <v>10.77</v>
      </c>
    </row>
    <row r="384" spans="1:107" x14ac:dyDescent="0.2">
      <c r="A384">
        <f>ROW(Source!A137)</f>
        <v>137</v>
      </c>
      <c r="B384">
        <v>68990560</v>
      </c>
      <c r="C384">
        <v>68992071</v>
      </c>
      <c r="D384">
        <v>53733968</v>
      </c>
      <c r="E384">
        <v>1</v>
      </c>
      <c r="F384">
        <v>1</v>
      </c>
      <c r="G384">
        <v>1</v>
      </c>
      <c r="H384">
        <v>3</v>
      </c>
      <c r="I384" t="s">
        <v>474</v>
      </c>
      <c r="J384" t="s">
        <v>476</v>
      </c>
      <c r="K384" t="s">
        <v>475</v>
      </c>
      <c r="L384">
        <v>1371</v>
      </c>
      <c r="N384">
        <v>1013</v>
      </c>
      <c r="O384" t="s">
        <v>29</v>
      </c>
      <c r="P384" t="s">
        <v>29</v>
      </c>
      <c r="Q384">
        <v>1</v>
      </c>
      <c r="W384">
        <v>0</v>
      </c>
      <c r="X384">
        <v>47437256</v>
      </c>
      <c r="Y384">
        <v>22.727273</v>
      </c>
      <c r="AA384">
        <v>746.04</v>
      </c>
      <c r="AB384">
        <v>0</v>
      </c>
      <c r="AC384">
        <v>0</v>
      </c>
      <c r="AD384">
        <v>0</v>
      </c>
      <c r="AE384">
        <v>206.66</v>
      </c>
      <c r="AF384">
        <v>0</v>
      </c>
      <c r="AG384">
        <v>0</v>
      </c>
      <c r="AH384">
        <v>0</v>
      </c>
      <c r="AI384">
        <v>3.61</v>
      </c>
      <c r="AJ384">
        <v>1</v>
      </c>
      <c r="AK384">
        <v>1</v>
      </c>
      <c r="AL384">
        <v>1</v>
      </c>
      <c r="AN384">
        <v>0</v>
      </c>
      <c r="AO384">
        <v>0</v>
      </c>
      <c r="AP384">
        <v>0</v>
      </c>
      <c r="AQ384">
        <v>0</v>
      </c>
      <c r="AR384">
        <v>0</v>
      </c>
      <c r="AS384" t="s">
        <v>3</v>
      </c>
      <c r="AT384">
        <v>22.727273</v>
      </c>
      <c r="AU384" t="s">
        <v>3</v>
      </c>
      <c r="AV384">
        <v>0</v>
      </c>
      <c r="AW384">
        <v>1</v>
      </c>
      <c r="AX384">
        <v>-1</v>
      </c>
      <c r="AY384">
        <v>0</v>
      </c>
      <c r="AZ384">
        <v>0</v>
      </c>
      <c r="BA384" t="s">
        <v>3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Y384*Source!I137</f>
        <v>1.0000000119999999</v>
      </c>
      <c r="CY384">
        <f>AA384</f>
        <v>746.04</v>
      </c>
      <c r="CZ384">
        <f>AE384</f>
        <v>206.66</v>
      </c>
      <c r="DA384">
        <f>AI384</f>
        <v>3.61</v>
      </c>
      <c r="DB384">
        <f>ROUND(ROUND(AT384*CZ384,2),2)</f>
        <v>4696.82</v>
      </c>
      <c r="DC384">
        <f>ROUND(ROUND(AT384*AG384,2),2)</f>
        <v>0</v>
      </c>
    </row>
    <row r="385" spans="1:107" x14ac:dyDescent="0.2">
      <c r="A385">
        <f>ROW(Source!A137)</f>
        <v>137</v>
      </c>
      <c r="B385">
        <v>68990560</v>
      </c>
      <c r="C385">
        <v>68992071</v>
      </c>
      <c r="D385">
        <v>53734148</v>
      </c>
      <c r="E385">
        <v>1</v>
      </c>
      <c r="F385">
        <v>1</v>
      </c>
      <c r="G385">
        <v>1</v>
      </c>
      <c r="H385">
        <v>3</v>
      </c>
      <c r="I385" t="s">
        <v>478</v>
      </c>
      <c r="J385" t="s">
        <v>480</v>
      </c>
      <c r="K385" t="s">
        <v>479</v>
      </c>
      <c r="L385">
        <v>1371</v>
      </c>
      <c r="N385">
        <v>1013</v>
      </c>
      <c r="O385" t="s">
        <v>29</v>
      </c>
      <c r="P385" t="s">
        <v>29</v>
      </c>
      <c r="Q385">
        <v>1</v>
      </c>
      <c r="W385">
        <v>0</v>
      </c>
      <c r="X385">
        <v>-20578651</v>
      </c>
      <c r="Y385">
        <v>136.36363600000001</v>
      </c>
      <c r="AA385">
        <v>345.62</v>
      </c>
      <c r="AB385">
        <v>0</v>
      </c>
      <c r="AC385">
        <v>0</v>
      </c>
      <c r="AD385">
        <v>0</v>
      </c>
      <c r="AE385">
        <v>90.24</v>
      </c>
      <c r="AF385">
        <v>0</v>
      </c>
      <c r="AG385">
        <v>0</v>
      </c>
      <c r="AH385">
        <v>0</v>
      </c>
      <c r="AI385">
        <v>3.83</v>
      </c>
      <c r="AJ385">
        <v>1</v>
      </c>
      <c r="AK385">
        <v>1</v>
      </c>
      <c r="AL385">
        <v>1</v>
      </c>
      <c r="AN385">
        <v>0</v>
      </c>
      <c r="AO385">
        <v>0</v>
      </c>
      <c r="AP385">
        <v>0</v>
      </c>
      <c r="AQ385">
        <v>0</v>
      </c>
      <c r="AR385">
        <v>0</v>
      </c>
      <c r="AS385" t="s">
        <v>3</v>
      </c>
      <c r="AT385">
        <v>136.36363600000001</v>
      </c>
      <c r="AU385" t="s">
        <v>3</v>
      </c>
      <c r="AV385">
        <v>0</v>
      </c>
      <c r="AW385">
        <v>1</v>
      </c>
      <c r="AX385">
        <v>-1</v>
      </c>
      <c r="AY385">
        <v>0</v>
      </c>
      <c r="AZ385">
        <v>0</v>
      </c>
      <c r="BA385" t="s">
        <v>3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Y385*Source!I137</f>
        <v>5.9999999840000005</v>
      </c>
      <c r="CY385">
        <f>AA385</f>
        <v>345.62</v>
      </c>
      <c r="CZ385">
        <f>AE385</f>
        <v>90.24</v>
      </c>
      <c r="DA385">
        <f>AI385</f>
        <v>3.83</v>
      </c>
      <c r="DB385">
        <f>ROUND(ROUND(AT385*CZ385,2),2)</f>
        <v>12305.45</v>
      </c>
      <c r="DC385">
        <f>ROUND(ROUND(AT385*AG385,2),2)</f>
        <v>0</v>
      </c>
    </row>
    <row r="386" spans="1:107" x14ac:dyDescent="0.2">
      <c r="A386">
        <f>ROW(Source!A137)</f>
        <v>137</v>
      </c>
      <c r="B386">
        <v>68990560</v>
      </c>
      <c r="C386">
        <v>68992071</v>
      </c>
      <c r="D386">
        <v>64255009</v>
      </c>
      <c r="E386">
        <v>1</v>
      </c>
      <c r="F386">
        <v>1</v>
      </c>
      <c r="G386">
        <v>1</v>
      </c>
      <c r="H386">
        <v>3</v>
      </c>
      <c r="I386" t="s">
        <v>963</v>
      </c>
      <c r="J386" t="s">
        <v>964</v>
      </c>
      <c r="K386" t="s">
        <v>965</v>
      </c>
      <c r="L386">
        <v>1346</v>
      </c>
      <c r="N386">
        <v>1009</v>
      </c>
      <c r="O386" t="s">
        <v>170</v>
      </c>
      <c r="P386" t="s">
        <v>170</v>
      </c>
      <c r="Q386">
        <v>1</v>
      </c>
      <c r="W386">
        <v>0</v>
      </c>
      <c r="X386">
        <v>-584220791</v>
      </c>
      <c r="Y386">
        <v>1</v>
      </c>
      <c r="AA386">
        <v>93.93</v>
      </c>
      <c r="AB386">
        <v>0</v>
      </c>
      <c r="AC386">
        <v>0</v>
      </c>
      <c r="AD386">
        <v>0</v>
      </c>
      <c r="AE386">
        <v>9.0399999999999991</v>
      </c>
      <c r="AF386">
        <v>0</v>
      </c>
      <c r="AG386">
        <v>0</v>
      </c>
      <c r="AH386">
        <v>0</v>
      </c>
      <c r="AI386">
        <v>10.39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3</v>
      </c>
      <c r="AT386">
        <v>1</v>
      </c>
      <c r="AU386" t="s">
        <v>3</v>
      </c>
      <c r="AV386">
        <v>0</v>
      </c>
      <c r="AW386">
        <v>2</v>
      </c>
      <c r="AX386">
        <v>68992087</v>
      </c>
      <c r="AY386">
        <v>1</v>
      </c>
      <c r="AZ386">
        <v>0</v>
      </c>
      <c r="BA386">
        <v>379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Y386*Source!I137</f>
        <v>4.3999999999999997E-2</v>
      </c>
      <c r="CY386">
        <f>AA386</f>
        <v>93.93</v>
      </c>
      <c r="CZ386">
        <f>AE386</f>
        <v>9.0399999999999991</v>
      </c>
      <c r="DA386">
        <f>AI386</f>
        <v>10.39</v>
      </c>
      <c r="DB386">
        <f>ROUND(ROUND(AT386*CZ386,2),2)</f>
        <v>9.0399999999999991</v>
      </c>
      <c r="DC386">
        <f>ROUND(ROUND(AT386*AG386,2),2)</f>
        <v>0</v>
      </c>
    </row>
    <row r="387" spans="1:107" x14ac:dyDescent="0.2">
      <c r="A387">
        <f>ROW(Source!A137)</f>
        <v>137</v>
      </c>
      <c r="B387">
        <v>68990560</v>
      </c>
      <c r="C387">
        <v>68992071</v>
      </c>
      <c r="D387">
        <v>53797541</v>
      </c>
      <c r="E387">
        <v>1</v>
      </c>
      <c r="F387">
        <v>1</v>
      </c>
      <c r="G387">
        <v>1</v>
      </c>
      <c r="H387">
        <v>3</v>
      </c>
      <c r="I387" t="s">
        <v>466</v>
      </c>
      <c r="J387" t="s">
        <v>468</v>
      </c>
      <c r="K387" t="s">
        <v>467</v>
      </c>
      <c r="L387">
        <v>1327</v>
      </c>
      <c r="N387">
        <v>1005</v>
      </c>
      <c r="O387" t="s">
        <v>46</v>
      </c>
      <c r="P387" t="s">
        <v>46</v>
      </c>
      <c r="Q387">
        <v>1</v>
      </c>
      <c r="W387">
        <v>0</v>
      </c>
      <c r="X387">
        <v>1035889047</v>
      </c>
      <c r="Y387">
        <v>75</v>
      </c>
      <c r="AA387">
        <v>2093.85</v>
      </c>
      <c r="AB387">
        <v>0</v>
      </c>
      <c r="AC387">
        <v>0</v>
      </c>
      <c r="AD387">
        <v>0</v>
      </c>
      <c r="AE387">
        <v>253.8</v>
      </c>
      <c r="AF387">
        <v>0</v>
      </c>
      <c r="AG387">
        <v>0</v>
      </c>
      <c r="AH387">
        <v>0</v>
      </c>
      <c r="AI387">
        <v>8.25</v>
      </c>
      <c r="AJ387">
        <v>1</v>
      </c>
      <c r="AK387">
        <v>1</v>
      </c>
      <c r="AL387">
        <v>1</v>
      </c>
      <c r="AN387">
        <v>0</v>
      </c>
      <c r="AO387">
        <v>0</v>
      </c>
      <c r="AP387">
        <v>0</v>
      </c>
      <c r="AQ387">
        <v>0</v>
      </c>
      <c r="AR387">
        <v>0</v>
      </c>
      <c r="AS387" t="s">
        <v>3</v>
      </c>
      <c r="AT387">
        <v>75</v>
      </c>
      <c r="AU387" t="s">
        <v>3</v>
      </c>
      <c r="AV387">
        <v>0</v>
      </c>
      <c r="AW387">
        <v>1</v>
      </c>
      <c r="AX387">
        <v>-1</v>
      </c>
      <c r="AY387">
        <v>0</v>
      </c>
      <c r="AZ387">
        <v>0</v>
      </c>
      <c r="BA387" t="s">
        <v>3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Y387*Source!I137</f>
        <v>3.3</v>
      </c>
      <c r="CY387">
        <f>AA387</f>
        <v>2093.85</v>
      </c>
      <c r="CZ387">
        <f>AE387</f>
        <v>253.8</v>
      </c>
      <c r="DA387">
        <f>AI387</f>
        <v>8.25</v>
      </c>
      <c r="DB387">
        <f>ROUND(ROUND(AT387*CZ387,2),2)</f>
        <v>19035</v>
      </c>
      <c r="DC387">
        <f>ROUND(ROUND(AT387*AG387,2),2)</f>
        <v>0</v>
      </c>
    </row>
    <row r="388" spans="1:107" x14ac:dyDescent="0.2">
      <c r="A388">
        <f>ROW(Source!A137)</f>
        <v>137</v>
      </c>
      <c r="B388">
        <v>68990560</v>
      </c>
      <c r="C388">
        <v>68992071</v>
      </c>
      <c r="D388">
        <v>53772671</v>
      </c>
      <c r="E388">
        <v>1</v>
      </c>
      <c r="F388">
        <v>1</v>
      </c>
      <c r="G388">
        <v>1</v>
      </c>
      <c r="H388">
        <v>3</v>
      </c>
      <c r="I388" t="s">
        <v>484</v>
      </c>
      <c r="J388" t="s">
        <v>486</v>
      </c>
      <c r="K388" t="s">
        <v>485</v>
      </c>
      <c r="L388">
        <v>1327</v>
      </c>
      <c r="N388">
        <v>1005</v>
      </c>
      <c r="O388" t="s">
        <v>46</v>
      </c>
      <c r="P388" t="s">
        <v>46</v>
      </c>
      <c r="Q388">
        <v>1</v>
      </c>
      <c r="W388">
        <v>0</v>
      </c>
      <c r="X388">
        <v>810631353</v>
      </c>
      <c r="Y388">
        <v>100</v>
      </c>
      <c r="AA388">
        <v>8077.52</v>
      </c>
      <c r="AB388">
        <v>0</v>
      </c>
      <c r="AC388">
        <v>0</v>
      </c>
      <c r="AD388">
        <v>0</v>
      </c>
      <c r="AE388">
        <v>2375.7399999999998</v>
      </c>
      <c r="AF388">
        <v>0</v>
      </c>
      <c r="AG388">
        <v>0</v>
      </c>
      <c r="AH388">
        <v>0</v>
      </c>
      <c r="AI388">
        <v>3.4</v>
      </c>
      <c r="AJ388">
        <v>1</v>
      </c>
      <c r="AK388">
        <v>1</v>
      </c>
      <c r="AL388">
        <v>1</v>
      </c>
      <c r="AN388">
        <v>0</v>
      </c>
      <c r="AO388">
        <v>0</v>
      </c>
      <c r="AP388">
        <v>0</v>
      </c>
      <c r="AQ388">
        <v>0</v>
      </c>
      <c r="AR388">
        <v>0</v>
      </c>
      <c r="AS388" t="s">
        <v>3</v>
      </c>
      <c r="AT388">
        <v>100</v>
      </c>
      <c r="AU388" t="s">
        <v>3</v>
      </c>
      <c r="AV388">
        <v>0</v>
      </c>
      <c r="AW388">
        <v>1</v>
      </c>
      <c r="AX388">
        <v>-1</v>
      </c>
      <c r="AY388">
        <v>0</v>
      </c>
      <c r="AZ388">
        <v>0</v>
      </c>
      <c r="BA388" t="s">
        <v>3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Y388*Source!I137</f>
        <v>4.3999999999999995</v>
      </c>
      <c r="CY388">
        <f>AA388</f>
        <v>8077.52</v>
      </c>
      <c r="CZ388">
        <f>AE388</f>
        <v>2375.7399999999998</v>
      </c>
      <c r="DA388">
        <f>AI388</f>
        <v>3.4</v>
      </c>
      <c r="DB388">
        <f>ROUND(ROUND(AT388*CZ388,2),2)</f>
        <v>237574</v>
      </c>
      <c r="DC388">
        <f>ROUND(ROUND(AT388*AG388,2),2)</f>
        <v>0</v>
      </c>
    </row>
    <row r="389" spans="1:107" x14ac:dyDescent="0.2">
      <c r="A389">
        <f>ROW(Source!A142)</f>
        <v>142</v>
      </c>
      <c r="B389">
        <v>68990560</v>
      </c>
      <c r="C389">
        <v>68992095</v>
      </c>
      <c r="D389">
        <v>37080781</v>
      </c>
      <c r="E389">
        <v>56</v>
      </c>
      <c r="F389">
        <v>1</v>
      </c>
      <c r="G389">
        <v>1</v>
      </c>
      <c r="H389">
        <v>1</v>
      </c>
      <c r="I389" t="s">
        <v>816</v>
      </c>
      <c r="J389" t="s">
        <v>3</v>
      </c>
      <c r="K389" t="s">
        <v>817</v>
      </c>
      <c r="L389">
        <v>1191</v>
      </c>
      <c r="N389">
        <v>1013</v>
      </c>
      <c r="O389" t="s">
        <v>818</v>
      </c>
      <c r="P389" t="s">
        <v>818</v>
      </c>
      <c r="Q389">
        <v>1</v>
      </c>
      <c r="W389">
        <v>0</v>
      </c>
      <c r="X389">
        <v>912892513</v>
      </c>
      <c r="Y389">
        <v>99.36</v>
      </c>
      <c r="AA389">
        <v>0</v>
      </c>
      <c r="AB389">
        <v>0</v>
      </c>
      <c r="AC389">
        <v>0</v>
      </c>
      <c r="AD389">
        <v>9.92</v>
      </c>
      <c r="AE389">
        <v>0</v>
      </c>
      <c r="AF389">
        <v>0</v>
      </c>
      <c r="AG389">
        <v>0</v>
      </c>
      <c r="AH389">
        <v>9.92</v>
      </c>
      <c r="AI389">
        <v>1</v>
      </c>
      <c r="AJ389">
        <v>1</v>
      </c>
      <c r="AK389">
        <v>1</v>
      </c>
      <c r="AL389">
        <v>1</v>
      </c>
      <c r="AN389">
        <v>0</v>
      </c>
      <c r="AO389">
        <v>1</v>
      </c>
      <c r="AP389">
        <v>1</v>
      </c>
      <c r="AQ389">
        <v>0</v>
      </c>
      <c r="AR389">
        <v>0</v>
      </c>
      <c r="AS389" t="s">
        <v>3</v>
      </c>
      <c r="AT389">
        <v>64</v>
      </c>
      <c r="AU389" t="s">
        <v>147</v>
      </c>
      <c r="AV389">
        <v>1</v>
      </c>
      <c r="AW389">
        <v>2</v>
      </c>
      <c r="AX389">
        <v>68992106</v>
      </c>
      <c r="AY389">
        <v>1</v>
      </c>
      <c r="AZ389">
        <v>0</v>
      </c>
      <c r="BA389">
        <v>383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Y389*Source!I142</f>
        <v>6.55776</v>
      </c>
      <c r="CY389">
        <f>AD389</f>
        <v>9.92</v>
      </c>
      <c r="CZ389">
        <f>AH389</f>
        <v>9.92</v>
      </c>
      <c r="DA389">
        <f>AL389</f>
        <v>1</v>
      </c>
      <c r="DB389">
        <f>ROUND(((ROUND(AT389*CZ389,2)*1.15)*1.35),2)</f>
        <v>985.65</v>
      </c>
      <c r="DC389">
        <f>ROUND(((ROUND(AT389*AG389,2)*1.15)*1.35),2)</f>
        <v>0</v>
      </c>
    </row>
    <row r="390" spans="1:107" x14ac:dyDescent="0.2">
      <c r="A390">
        <f>ROW(Source!A142)</f>
        <v>142</v>
      </c>
      <c r="B390">
        <v>68990560</v>
      </c>
      <c r="C390">
        <v>68992095</v>
      </c>
      <c r="D390">
        <v>37064876</v>
      </c>
      <c r="E390">
        <v>56</v>
      </c>
      <c r="F390">
        <v>1</v>
      </c>
      <c r="G390">
        <v>1</v>
      </c>
      <c r="H390">
        <v>1</v>
      </c>
      <c r="I390" t="s">
        <v>819</v>
      </c>
      <c r="J390" t="s">
        <v>3</v>
      </c>
      <c r="K390" t="s">
        <v>820</v>
      </c>
      <c r="L390">
        <v>1191</v>
      </c>
      <c r="N390">
        <v>1013</v>
      </c>
      <c r="O390" t="s">
        <v>818</v>
      </c>
      <c r="P390" t="s">
        <v>818</v>
      </c>
      <c r="Q390">
        <v>1</v>
      </c>
      <c r="W390">
        <v>0</v>
      </c>
      <c r="X390">
        <v>-1417349443</v>
      </c>
      <c r="Y390">
        <v>3.3750000000000002E-2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1</v>
      </c>
      <c r="AJ390">
        <v>1</v>
      </c>
      <c r="AK390">
        <v>1</v>
      </c>
      <c r="AL390">
        <v>1</v>
      </c>
      <c r="AN390">
        <v>0</v>
      </c>
      <c r="AO390">
        <v>1</v>
      </c>
      <c r="AP390">
        <v>1</v>
      </c>
      <c r="AQ390">
        <v>0</v>
      </c>
      <c r="AR390">
        <v>0</v>
      </c>
      <c r="AS390" t="s">
        <v>3</v>
      </c>
      <c r="AT390">
        <v>0.02</v>
      </c>
      <c r="AU390" t="s">
        <v>146</v>
      </c>
      <c r="AV390">
        <v>2</v>
      </c>
      <c r="AW390">
        <v>2</v>
      </c>
      <c r="AX390">
        <v>68992107</v>
      </c>
      <c r="AY390">
        <v>1</v>
      </c>
      <c r="AZ390">
        <v>0</v>
      </c>
      <c r="BA390">
        <v>384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Y390*Source!I142</f>
        <v>2.2275000000000003E-3</v>
      </c>
      <c r="CY390">
        <f>AD390</f>
        <v>0</v>
      </c>
      <c r="CZ390">
        <f>AH390</f>
        <v>0</v>
      </c>
      <c r="DA390">
        <f>AL390</f>
        <v>1</v>
      </c>
      <c r="DB390">
        <f>ROUND(((ROUND(AT390*CZ390,2)*1.25)*1.35),2)</f>
        <v>0</v>
      </c>
      <c r="DC390">
        <f>ROUND(((ROUND(AT390*AG390,2)*1.25)*1.35),2)</f>
        <v>0</v>
      </c>
    </row>
    <row r="391" spans="1:107" x14ac:dyDescent="0.2">
      <c r="A391">
        <f>ROW(Source!A142)</f>
        <v>142</v>
      </c>
      <c r="B391">
        <v>68990560</v>
      </c>
      <c r="C391">
        <v>68992095</v>
      </c>
      <c r="D391">
        <v>64401959</v>
      </c>
      <c r="E391">
        <v>1</v>
      </c>
      <c r="F391">
        <v>1</v>
      </c>
      <c r="G391">
        <v>1</v>
      </c>
      <c r="H391">
        <v>2</v>
      </c>
      <c r="I391" t="s">
        <v>859</v>
      </c>
      <c r="J391" t="s">
        <v>860</v>
      </c>
      <c r="K391" t="s">
        <v>861</v>
      </c>
      <c r="L391">
        <v>1368</v>
      </c>
      <c r="N391">
        <v>1011</v>
      </c>
      <c r="O391" t="s">
        <v>824</v>
      </c>
      <c r="P391" t="s">
        <v>824</v>
      </c>
      <c r="Q391">
        <v>1</v>
      </c>
      <c r="W391">
        <v>0</v>
      </c>
      <c r="X391">
        <v>10009565</v>
      </c>
      <c r="Y391">
        <v>1.6875000000000001E-2</v>
      </c>
      <c r="AA391">
        <v>0</v>
      </c>
      <c r="AB391">
        <v>465.15</v>
      </c>
      <c r="AC391">
        <v>454.28</v>
      </c>
      <c r="AD391">
        <v>0</v>
      </c>
      <c r="AE391">
        <v>0</v>
      </c>
      <c r="AF391">
        <v>31.26</v>
      </c>
      <c r="AG391">
        <v>13.5</v>
      </c>
      <c r="AH391">
        <v>0</v>
      </c>
      <c r="AI391">
        <v>1</v>
      </c>
      <c r="AJ391">
        <v>14.88</v>
      </c>
      <c r="AK391">
        <v>33.65</v>
      </c>
      <c r="AL391">
        <v>1</v>
      </c>
      <c r="AN391">
        <v>0</v>
      </c>
      <c r="AO391">
        <v>1</v>
      </c>
      <c r="AP391">
        <v>1</v>
      </c>
      <c r="AQ391">
        <v>0</v>
      </c>
      <c r="AR391">
        <v>0</v>
      </c>
      <c r="AS391" t="s">
        <v>3</v>
      </c>
      <c r="AT391">
        <v>0.01</v>
      </c>
      <c r="AU391" t="s">
        <v>146</v>
      </c>
      <c r="AV391">
        <v>0</v>
      </c>
      <c r="AW391">
        <v>2</v>
      </c>
      <c r="AX391">
        <v>68992108</v>
      </c>
      <c r="AY391">
        <v>1</v>
      </c>
      <c r="AZ391">
        <v>0</v>
      </c>
      <c r="BA391">
        <v>385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Y391*Source!I142</f>
        <v>1.1137500000000002E-3</v>
      </c>
      <c r="CY391">
        <f>AB391</f>
        <v>465.15</v>
      </c>
      <c r="CZ391">
        <f>AF391</f>
        <v>31.26</v>
      </c>
      <c r="DA391">
        <f>AJ391</f>
        <v>14.88</v>
      </c>
      <c r="DB391">
        <f>ROUND(((ROUND(AT391*CZ391,2)*1.25)*1.35),2)</f>
        <v>0.52</v>
      </c>
      <c r="DC391">
        <f>ROUND(((ROUND(AT391*AG391,2)*1.25)*1.35),2)</f>
        <v>0.24</v>
      </c>
    </row>
    <row r="392" spans="1:107" x14ac:dyDescent="0.2">
      <c r="A392">
        <f>ROW(Source!A142)</f>
        <v>142</v>
      </c>
      <c r="B392">
        <v>68990560</v>
      </c>
      <c r="C392">
        <v>68992095</v>
      </c>
      <c r="D392">
        <v>64402691</v>
      </c>
      <c r="E392">
        <v>1</v>
      </c>
      <c r="F392">
        <v>1</v>
      </c>
      <c r="G392">
        <v>1</v>
      </c>
      <c r="H392">
        <v>2</v>
      </c>
      <c r="I392" t="s">
        <v>825</v>
      </c>
      <c r="J392" t="s">
        <v>826</v>
      </c>
      <c r="K392" t="s">
        <v>827</v>
      </c>
      <c r="L392">
        <v>1368</v>
      </c>
      <c r="N392">
        <v>1011</v>
      </c>
      <c r="O392" t="s">
        <v>824</v>
      </c>
      <c r="P392" t="s">
        <v>824</v>
      </c>
      <c r="Q392">
        <v>1</v>
      </c>
      <c r="W392">
        <v>0</v>
      </c>
      <c r="X392">
        <v>-841254546</v>
      </c>
      <c r="Y392">
        <v>1.6875000000000001E-2</v>
      </c>
      <c r="AA392">
        <v>0</v>
      </c>
      <c r="AB392">
        <v>776.04</v>
      </c>
      <c r="AC392">
        <v>390.34</v>
      </c>
      <c r="AD392">
        <v>0</v>
      </c>
      <c r="AE392">
        <v>0</v>
      </c>
      <c r="AF392">
        <v>65.709999999999994</v>
      </c>
      <c r="AG392">
        <v>11.6</v>
      </c>
      <c r="AH392">
        <v>0</v>
      </c>
      <c r="AI392">
        <v>1</v>
      </c>
      <c r="AJ392">
        <v>11.81</v>
      </c>
      <c r="AK392">
        <v>33.65</v>
      </c>
      <c r="AL392">
        <v>1</v>
      </c>
      <c r="AN392">
        <v>0</v>
      </c>
      <c r="AO392">
        <v>1</v>
      </c>
      <c r="AP392">
        <v>1</v>
      </c>
      <c r="AQ392">
        <v>0</v>
      </c>
      <c r="AR392">
        <v>0</v>
      </c>
      <c r="AS392" t="s">
        <v>3</v>
      </c>
      <c r="AT392">
        <v>0.01</v>
      </c>
      <c r="AU392" t="s">
        <v>146</v>
      </c>
      <c r="AV392">
        <v>0</v>
      </c>
      <c r="AW392">
        <v>2</v>
      </c>
      <c r="AX392">
        <v>68992109</v>
      </c>
      <c r="AY392">
        <v>1</v>
      </c>
      <c r="AZ392">
        <v>0</v>
      </c>
      <c r="BA392">
        <v>386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Y392*Source!I142</f>
        <v>1.1137500000000002E-3</v>
      </c>
      <c r="CY392">
        <f>AB392</f>
        <v>776.04</v>
      </c>
      <c r="CZ392">
        <f>AF392</f>
        <v>65.709999999999994</v>
      </c>
      <c r="DA392">
        <f>AJ392</f>
        <v>11.81</v>
      </c>
      <c r="DB392">
        <f>ROUND(((ROUND(AT392*CZ392,2)*1.25)*1.35),2)</f>
        <v>1.1100000000000001</v>
      </c>
      <c r="DC392">
        <f>ROUND(((ROUND(AT392*AG392,2)*1.25)*1.35),2)</f>
        <v>0.2</v>
      </c>
    </row>
    <row r="393" spans="1:107" x14ac:dyDescent="0.2">
      <c r="A393">
        <f>ROW(Source!A142)</f>
        <v>142</v>
      </c>
      <c r="B393">
        <v>68990560</v>
      </c>
      <c r="C393">
        <v>68992095</v>
      </c>
      <c r="D393">
        <v>64252424</v>
      </c>
      <c r="E393">
        <v>1</v>
      </c>
      <c r="F393">
        <v>1</v>
      </c>
      <c r="G393">
        <v>1</v>
      </c>
      <c r="H393">
        <v>3</v>
      </c>
      <c r="I393" t="s">
        <v>1190</v>
      </c>
      <c r="J393" t="s">
        <v>1191</v>
      </c>
      <c r="K393" t="s">
        <v>1192</v>
      </c>
      <c r="L393">
        <v>1327</v>
      </c>
      <c r="N393">
        <v>1005</v>
      </c>
      <c r="O393" t="s">
        <v>46</v>
      </c>
      <c r="P393" t="s">
        <v>46</v>
      </c>
      <c r="Q393">
        <v>1</v>
      </c>
      <c r="W393">
        <v>0</v>
      </c>
      <c r="X393">
        <v>1615245549</v>
      </c>
      <c r="Y393">
        <v>0</v>
      </c>
      <c r="AA393">
        <v>108.87</v>
      </c>
      <c r="AB393">
        <v>0</v>
      </c>
      <c r="AC393">
        <v>0</v>
      </c>
      <c r="AD393">
        <v>0</v>
      </c>
      <c r="AE393">
        <v>24.8</v>
      </c>
      <c r="AF393">
        <v>0</v>
      </c>
      <c r="AG393">
        <v>0</v>
      </c>
      <c r="AH393">
        <v>0</v>
      </c>
      <c r="AI393">
        <v>4.3899999999999997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1</v>
      </c>
      <c r="AQ393">
        <v>0</v>
      </c>
      <c r="AR393">
        <v>0</v>
      </c>
      <c r="AS393" t="s">
        <v>3</v>
      </c>
      <c r="AT393">
        <v>107</v>
      </c>
      <c r="AU393" t="s">
        <v>297</v>
      </c>
      <c r="AV393">
        <v>0</v>
      </c>
      <c r="AW393">
        <v>2</v>
      </c>
      <c r="AX393">
        <v>68992110</v>
      </c>
      <c r="AY393">
        <v>1</v>
      </c>
      <c r="AZ393">
        <v>0</v>
      </c>
      <c r="BA393">
        <v>387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Y393*Source!I142</f>
        <v>0</v>
      </c>
      <c r="CY393">
        <f t="shared" ref="CY393:CY398" si="74">AA393</f>
        <v>108.87</v>
      </c>
      <c r="CZ393">
        <f t="shared" ref="CZ393:CZ398" si="75">AE393</f>
        <v>24.8</v>
      </c>
      <c r="DA393">
        <f t="shared" ref="DA393:DA398" si="76">AI393</f>
        <v>4.3899999999999997</v>
      </c>
      <c r="DB393">
        <f>ROUND((ROUND(AT393*CZ393,2)*0),2)</f>
        <v>0</v>
      </c>
      <c r="DC393">
        <f>ROUND((ROUND(AT393*AG393,2)*0),2)</f>
        <v>0</v>
      </c>
    </row>
    <row r="394" spans="1:107" x14ac:dyDescent="0.2">
      <c r="A394">
        <f>ROW(Source!A142)</f>
        <v>142</v>
      </c>
      <c r="B394">
        <v>68990560</v>
      </c>
      <c r="C394">
        <v>68992095</v>
      </c>
      <c r="D394">
        <v>64256200</v>
      </c>
      <c r="E394">
        <v>1</v>
      </c>
      <c r="F394">
        <v>1</v>
      </c>
      <c r="G394">
        <v>1</v>
      </c>
      <c r="H394">
        <v>3</v>
      </c>
      <c r="I394" t="s">
        <v>1034</v>
      </c>
      <c r="J394" t="s">
        <v>1035</v>
      </c>
      <c r="K394" t="s">
        <v>1036</v>
      </c>
      <c r="L394">
        <v>1346</v>
      </c>
      <c r="N394">
        <v>1009</v>
      </c>
      <c r="O394" t="s">
        <v>170</v>
      </c>
      <c r="P394" t="s">
        <v>170</v>
      </c>
      <c r="Q394">
        <v>1</v>
      </c>
      <c r="W394">
        <v>0</v>
      </c>
      <c r="X394">
        <v>1103561696</v>
      </c>
      <c r="Y394">
        <v>0</v>
      </c>
      <c r="AA394">
        <v>48.18</v>
      </c>
      <c r="AB394">
        <v>0</v>
      </c>
      <c r="AC394">
        <v>0</v>
      </c>
      <c r="AD394">
        <v>0</v>
      </c>
      <c r="AE394">
        <v>1.82</v>
      </c>
      <c r="AF394">
        <v>0</v>
      </c>
      <c r="AG394">
        <v>0</v>
      </c>
      <c r="AH394">
        <v>0</v>
      </c>
      <c r="AI394">
        <v>26.47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1</v>
      </c>
      <c r="AQ394">
        <v>0</v>
      </c>
      <c r="AR394">
        <v>0</v>
      </c>
      <c r="AS394" t="s">
        <v>3</v>
      </c>
      <c r="AT394">
        <v>0.15</v>
      </c>
      <c r="AU394" t="s">
        <v>297</v>
      </c>
      <c r="AV394">
        <v>0</v>
      </c>
      <c r="AW394">
        <v>2</v>
      </c>
      <c r="AX394">
        <v>68992111</v>
      </c>
      <c r="AY394">
        <v>1</v>
      </c>
      <c r="AZ394">
        <v>0</v>
      </c>
      <c r="BA394">
        <v>388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Y394*Source!I142</f>
        <v>0</v>
      </c>
      <c r="CY394">
        <f t="shared" si="74"/>
        <v>48.18</v>
      </c>
      <c r="CZ394">
        <f t="shared" si="75"/>
        <v>1.82</v>
      </c>
      <c r="DA394">
        <f t="shared" si="76"/>
        <v>26.47</v>
      </c>
      <c r="DB394">
        <f>ROUND((ROUND(AT394*CZ394,2)*0),2)</f>
        <v>0</v>
      </c>
      <c r="DC394">
        <f>ROUND((ROUND(AT394*AG394,2)*0),2)</f>
        <v>0</v>
      </c>
    </row>
    <row r="395" spans="1:107" x14ac:dyDescent="0.2">
      <c r="A395">
        <f>ROW(Source!A142)</f>
        <v>142</v>
      </c>
      <c r="B395">
        <v>68990560</v>
      </c>
      <c r="C395">
        <v>68992095</v>
      </c>
      <c r="D395">
        <v>64283091</v>
      </c>
      <c r="E395">
        <v>1</v>
      </c>
      <c r="F395">
        <v>1</v>
      </c>
      <c r="G395">
        <v>1</v>
      </c>
      <c r="H395">
        <v>3</v>
      </c>
      <c r="I395" t="s">
        <v>1193</v>
      </c>
      <c r="J395" t="s">
        <v>1194</v>
      </c>
      <c r="K395" t="s">
        <v>1195</v>
      </c>
      <c r="L395">
        <v>1348</v>
      </c>
      <c r="N395">
        <v>1009</v>
      </c>
      <c r="O395" t="s">
        <v>71</v>
      </c>
      <c r="P395" t="s">
        <v>71</v>
      </c>
      <c r="Q395">
        <v>1000</v>
      </c>
      <c r="W395">
        <v>0</v>
      </c>
      <c r="X395">
        <v>-1027700813</v>
      </c>
      <c r="Y395">
        <v>0</v>
      </c>
      <c r="AA395">
        <v>106190</v>
      </c>
      <c r="AB395">
        <v>0</v>
      </c>
      <c r="AC395">
        <v>0</v>
      </c>
      <c r="AD395">
        <v>0</v>
      </c>
      <c r="AE395">
        <v>18500</v>
      </c>
      <c r="AF395">
        <v>0</v>
      </c>
      <c r="AG395">
        <v>0</v>
      </c>
      <c r="AH395">
        <v>0</v>
      </c>
      <c r="AI395">
        <v>5.74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1</v>
      </c>
      <c r="AQ395">
        <v>0</v>
      </c>
      <c r="AR395">
        <v>0</v>
      </c>
      <c r="AS395" t="s">
        <v>3</v>
      </c>
      <c r="AT395">
        <v>7.0000000000000001E-3</v>
      </c>
      <c r="AU395" t="s">
        <v>297</v>
      </c>
      <c r="AV395">
        <v>0</v>
      </c>
      <c r="AW395">
        <v>2</v>
      </c>
      <c r="AX395">
        <v>68992112</v>
      </c>
      <c r="AY395">
        <v>1</v>
      </c>
      <c r="AZ395">
        <v>0</v>
      </c>
      <c r="BA395">
        <v>389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Y395*Source!I142</f>
        <v>0</v>
      </c>
      <c r="CY395">
        <f t="shared" si="74"/>
        <v>106190</v>
      </c>
      <c r="CZ395">
        <f t="shared" si="75"/>
        <v>18500</v>
      </c>
      <c r="DA395">
        <f t="shared" si="76"/>
        <v>5.74</v>
      </c>
      <c r="DB395">
        <f>ROUND((ROUND(AT395*CZ395,2)*0),2)</f>
        <v>0</v>
      </c>
      <c r="DC395">
        <f>ROUND((ROUND(AT395*AG395,2)*0),2)</f>
        <v>0</v>
      </c>
    </row>
    <row r="396" spans="1:107" x14ac:dyDescent="0.2">
      <c r="A396">
        <f>ROW(Source!A142)</f>
        <v>142</v>
      </c>
      <c r="B396">
        <v>68990560</v>
      </c>
      <c r="C396">
        <v>68992095</v>
      </c>
      <c r="D396">
        <v>53866749</v>
      </c>
      <c r="E396">
        <v>1</v>
      </c>
      <c r="F396">
        <v>1</v>
      </c>
      <c r="G396">
        <v>1</v>
      </c>
      <c r="H396">
        <v>3</v>
      </c>
      <c r="I396" t="s">
        <v>494</v>
      </c>
      <c r="J396" t="s">
        <v>496</v>
      </c>
      <c r="K396" t="s">
        <v>495</v>
      </c>
      <c r="L396">
        <v>1327</v>
      </c>
      <c r="N396">
        <v>1005</v>
      </c>
      <c r="O396" t="s">
        <v>46</v>
      </c>
      <c r="P396" t="s">
        <v>46</v>
      </c>
      <c r="Q396">
        <v>1</v>
      </c>
      <c r="W396">
        <v>0</v>
      </c>
      <c r="X396">
        <v>723932760</v>
      </c>
      <c r="Y396">
        <v>100</v>
      </c>
      <c r="AA396">
        <v>1602.72</v>
      </c>
      <c r="AB396">
        <v>0</v>
      </c>
      <c r="AC396">
        <v>0</v>
      </c>
      <c r="AD396">
        <v>0</v>
      </c>
      <c r="AE396">
        <v>756</v>
      </c>
      <c r="AF396">
        <v>0</v>
      </c>
      <c r="AG396">
        <v>0</v>
      </c>
      <c r="AH396">
        <v>0</v>
      </c>
      <c r="AI396">
        <v>2.12</v>
      </c>
      <c r="AJ396">
        <v>1</v>
      </c>
      <c r="AK396">
        <v>1</v>
      </c>
      <c r="AL396">
        <v>1</v>
      </c>
      <c r="AN396">
        <v>0</v>
      </c>
      <c r="AO396">
        <v>0</v>
      </c>
      <c r="AP396">
        <v>1</v>
      </c>
      <c r="AQ396">
        <v>0</v>
      </c>
      <c r="AR396">
        <v>0</v>
      </c>
      <c r="AS396" t="s">
        <v>3</v>
      </c>
      <c r="AT396">
        <v>100</v>
      </c>
      <c r="AU396" t="s">
        <v>3</v>
      </c>
      <c r="AV396">
        <v>0</v>
      </c>
      <c r="AW396">
        <v>1</v>
      </c>
      <c r="AX396">
        <v>-1</v>
      </c>
      <c r="AY396">
        <v>0</v>
      </c>
      <c r="AZ396">
        <v>0</v>
      </c>
      <c r="BA396" t="s">
        <v>3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Y396*Source!I142</f>
        <v>6.6000000000000005</v>
      </c>
      <c r="CY396">
        <f t="shared" si="74"/>
        <v>1602.72</v>
      </c>
      <c r="CZ396">
        <f t="shared" si="75"/>
        <v>756</v>
      </c>
      <c r="DA396">
        <f t="shared" si="76"/>
        <v>2.12</v>
      </c>
      <c r="DB396">
        <f>ROUND(ROUND(AT396*CZ396,2),2)</f>
        <v>75600</v>
      </c>
      <c r="DC396">
        <f>ROUND(ROUND(AT396*AG396,2),2)</f>
        <v>0</v>
      </c>
    </row>
    <row r="397" spans="1:107" x14ac:dyDescent="0.2">
      <c r="A397">
        <f>ROW(Source!A142)</f>
        <v>142</v>
      </c>
      <c r="B397">
        <v>68990560</v>
      </c>
      <c r="C397">
        <v>68992095</v>
      </c>
      <c r="D397">
        <v>64285099</v>
      </c>
      <c r="E397">
        <v>1</v>
      </c>
      <c r="F397">
        <v>1</v>
      </c>
      <c r="G397">
        <v>1</v>
      </c>
      <c r="H397">
        <v>3</v>
      </c>
      <c r="I397" t="s">
        <v>1196</v>
      </c>
      <c r="J397" t="s">
        <v>1197</v>
      </c>
      <c r="K397" t="s">
        <v>1198</v>
      </c>
      <c r="L397">
        <v>1346</v>
      </c>
      <c r="N397">
        <v>1009</v>
      </c>
      <c r="O397" t="s">
        <v>170</v>
      </c>
      <c r="P397" t="s">
        <v>170</v>
      </c>
      <c r="Q397">
        <v>1</v>
      </c>
      <c r="W397">
        <v>0</v>
      </c>
      <c r="X397">
        <v>-1323530959</v>
      </c>
      <c r="Y397">
        <v>0</v>
      </c>
      <c r="AA397">
        <v>73.3</v>
      </c>
      <c r="AB397">
        <v>0</v>
      </c>
      <c r="AC397">
        <v>0</v>
      </c>
      <c r="AD397">
        <v>0</v>
      </c>
      <c r="AE397">
        <v>6.67</v>
      </c>
      <c r="AF397">
        <v>0</v>
      </c>
      <c r="AG397">
        <v>0</v>
      </c>
      <c r="AH397">
        <v>0</v>
      </c>
      <c r="AI397">
        <v>10.99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1</v>
      </c>
      <c r="AQ397">
        <v>0</v>
      </c>
      <c r="AR397">
        <v>0</v>
      </c>
      <c r="AS397" t="s">
        <v>3</v>
      </c>
      <c r="AT397">
        <v>13</v>
      </c>
      <c r="AU397" t="s">
        <v>297</v>
      </c>
      <c r="AV397">
        <v>0</v>
      </c>
      <c r="AW397">
        <v>2</v>
      </c>
      <c r="AX397">
        <v>68992113</v>
      </c>
      <c r="AY397">
        <v>1</v>
      </c>
      <c r="AZ397">
        <v>0</v>
      </c>
      <c r="BA397">
        <v>390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Y397*Source!I142</f>
        <v>0</v>
      </c>
      <c r="CY397">
        <f t="shared" si="74"/>
        <v>73.3</v>
      </c>
      <c r="CZ397">
        <f t="shared" si="75"/>
        <v>6.67</v>
      </c>
      <c r="DA397">
        <f t="shared" si="76"/>
        <v>10.99</v>
      </c>
      <c r="DB397">
        <f>ROUND((ROUND(AT397*CZ397,2)*0),2)</f>
        <v>0</v>
      </c>
      <c r="DC397">
        <f>ROUND((ROUND(AT397*AG397,2)*0),2)</f>
        <v>0</v>
      </c>
    </row>
    <row r="398" spans="1:107" x14ac:dyDescent="0.2">
      <c r="A398">
        <f>ROW(Source!A142)</f>
        <v>142</v>
      </c>
      <c r="B398">
        <v>68990560</v>
      </c>
      <c r="C398">
        <v>68992095</v>
      </c>
      <c r="D398">
        <v>64285122</v>
      </c>
      <c r="E398">
        <v>1</v>
      </c>
      <c r="F398">
        <v>1</v>
      </c>
      <c r="G398">
        <v>1</v>
      </c>
      <c r="H398">
        <v>3</v>
      </c>
      <c r="I398" t="s">
        <v>1199</v>
      </c>
      <c r="J398" t="s">
        <v>1200</v>
      </c>
      <c r="K398" t="s">
        <v>1201</v>
      </c>
      <c r="L398">
        <v>1348</v>
      </c>
      <c r="N398">
        <v>1009</v>
      </c>
      <c r="O398" t="s">
        <v>71</v>
      </c>
      <c r="P398" t="s">
        <v>71</v>
      </c>
      <c r="Q398">
        <v>1000</v>
      </c>
      <c r="W398">
        <v>0</v>
      </c>
      <c r="X398">
        <v>1660710595</v>
      </c>
      <c r="Y398">
        <v>0</v>
      </c>
      <c r="AA398">
        <v>17777.16</v>
      </c>
      <c r="AB398">
        <v>0</v>
      </c>
      <c r="AC398">
        <v>0</v>
      </c>
      <c r="AD398">
        <v>0</v>
      </c>
      <c r="AE398">
        <v>4294</v>
      </c>
      <c r="AF398">
        <v>0</v>
      </c>
      <c r="AG398">
        <v>0</v>
      </c>
      <c r="AH398">
        <v>0</v>
      </c>
      <c r="AI398">
        <v>4.1399999999999997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1</v>
      </c>
      <c r="AQ398">
        <v>0</v>
      </c>
      <c r="AR398">
        <v>0</v>
      </c>
      <c r="AS398" t="s">
        <v>3</v>
      </c>
      <c r="AT398">
        <v>5.0000000000000001E-3</v>
      </c>
      <c r="AU398" t="s">
        <v>297</v>
      </c>
      <c r="AV398">
        <v>0</v>
      </c>
      <c r="AW398">
        <v>2</v>
      </c>
      <c r="AX398">
        <v>68992114</v>
      </c>
      <c r="AY398">
        <v>1</v>
      </c>
      <c r="AZ398">
        <v>0</v>
      </c>
      <c r="BA398">
        <v>391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Y398*Source!I142</f>
        <v>0</v>
      </c>
      <c r="CY398">
        <f t="shared" si="74"/>
        <v>17777.16</v>
      </c>
      <c r="CZ398">
        <f t="shared" si="75"/>
        <v>4294</v>
      </c>
      <c r="DA398">
        <f t="shared" si="76"/>
        <v>4.1399999999999997</v>
      </c>
      <c r="DB398">
        <f>ROUND((ROUND(AT398*CZ398,2)*0),2)</f>
        <v>0</v>
      </c>
      <c r="DC398">
        <f>ROUND((ROUND(AT398*AG398,2)*0),2)</f>
        <v>0</v>
      </c>
    </row>
    <row r="399" spans="1:107" x14ac:dyDescent="0.2">
      <c r="A399">
        <f>ROW(Source!A144)</f>
        <v>144</v>
      </c>
      <c r="B399">
        <v>68990560</v>
      </c>
      <c r="C399">
        <v>68992118</v>
      </c>
      <c r="D399">
        <v>37080781</v>
      </c>
      <c r="E399">
        <v>56</v>
      </c>
      <c r="F399">
        <v>1</v>
      </c>
      <c r="G399">
        <v>1</v>
      </c>
      <c r="H399">
        <v>1</v>
      </c>
      <c r="I399" t="s">
        <v>816</v>
      </c>
      <c r="J399" t="s">
        <v>3</v>
      </c>
      <c r="K399" t="s">
        <v>817</v>
      </c>
      <c r="L399">
        <v>1191</v>
      </c>
      <c r="N399">
        <v>1013</v>
      </c>
      <c r="O399" t="s">
        <v>818</v>
      </c>
      <c r="P399" t="s">
        <v>818</v>
      </c>
      <c r="Q399">
        <v>1</v>
      </c>
      <c r="W399">
        <v>0</v>
      </c>
      <c r="X399">
        <v>912892513</v>
      </c>
      <c r="Y399">
        <v>92.123999999999995</v>
      </c>
      <c r="AA399">
        <v>0</v>
      </c>
      <c r="AB399">
        <v>0</v>
      </c>
      <c r="AC399">
        <v>0</v>
      </c>
      <c r="AD399">
        <v>9.92</v>
      </c>
      <c r="AE399">
        <v>0</v>
      </c>
      <c r="AF399">
        <v>0</v>
      </c>
      <c r="AG399">
        <v>0</v>
      </c>
      <c r="AH399">
        <v>9.92</v>
      </c>
      <c r="AI399">
        <v>1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1</v>
      </c>
      <c r="AQ399">
        <v>0</v>
      </c>
      <c r="AR399">
        <v>0</v>
      </c>
      <c r="AS399" t="s">
        <v>3</v>
      </c>
      <c r="AT399">
        <v>68.239999999999995</v>
      </c>
      <c r="AU399" t="s">
        <v>200</v>
      </c>
      <c r="AV399">
        <v>1</v>
      </c>
      <c r="AW399">
        <v>2</v>
      </c>
      <c r="AX399">
        <v>68992128</v>
      </c>
      <c r="AY399">
        <v>1</v>
      </c>
      <c r="AZ399">
        <v>0</v>
      </c>
      <c r="BA399">
        <v>392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Y399*Source!I144</f>
        <v>1.8424799999999999</v>
      </c>
      <c r="CY399">
        <f>AD399</f>
        <v>9.92</v>
      </c>
      <c r="CZ399">
        <f>AH399</f>
        <v>9.92</v>
      </c>
      <c r="DA399">
        <f>AL399</f>
        <v>1</v>
      </c>
      <c r="DB399">
        <f>ROUND((ROUND(AT399*CZ399,2)*1.35),2)</f>
        <v>913.87</v>
      </c>
      <c r="DC399">
        <f>ROUND((ROUND(AT399*AG399,2)*1.35),2)</f>
        <v>0</v>
      </c>
    </row>
    <row r="400" spans="1:107" x14ac:dyDescent="0.2">
      <c r="A400">
        <f>ROW(Source!A144)</f>
        <v>144</v>
      </c>
      <c r="B400">
        <v>68990560</v>
      </c>
      <c r="C400">
        <v>68992118</v>
      </c>
      <c r="D400">
        <v>37064876</v>
      </c>
      <c r="E400">
        <v>56</v>
      </c>
      <c r="F400">
        <v>1</v>
      </c>
      <c r="G400">
        <v>1</v>
      </c>
      <c r="H400">
        <v>1</v>
      </c>
      <c r="I400" t="s">
        <v>819</v>
      </c>
      <c r="J400" t="s">
        <v>3</v>
      </c>
      <c r="K400" t="s">
        <v>820</v>
      </c>
      <c r="L400">
        <v>1191</v>
      </c>
      <c r="N400">
        <v>1013</v>
      </c>
      <c r="O400" t="s">
        <v>818</v>
      </c>
      <c r="P400" t="s">
        <v>818</v>
      </c>
      <c r="Q400">
        <v>1</v>
      </c>
      <c r="W400">
        <v>0</v>
      </c>
      <c r="X400">
        <v>-1417349443</v>
      </c>
      <c r="Y400">
        <v>0.27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1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1</v>
      </c>
      <c r="AQ400">
        <v>0</v>
      </c>
      <c r="AR400">
        <v>0</v>
      </c>
      <c r="AS400" t="s">
        <v>3</v>
      </c>
      <c r="AT400">
        <v>0.2</v>
      </c>
      <c r="AU400" t="s">
        <v>200</v>
      </c>
      <c r="AV400">
        <v>2</v>
      </c>
      <c r="AW400">
        <v>2</v>
      </c>
      <c r="AX400">
        <v>68992129</v>
      </c>
      <c r="AY400">
        <v>1</v>
      </c>
      <c r="AZ400">
        <v>0</v>
      </c>
      <c r="BA400">
        <v>393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Y400*Source!I144</f>
        <v>5.4000000000000003E-3</v>
      </c>
      <c r="CY400">
        <f>AD400</f>
        <v>0</v>
      </c>
      <c r="CZ400">
        <f>AH400</f>
        <v>0</v>
      </c>
      <c r="DA400">
        <f>AL400</f>
        <v>1</v>
      </c>
      <c r="DB400">
        <f>ROUND((ROUND(AT400*CZ400,2)*1.35),2)</f>
        <v>0</v>
      </c>
      <c r="DC400">
        <f>ROUND((ROUND(AT400*AG400,2)*1.35),2)</f>
        <v>0</v>
      </c>
    </row>
    <row r="401" spans="1:107" x14ac:dyDescent="0.2">
      <c r="A401">
        <f>ROW(Source!A144)</f>
        <v>144</v>
      </c>
      <c r="B401">
        <v>68990560</v>
      </c>
      <c r="C401">
        <v>68992118</v>
      </c>
      <c r="D401">
        <v>64401763</v>
      </c>
      <c r="E401">
        <v>1</v>
      </c>
      <c r="F401">
        <v>1</v>
      </c>
      <c r="G401">
        <v>1</v>
      </c>
      <c r="H401">
        <v>2</v>
      </c>
      <c r="I401" t="s">
        <v>821</v>
      </c>
      <c r="J401" t="s">
        <v>822</v>
      </c>
      <c r="K401" t="s">
        <v>823</v>
      </c>
      <c r="L401">
        <v>1368</v>
      </c>
      <c r="N401">
        <v>1011</v>
      </c>
      <c r="O401" t="s">
        <v>824</v>
      </c>
      <c r="P401" t="s">
        <v>824</v>
      </c>
      <c r="Q401">
        <v>1</v>
      </c>
      <c r="W401">
        <v>0</v>
      </c>
      <c r="X401">
        <v>-1346461524</v>
      </c>
      <c r="Y401">
        <v>0.13500000000000001</v>
      </c>
      <c r="AA401">
        <v>0</v>
      </c>
      <c r="AB401">
        <v>1074.3699999999999</v>
      </c>
      <c r="AC401">
        <v>454.28</v>
      </c>
      <c r="AD401">
        <v>0</v>
      </c>
      <c r="AE401">
        <v>0</v>
      </c>
      <c r="AF401">
        <v>115.4</v>
      </c>
      <c r="AG401">
        <v>13.5</v>
      </c>
      <c r="AH401">
        <v>0</v>
      </c>
      <c r="AI401">
        <v>1</v>
      </c>
      <c r="AJ401">
        <v>9.31</v>
      </c>
      <c r="AK401">
        <v>33.65</v>
      </c>
      <c r="AL401">
        <v>1</v>
      </c>
      <c r="AN401">
        <v>0</v>
      </c>
      <c r="AO401">
        <v>1</v>
      </c>
      <c r="AP401">
        <v>1</v>
      </c>
      <c r="AQ401">
        <v>0</v>
      </c>
      <c r="AR401">
        <v>0</v>
      </c>
      <c r="AS401" t="s">
        <v>3</v>
      </c>
      <c r="AT401">
        <v>0.1</v>
      </c>
      <c r="AU401" t="s">
        <v>200</v>
      </c>
      <c r="AV401">
        <v>0</v>
      </c>
      <c r="AW401">
        <v>2</v>
      </c>
      <c r="AX401">
        <v>68992130</v>
      </c>
      <c r="AY401">
        <v>1</v>
      </c>
      <c r="AZ401">
        <v>0</v>
      </c>
      <c r="BA401">
        <v>394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Y401*Source!I144</f>
        <v>2.7000000000000001E-3</v>
      </c>
      <c r="CY401">
        <f>AB401</f>
        <v>1074.3699999999999</v>
      </c>
      <c r="CZ401">
        <f>AF401</f>
        <v>115.4</v>
      </c>
      <c r="DA401">
        <f>AJ401</f>
        <v>9.31</v>
      </c>
      <c r="DB401">
        <f>ROUND((ROUND(AT401*CZ401,2)*1.35),2)</f>
        <v>15.58</v>
      </c>
      <c r="DC401">
        <f>ROUND((ROUND(AT401*AG401,2)*1.35),2)</f>
        <v>1.82</v>
      </c>
    </row>
    <row r="402" spans="1:107" x14ac:dyDescent="0.2">
      <c r="A402">
        <f>ROW(Source!A144)</f>
        <v>144</v>
      </c>
      <c r="B402">
        <v>68990560</v>
      </c>
      <c r="C402">
        <v>68992118</v>
      </c>
      <c r="D402">
        <v>64402691</v>
      </c>
      <c r="E402">
        <v>1</v>
      </c>
      <c r="F402">
        <v>1</v>
      </c>
      <c r="G402">
        <v>1</v>
      </c>
      <c r="H402">
        <v>2</v>
      </c>
      <c r="I402" t="s">
        <v>825</v>
      </c>
      <c r="J402" t="s">
        <v>826</v>
      </c>
      <c r="K402" t="s">
        <v>827</v>
      </c>
      <c r="L402">
        <v>1368</v>
      </c>
      <c r="N402">
        <v>1011</v>
      </c>
      <c r="O402" t="s">
        <v>824</v>
      </c>
      <c r="P402" t="s">
        <v>824</v>
      </c>
      <c r="Q402">
        <v>1</v>
      </c>
      <c r="W402">
        <v>0</v>
      </c>
      <c r="X402">
        <v>-841254546</v>
      </c>
      <c r="Y402">
        <v>0.13500000000000001</v>
      </c>
      <c r="AA402">
        <v>0</v>
      </c>
      <c r="AB402">
        <v>776.04</v>
      </c>
      <c r="AC402">
        <v>390.34</v>
      </c>
      <c r="AD402">
        <v>0</v>
      </c>
      <c r="AE402">
        <v>0</v>
      </c>
      <c r="AF402">
        <v>65.709999999999994</v>
      </c>
      <c r="AG402">
        <v>11.6</v>
      </c>
      <c r="AH402">
        <v>0</v>
      </c>
      <c r="AI402">
        <v>1</v>
      </c>
      <c r="AJ402">
        <v>11.81</v>
      </c>
      <c r="AK402">
        <v>33.65</v>
      </c>
      <c r="AL402">
        <v>1</v>
      </c>
      <c r="AN402">
        <v>0</v>
      </c>
      <c r="AO402">
        <v>1</v>
      </c>
      <c r="AP402">
        <v>1</v>
      </c>
      <c r="AQ402">
        <v>0</v>
      </c>
      <c r="AR402">
        <v>0</v>
      </c>
      <c r="AS402" t="s">
        <v>3</v>
      </c>
      <c r="AT402">
        <v>0.1</v>
      </c>
      <c r="AU402" t="s">
        <v>200</v>
      </c>
      <c r="AV402">
        <v>0</v>
      </c>
      <c r="AW402">
        <v>2</v>
      </c>
      <c r="AX402">
        <v>68992131</v>
      </c>
      <c r="AY402">
        <v>1</v>
      </c>
      <c r="AZ402">
        <v>0</v>
      </c>
      <c r="BA402">
        <v>395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Y402*Source!I144</f>
        <v>2.7000000000000001E-3</v>
      </c>
      <c r="CY402">
        <f>AB402</f>
        <v>776.04</v>
      </c>
      <c r="CZ402">
        <f>AF402</f>
        <v>65.709999999999994</v>
      </c>
      <c r="DA402">
        <f>AJ402</f>
        <v>11.81</v>
      </c>
      <c r="DB402">
        <f>ROUND((ROUND(AT402*CZ402,2)*1.35),2)</f>
        <v>8.8699999999999992</v>
      </c>
      <c r="DC402">
        <f>ROUND((ROUND(AT402*AG402,2)*1.35),2)</f>
        <v>1.57</v>
      </c>
    </row>
    <row r="403" spans="1:107" x14ac:dyDescent="0.2">
      <c r="A403">
        <f>ROW(Source!A144)</f>
        <v>144</v>
      </c>
      <c r="B403">
        <v>68990560</v>
      </c>
      <c r="C403">
        <v>68992118</v>
      </c>
      <c r="D403">
        <v>64253038</v>
      </c>
      <c r="E403">
        <v>1</v>
      </c>
      <c r="F403">
        <v>1</v>
      </c>
      <c r="G403">
        <v>1</v>
      </c>
      <c r="H403">
        <v>3</v>
      </c>
      <c r="I403" t="s">
        <v>828</v>
      </c>
      <c r="J403" t="s">
        <v>829</v>
      </c>
      <c r="K403" t="s">
        <v>830</v>
      </c>
      <c r="L403">
        <v>1346</v>
      </c>
      <c r="N403">
        <v>1009</v>
      </c>
      <c r="O403" t="s">
        <v>170</v>
      </c>
      <c r="P403" t="s">
        <v>170</v>
      </c>
      <c r="Q403">
        <v>1</v>
      </c>
      <c r="W403">
        <v>0</v>
      </c>
      <c r="X403">
        <v>456480056</v>
      </c>
      <c r="Y403">
        <v>0.31</v>
      </c>
      <c r="AA403">
        <v>240.77</v>
      </c>
      <c r="AB403">
        <v>0</v>
      </c>
      <c r="AC403">
        <v>0</v>
      </c>
      <c r="AD403">
        <v>0</v>
      </c>
      <c r="AE403">
        <v>30.4</v>
      </c>
      <c r="AF403">
        <v>0</v>
      </c>
      <c r="AG403">
        <v>0</v>
      </c>
      <c r="AH403">
        <v>0</v>
      </c>
      <c r="AI403">
        <v>7.92</v>
      </c>
      <c r="AJ403">
        <v>1</v>
      </c>
      <c r="AK403">
        <v>1</v>
      </c>
      <c r="AL403">
        <v>1</v>
      </c>
      <c r="AN403">
        <v>0</v>
      </c>
      <c r="AO403">
        <v>1</v>
      </c>
      <c r="AP403">
        <v>0</v>
      </c>
      <c r="AQ403">
        <v>0</v>
      </c>
      <c r="AR403">
        <v>0</v>
      </c>
      <c r="AS403" t="s">
        <v>3</v>
      </c>
      <c r="AT403">
        <v>0.31</v>
      </c>
      <c r="AU403" t="s">
        <v>3</v>
      </c>
      <c r="AV403">
        <v>0</v>
      </c>
      <c r="AW403">
        <v>2</v>
      </c>
      <c r="AX403">
        <v>68992132</v>
      </c>
      <c r="AY403">
        <v>1</v>
      </c>
      <c r="AZ403">
        <v>0</v>
      </c>
      <c r="BA403">
        <v>396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Y403*Source!I144</f>
        <v>6.1999999999999998E-3</v>
      </c>
      <c r="CY403">
        <f>AA403</f>
        <v>240.77</v>
      </c>
      <c r="CZ403">
        <f>AE403</f>
        <v>30.4</v>
      </c>
      <c r="DA403">
        <f>AI403</f>
        <v>7.92</v>
      </c>
      <c r="DB403">
        <f>ROUND(ROUND(AT403*CZ403,2),2)</f>
        <v>9.42</v>
      </c>
      <c r="DC403">
        <f>ROUND(ROUND(AT403*AG403,2),2)</f>
        <v>0</v>
      </c>
    </row>
    <row r="404" spans="1:107" x14ac:dyDescent="0.2">
      <c r="A404">
        <f>ROW(Source!A144)</f>
        <v>144</v>
      </c>
      <c r="B404">
        <v>68990560</v>
      </c>
      <c r="C404">
        <v>68992118</v>
      </c>
      <c r="D404">
        <v>64255020</v>
      </c>
      <c r="E404">
        <v>1</v>
      </c>
      <c r="F404">
        <v>1</v>
      </c>
      <c r="G404">
        <v>1</v>
      </c>
      <c r="H404">
        <v>3</v>
      </c>
      <c r="I404" t="s">
        <v>1202</v>
      </c>
      <c r="J404" t="s">
        <v>1203</v>
      </c>
      <c r="K404" t="s">
        <v>1204</v>
      </c>
      <c r="L404">
        <v>1348</v>
      </c>
      <c r="N404">
        <v>1009</v>
      </c>
      <c r="O404" t="s">
        <v>71</v>
      </c>
      <c r="P404" t="s">
        <v>71</v>
      </c>
      <c r="Q404">
        <v>1000</v>
      </c>
      <c r="W404">
        <v>0</v>
      </c>
      <c r="X404">
        <v>-348759512</v>
      </c>
      <c r="Y404">
        <v>3.0599999999999998E-3</v>
      </c>
      <c r="AA404">
        <v>82908.100000000006</v>
      </c>
      <c r="AB404">
        <v>0</v>
      </c>
      <c r="AC404">
        <v>0</v>
      </c>
      <c r="AD404">
        <v>0</v>
      </c>
      <c r="AE404">
        <v>12430</v>
      </c>
      <c r="AF404">
        <v>0</v>
      </c>
      <c r="AG404">
        <v>0</v>
      </c>
      <c r="AH404">
        <v>0</v>
      </c>
      <c r="AI404">
        <v>6.67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3</v>
      </c>
      <c r="AT404">
        <v>3.0599999999999998E-3</v>
      </c>
      <c r="AU404" t="s">
        <v>3</v>
      </c>
      <c r="AV404">
        <v>0</v>
      </c>
      <c r="AW404">
        <v>2</v>
      </c>
      <c r="AX404">
        <v>68992133</v>
      </c>
      <c r="AY404">
        <v>1</v>
      </c>
      <c r="AZ404">
        <v>0</v>
      </c>
      <c r="BA404">
        <v>397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Y404*Source!I144</f>
        <v>6.1199999999999997E-5</v>
      </c>
      <c r="CY404">
        <f>AA404</f>
        <v>82908.100000000006</v>
      </c>
      <c r="CZ404">
        <f>AE404</f>
        <v>12430</v>
      </c>
      <c r="DA404">
        <f>AI404</f>
        <v>6.67</v>
      </c>
      <c r="DB404">
        <f>ROUND(ROUND(AT404*CZ404,2),2)</f>
        <v>38.04</v>
      </c>
      <c r="DC404">
        <f>ROUND(ROUND(AT404*AG404,2),2)</f>
        <v>0</v>
      </c>
    </row>
    <row r="405" spans="1:107" x14ac:dyDescent="0.2">
      <c r="A405">
        <f>ROW(Source!A144)</f>
        <v>144</v>
      </c>
      <c r="B405">
        <v>68990560</v>
      </c>
      <c r="C405">
        <v>68992118</v>
      </c>
      <c r="D405">
        <v>64255145</v>
      </c>
      <c r="E405">
        <v>1</v>
      </c>
      <c r="F405">
        <v>1</v>
      </c>
      <c r="G405">
        <v>1</v>
      </c>
      <c r="H405">
        <v>3</v>
      </c>
      <c r="I405" t="s">
        <v>831</v>
      </c>
      <c r="J405" t="s">
        <v>832</v>
      </c>
      <c r="K405" t="s">
        <v>833</v>
      </c>
      <c r="L405">
        <v>1425</v>
      </c>
      <c r="N405">
        <v>1013</v>
      </c>
      <c r="O405" t="s">
        <v>18</v>
      </c>
      <c r="P405" t="s">
        <v>18</v>
      </c>
      <c r="Q405">
        <v>1</v>
      </c>
      <c r="W405">
        <v>0</v>
      </c>
      <c r="X405">
        <v>1014360486</v>
      </c>
      <c r="Y405">
        <v>4.08</v>
      </c>
      <c r="AA405">
        <v>441.18</v>
      </c>
      <c r="AB405">
        <v>0</v>
      </c>
      <c r="AC405">
        <v>0</v>
      </c>
      <c r="AD405">
        <v>0</v>
      </c>
      <c r="AE405">
        <v>86</v>
      </c>
      <c r="AF405">
        <v>0</v>
      </c>
      <c r="AG405">
        <v>0</v>
      </c>
      <c r="AH405">
        <v>0</v>
      </c>
      <c r="AI405">
        <v>5.13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0</v>
      </c>
      <c r="AQ405">
        <v>0</v>
      </c>
      <c r="AR405">
        <v>0</v>
      </c>
      <c r="AS405" t="s">
        <v>3</v>
      </c>
      <c r="AT405">
        <v>4.08</v>
      </c>
      <c r="AU405" t="s">
        <v>3</v>
      </c>
      <c r="AV405">
        <v>0</v>
      </c>
      <c r="AW405">
        <v>2</v>
      </c>
      <c r="AX405">
        <v>68992134</v>
      </c>
      <c r="AY405">
        <v>1</v>
      </c>
      <c r="AZ405">
        <v>0</v>
      </c>
      <c r="BA405">
        <v>398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Y405*Source!I144</f>
        <v>8.1600000000000006E-2</v>
      </c>
      <c r="CY405">
        <f>AA405</f>
        <v>441.18</v>
      </c>
      <c r="CZ405">
        <f>AE405</f>
        <v>86</v>
      </c>
      <c r="DA405">
        <f>AI405</f>
        <v>5.13</v>
      </c>
      <c r="DB405">
        <f>ROUND(ROUND(AT405*CZ405,2),2)</f>
        <v>350.88</v>
      </c>
      <c r="DC405">
        <f>ROUND(ROUND(AT405*AG405,2),2)</f>
        <v>0</v>
      </c>
    </row>
    <row r="406" spans="1:107" x14ac:dyDescent="0.2">
      <c r="A406">
        <f>ROW(Source!A144)</f>
        <v>144</v>
      </c>
      <c r="B406">
        <v>68990560</v>
      </c>
      <c r="C406">
        <v>68992118</v>
      </c>
      <c r="D406">
        <v>53954697</v>
      </c>
      <c r="E406">
        <v>1</v>
      </c>
      <c r="F406">
        <v>1</v>
      </c>
      <c r="G406">
        <v>1</v>
      </c>
      <c r="H406">
        <v>3</v>
      </c>
      <c r="I406" t="s">
        <v>502</v>
      </c>
      <c r="J406" t="s">
        <v>503</v>
      </c>
      <c r="K406" t="s">
        <v>1340</v>
      </c>
      <c r="L406">
        <v>1371</v>
      </c>
      <c r="N406">
        <v>1013</v>
      </c>
      <c r="O406" t="s">
        <v>29</v>
      </c>
      <c r="P406" t="s">
        <v>29</v>
      </c>
      <c r="Q406">
        <v>1</v>
      </c>
      <c r="W406">
        <v>0</v>
      </c>
      <c r="X406">
        <v>-420310183</v>
      </c>
      <c r="Y406">
        <v>100</v>
      </c>
      <c r="AA406">
        <v>948.84</v>
      </c>
      <c r="AB406">
        <v>0</v>
      </c>
      <c r="AC406">
        <v>0</v>
      </c>
      <c r="AD406">
        <v>0</v>
      </c>
      <c r="AE406">
        <v>219.64</v>
      </c>
      <c r="AF406">
        <v>0</v>
      </c>
      <c r="AG406">
        <v>0</v>
      </c>
      <c r="AH406">
        <v>0</v>
      </c>
      <c r="AI406">
        <v>4.32</v>
      </c>
      <c r="AJ406">
        <v>1</v>
      </c>
      <c r="AK406">
        <v>1</v>
      </c>
      <c r="AL406">
        <v>1</v>
      </c>
      <c r="AN406">
        <v>0</v>
      </c>
      <c r="AO406">
        <v>0</v>
      </c>
      <c r="AP406">
        <v>0</v>
      </c>
      <c r="AQ406">
        <v>0</v>
      </c>
      <c r="AR406">
        <v>0</v>
      </c>
      <c r="AS406" t="s">
        <v>3</v>
      </c>
      <c r="AT406">
        <v>100</v>
      </c>
      <c r="AU406" t="s">
        <v>3</v>
      </c>
      <c r="AV406">
        <v>0</v>
      </c>
      <c r="AW406">
        <v>1</v>
      </c>
      <c r="AX406">
        <v>-1</v>
      </c>
      <c r="AY406">
        <v>0</v>
      </c>
      <c r="AZ406">
        <v>0</v>
      </c>
      <c r="BA406" t="s">
        <v>3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Y406*Source!I144</f>
        <v>2</v>
      </c>
      <c r="CY406">
        <f>AA406</f>
        <v>948.84</v>
      </c>
      <c r="CZ406">
        <f>AE406</f>
        <v>219.64</v>
      </c>
      <c r="DA406">
        <f>AI406</f>
        <v>4.32</v>
      </c>
      <c r="DB406">
        <f>ROUND(ROUND(AT406*CZ406,2),2)</f>
        <v>21964</v>
      </c>
      <c r="DC406">
        <f>ROUND(ROUND(AT406*AG406,2),2)</f>
        <v>0</v>
      </c>
    </row>
    <row r="407" spans="1:107" x14ac:dyDescent="0.2">
      <c r="A407">
        <f>ROW(Source!A144)</f>
        <v>144</v>
      </c>
      <c r="B407">
        <v>68990560</v>
      </c>
      <c r="C407">
        <v>68992118</v>
      </c>
      <c r="D407">
        <v>64245580</v>
      </c>
      <c r="E407">
        <v>56</v>
      </c>
      <c r="F407">
        <v>1</v>
      </c>
      <c r="G407">
        <v>1</v>
      </c>
      <c r="H407">
        <v>3</v>
      </c>
      <c r="I407" t="s">
        <v>837</v>
      </c>
      <c r="J407" t="s">
        <v>3</v>
      </c>
      <c r="K407" t="s">
        <v>838</v>
      </c>
      <c r="L407">
        <v>1374</v>
      </c>
      <c r="N407">
        <v>1013</v>
      </c>
      <c r="O407" t="s">
        <v>839</v>
      </c>
      <c r="P407" t="s">
        <v>839</v>
      </c>
      <c r="Q407">
        <v>1</v>
      </c>
      <c r="W407">
        <v>0</v>
      </c>
      <c r="X407">
        <v>-1731369543</v>
      </c>
      <c r="Y407">
        <v>13.54</v>
      </c>
      <c r="AA407">
        <v>1</v>
      </c>
      <c r="AB407">
        <v>0</v>
      </c>
      <c r="AC407">
        <v>0</v>
      </c>
      <c r="AD407">
        <v>0</v>
      </c>
      <c r="AE407">
        <v>1</v>
      </c>
      <c r="AF407">
        <v>0</v>
      </c>
      <c r="AG407">
        <v>0</v>
      </c>
      <c r="AH407">
        <v>0</v>
      </c>
      <c r="AI407">
        <v>1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3</v>
      </c>
      <c r="AT407">
        <v>13.54</v>
      </c>
      <c r="AU407" t="s">
        <v>3</v>
      </c>
      <c r="AV407">
        <v>0</v>
      </c>
      <c r="AW407">
        <v>2</v>
      </c>
      <c r="AX407">
        <v>68992135</v>
      </c>
      <c r="AY407">
        <v>1</v>
      </c>
      <c r="AZ407">
        <v>0</v>
      </c>
      <c r="BA407">
        <v>399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Y407*Source!I144</f>
        <v>0.27079999999999999</v>
      </c>
      <c r="CY407">
        <f>AA407</f>
        <v>1</v>
      </c>
      <c r="CZ407">
        <f>AE407</f>
        <v>1</v>
      </c>
      <c r="DA407">
        <f>AI407</f>
        <v>1</v>
      </c>
      <c r="DB407">
        <f>ROUND(ROUND(AT407*CZ407,2),2)</f>
        <v>13.54</v>
      </c>
      <c r="DC407">
        <f>ROUND(ROUND(AT407*AG407,2),2)</f>
        <v>0</v>
      </c>
    </row>
    <row r="408" spans="1:107" x14ac:dyDescent="0.2">
      <c r="A408">
        <f>ROW(Source!A146)</f>
        <v>146</v>
      </c>
      <c r="B408">
        <v>68990560</v>
      </c>
      <c r="C408">
        <v>68992137</v>
      </c>
      <c r="D408">
        <v>37080781</v>
      </c>
      <c r="E408">
        <v>56</v>
      </c>
      <c r="F408">
        <v>1</v>
      </c>
      <c r="G408">
        <v>1</v>
      </c>
      <c r="H408">
        <v>1</v>
      </c>
      <c r="I408" t="s">
        <v>816</v>
      </c>
      <c r="J408" t="s">
        <v>3</v>
      </c>
      <c r="K408" t="s">
        <v>817</v>
      </c>
      <c r="L408">
        <v>1191</v>
      </c>
      <c r="N408">
        <v>1013</v>
      </c>
      <c r="O408" t="s">
        <v>818</v>
      </c>
      <c r="P408" t="s">
        <v>818</v>
      </c>
      <c r="Q408">
        <v>1</v>
      </c>
      <c r="W408">
        <v>0</v>
      </c>
      <c r="X408">
        <v>912892513</v>
      </c>
      <c r="Y408">
        <v>106.05600000000001</v>
      </c>
      <c r="AA408">
        <v>0</v>
      </c>
      <c r="AB408">
        <v>0</v>
      </c>
      <c r="AC408">
        <v>0</v>
      </c>
      <c r="AD408">
        <v>9.92</v>
      </c>
      <c r="AE408">
        <v>0</v>
      </c>
      <c r="AF408">
        <v>0</v>
      </c>
      <c r="AG408">
        <v>0</v>
      </c>
      <c r="AH408">
        <v>9.92</v>
      </c>
      <c r="AI408">
        <v>1</v>
      </c>
      <c r="AJ408">
        <v>1</v>
      </c>
      <c r="AK408">
        <v>1</v>
      </c>
      <c r="AL408">
        <v>1</v>
      </c>
      <c r="AN408">
        <v>0</v>
      </c>
      <c r="AO408">
        <v>1</v>
      </c>
      <c r="AP408">
        <v>1</v>
      </c>
      <c r="AQ408">
        <v>0</v>
      </c>
      <c r="AR408">
        <v>0</v>
      </c>
      <c r="AS408" t="s">
        <v>3</v>
      </c>
      <c r="AT408">
        <v>78.56</v>
      </c>
      <c r="AU408" t="s">
        <v>200</v>
      </c>
      <c r="AV408">
        <v>1</v>
      </c>
      <c r="AW408">
        <v>2</v>
      </c>
      <c r="AX408">
        <v>68992146</v>
      </c>
      <c r="AY408">
        <v>1</v>
      </c>
      <c r="AZ408">
        <v>0</v>
      </c>
      <c r="BA408">
        <v>400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Y408*Source!I146</f>
        <v>1.0605600000000002</v>
      </c>
      <c r="CY408">
        <f>AD408</f>
        <v>9.92</v>
      </c>
      <c r="CZ408">
        <f>AH408</f>
        <v>9.92</v>
      </c>
      <c r="DA408">
        <f>AL408</f>
        <v>1</v>
      </c>
      <c r="DB408">
        <f>ROUND((ROUND(AT408*CZ408,2)*1.35),2)</f>
        <v>1052.08</v>
      </c>
      <c r="DC408">
        <f>ROUND((ROUND(AT408*AG408,2)*1.35),2)</f>
        <v>0</v>
      </c>
    </row>
    <row r="409" spans="1:107" x14ac:dyDescent="0.2">
      <c r="A409">
        <f>ROW(Source!A146)</f>
        <v>146</v>
      </c>
      <c r="B409">
        <v>68990560</v>
      </c>
      <c r="C409">
        <v>68992137</v>
      </c>
      <c r="D409">
        <v>37064876</v>
      </c>
      <c r="E409">
        <v>56</v>
      </c>
      <c r="F409">
        <v>1</v>
      </c>
      <c r="G409">
        <v>1</v>
      </c>
      <c r="H409">
        <v>1</v>
      </c>
      <c r="I409" t="s">
        <v>819</v>
      </c>
      <c r="J409" t="s">
        <v>3</v>
      </c>
      <c r="K409" t="s">
        <v>820</v>
      </c>
      <c r="L409">
        <v>1191</v>
      </c>
      <c r="N409">
        <v>1013</v>
      </c>
      <c r="O409" t="s">
        <v>818</v>
      </c>
      <c r="P409" t="s">
        <v>818</v>
      </c>
      <c r="Q409">
        <v>1</v>
      </c>
      <c r="W409">
        <v>0</v>
      </c>
      <c r="X409">
        <v>-1417349443</v>
      </c>
      <c r="Y409">
        <v>0.54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1</v>
      </c>
      <c r="AJ409">
        <v>1</v>
      </c>
      <c r="AK409">
        <v>1</v>
      </c>
      <c r="AL409">
        <v>1</v>
      </c>
      <c r="AN409">
        <v>0</v>
      </c>
      <c r="AO409">
        <v>1</v>
      </c>
      <c r="AP409">
        <v>1</v>
      </c>
      <c r="AQ409">
        <v>0</v>
      </c>
      <c r="AR409">
        <v>0</v>
      </c>
      <c r="AS409" t="s">
        <v>3</v>
      </c>
      <c r="AT409">
        <v>0.4</v>
      </c>
      <c r="AU409" t="s">
        <v>200</v>
      </c>
      <c r="AV409">
        <v>2</v>
      </c>
      <c r="AW409">
        <v>2</v>
      </c>
      <c r="AX409">
        <v>68992147</v>
      </c>
      <c r="AY409">
        <v>1</v>
      </c>
      <c r="AZ409">
        <v>0</v>
      </c>
      <c r="BA409">
        <v>401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Y409*Source!I146</f>
        <v>5.4000000000000003E-3</v>
      </c>
      <c r="CY409">
        <f>AD409</f>
        <v>0</v>
      </c>
      <c r="CZ409">
        <f>AH409</f>
        <v>0</v>
      </c>
      <c r="DA409">
        <f>AL409</f>
        <v>1</v>
      </c>
      <c r="DB409">
        <f>ROUND((ROUND(AT409*CZ409,2)*1.35),2)</f>
        <v>0</v>
      </c>
      <c r="DC409">
        <f>ROUND((ROUND(AT409*AG409,2)*1.35),2)</f>
        <v>0</v>
      </c>
    </row>
    <row r="410" spans="1:107" x14ac:dyDescent="0.2">
      <c r="A410">
        <f>ROW(Source!A146)</f>
        <v>146</v>
      </c>
      <c r="B410">
        <v>68990560</v>
      </c>
      <c r="C410">
        <v>68992137</v>
      </c>
      <c r="D410">
        <v>64401763</v>
      </c>
      <c r="E410">
        <v>1</v>
      </c>
      <c r="F410">
        <v>1</v>
      </c>
      <c r="G410">
        <v>1</v>
      </c>
      <c r="H410">
        <v>2</v>
      </c>
      <c r="I410" t="s">
        <v>821</v>
      </c>
      <c r="J410" t="s">
        <v>822</v>
      </c>
      <c r="K410" t="s">
        <v>823</v>
      </c>
      <c r="L410">
        <v>1368</v>
      </c>
      <c r="N410">
        <v>1011</v>
      </c>
      <c r="O410" t="s">
        <v>824</v>
      </c>
      <c r="P410" t="s">
        <v>824</v>
      </c>
      <c r="Q410">
        <v>1</v>
      </c>
      <c r="W410">
        <v>0</v>
      </c>
      <c r="X410">
        <v>-1346461524</v>
      </c>
      <c r="Y410">
        <v>0.27</v>
      </c>
      <c r="AA410">
        <v>0</v>
      </c>
      <c r="AB410">
        <v>1074.3699999999999</v>
      </c>
      <c r="AC410">
        <v>454.28</v>
      </c>
      <c r="AD410">
        <v>0</v>
      </c>
      <c r="AE410">
        <v>0</v>
      </c>
      <c r="AF410">
        <v>115.4</v>
      </c>
      <c r="AG410">
        <v>13.5</v>
      </c>
      <c r="AH410">
        <v>0</v>
      </c>
      <c r="AI410">
        <v>1</v>
      </c>
      <c r="AJ410">
        <v>9.31</v>
      </c>
      <c r="AK410">
        <v>33.65</v>
      </c>
      <c r="AL410">
        <v>1</v>
      </c>
      <c r="AN410">
        <v>0</v>
      </c>
      <c r="AO410">
        <v>1</v>
      </c>
      <c r="AP410">
        <v>1</v>
      </c>
      <c r="AQ410">
        <v>0</v>
      </c>
      <c r="AR410">
        <v>0</v>
      </c>
      <c r="AS410" t="s">
        <v>3</v>
      </c>
      <c r="AT410">
        <v>0.2</v>
      </c>
      <c r="AU410" t="s">
        <v>200</v>
      </c>
      <c r="AV410">
        <v>0</v>
      </c>
      <c r="AW410">
        <v>2</v>
      </c>
      <c r="AX410">
        <v>68992148</v>
      </c>
      <c r="AY410">
        <v>1</v>
      </c>
      <c r="AZ410">
        <v>0</v>
      </c>
      <c r="BA410">
        <v>402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Y410*Source!I146</f>
        <v>2.7000000000000001E-3</v>
      </c>
      <c r="CY410">
        <f>AB410</f>
        <v>1074.3699999999999</v>
      </c>
      <c r="CZ410">
        <f>AF410</f>
        <v>115.4</v>
      </c>
      <c r="DA410">
        <f>AJ410</f>
        <v>9.31</v>
      </c>
      <c r="DB410">
        <f>ROUND((ROUND(AT410*CZ410,2)*1.35),2)</f>
        <v>31.16</v>
      </c>
      <c r="DC410">
        <f>ROUND((ROUND(AT410*AG410,2)*1.35),2)</f>
        <v>3.65</v>
      </c>
    </row>
    <row r="411" spans="1:107" x14ac:dyDescent="0.2">
      <c r="A411">
        <f>ROW(Source!A146)</f>
        <v>146</v>
      </c>
      <c r="B411">
        <v>68990560</v>
      </c>
      <c r="C411">
        <v>68992137</v>
      </c>
      <c r="D411">
        <v>64402691</v>
      </c>
      <c r="E411">
        <v>1</v>
      </c>
      <c r="F411">
        <v>1</v>
      </c>
      <c r="G411">
        <v>1</v>
      </c>
      <c r="H411">
        <v>2</v>
      </c>
      <c r="I411" t="s">
        <v>825</v>
      </c>
      <c r="J411" t="s">
        <v>826</v>
      </c>
      <c r="K411" t="s">
        <v>827</v>
      </c>
      <c r="L411">
        <v>1368</v>
      </c>
      <c r="N411">
        <v>1011</v>
      </c>
      <c r="O411" t="s">
        <v>824</v>
      </c>
      <c r="P411" t="s">
        <v>824</v>
      </c>
      <c r="Q411">
        <v>1</v>
      </c>
      <c r="W411">
        <v>0</v>
      </c>
      <c r="X411">
        <v>-841254546</v>
      </c>
      <c r="Y411">
        <v>0.27</v>
      </c>
      <c r="AA411">
        <v>0</v>
      </c>
      <c r="AB411">
        <v>776.04</v>
      </c>
      <c r="AC411">
        <v>390.34</v>
      </c>
      <c r="AD411">
        <v>0</v>
      </c>
      <c r="AE411">
        <v>0</v>
      </c>
      <c r="AF411">
        <v>65.709999999999994</v>
      </c>
      <c r="AG411">
        <v>11.6</v>
      </c>
      <c r="AH411">
        <v>0</v>
      </c>
      <c r="AI411">
        <v>1</v>
      </c>
      <c r="AJ411">
        <v>11.81</v>
      </c>
      <c r="AK411">
        <v>33.65</v>
      </c>
      <c r="AL411">
        <v>1</v>
      </c>
      <c r="AN411">
        <v>0</v>
      </c>
      <c r="AO411">
        <v>1</v>
      </c>
      <c r="AP411">
        <v>1</v>
      </c>
      <c r="AQ411">
        <v>0</v>
      </c>
      <c r="AR411">
        <v>0</v>
      </c>
      <c r="AS411" t="s">
        <v>3</v>
      </c>
      <c r="AT411">
        <v>0.2</v>
      </c>
      <c r="AU411" t="s">
        <v>200</v>
      </c>
      <c r="AV411">
        <v>0</v>
      </c>
      <c r="AW411">
        <v>2</v>
      </c>
      <c r="AX411">
        <v>68992149</v>
      </c>
      <c r="AY411">
        <v>1</v>
      </c>
      <c r="AZ411">
        <v>0</v>
      </c>
      <c r="BA411">
        <v>403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Y411*Source!I146</f>
        <v>2.7000000000000001E-3</v>
      </c>
      <c r="CY411">
        <f>AB411</f>
        <v>776.04</v>
      </c>
      <c r="CZ411">
        <f>AF411</f>
        <v>65.709999999999994</v>
      </c>
      <c r="DA411">
        <f>AJ411</f>
        <v>11.81</v>
      </c>
      <c r="DB411">
        <f>ROUND((ROUND(AT411*CZ411,2)*1.35),2)</f>
        <v>17.739999999999998</v>
      </c>
      <c r="DC411">
        <f>ROUND((ROUND(AT411*AG411,2)*1.35),2)</f>
        <v>3.13</v>
      </c>
    </row>
    <row r="412" spans="1:107" x14ac:dyDescent="0.2">
      <c r="A412">
        <f>ROW(Source!A146)</f>
        <v>146</v>
      </c>
      <c r="B412">
        <v>68990560</v>
      </c>
      <c r="C412">
        <v>68992137</v>
      </c>
      <c r="D412">
        <v>64253038</v>
      </c>
      <c r="E412">
        <v>1</v>
      </c>
      <c r="F412">
        <v>1</v>
      </c>
      <c r="G412">
        <v>1</v>
      </c>
      <c r="H412">
        <v>3</v>
      </c>
      <c r="I412" t="s">
        <v>828</v>
      </c>
      <c r="J412" t="s">
        <v>829</v>
      </c>
      <c r="K412" t="s">
        <v>830</v>
      </c>
      <c r="L412">
        <v>1346</v>
      </c>
      <c r="N412">
        <v>1009</v>
      </c>
      <c r="O412" t="s">
        <v>170</v>
      </c>
      <c r="P412" t="s">
        <v>170</v>
      </c>
      <c r="Q412">
        <v>1</v>
      </c>
      <c r="W412">
        <v>0</v>
      </c>
      <c r="X412">
        <v>456480056</v>
      </c>
      <c r="Y412">
        <v>0.21</v>
      </c>
      <c r="AA412">
        <v>240.77</v>
      </c>
      <c r="AB412">
        <v>0</v>
      </c>
      <c r="AC412">
        <v>0</v>
      </c>
      <c r="AD412">
        <v>0</v>
      </c>
      <c r="AE412">
        <v>30.4</v>
      </c>
      <c r="AF412">
        <v>0</v>
      </c>
      <c r="AG412">
        <v>0</v>
      </c>
      <c r="AH412">
        <v>0</v>
      </c>
      <c r="AI412">
        <v>7.92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1</v>
      </c>
      <c r="AQ412">
        <v>0</v>
      </c>
      <c r="AR412">
        <v>0</v>
      </c>
      <c r="AS412" t="s">
        <v>3</v>
      </c>
      <c r="AT412">
        <v>0.21</v>
      </c>
      <c r="AU412" t="s">
        <v>3</v>
      </c>
      <c r="AV412">
        <v>0</v>
      </c>
      <c r="AW412">
        <v>2</v>
      </c>
      <c r="AX412">
        <v>68992150</v>
      </c>
      <c r="AY412">
        <v>1</v>
      </c>
      <c r="AZ412">
        <v>0</v>
      </c>
      <c r="BA412">
        <v>404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Y412*Source!I146</f>
        <v>2.0999999999999999E-3</v>
      </c>
      <c r="CY412">
        <f>AA412</f>
        <v>240.77</v>
      </c>
      <c r="CZ412">
        <f>AE412</f>
        <v>30.4</v>
      </c>
      <c r="DA412">
        <f>AI412</f>
        <v>7.92</v>
      </c>
      <c r="DB412">
        <f>ROUND(ROUND(AT412*CZ412,2),2)</f>
        <v>6.38</v>
      </c>
      <c r="DC412">
        <f>ROUND(ROUND(AT412*AG412,2),2)</f>
        <v>0</v>
      </c>
    </row>
    <row r="413" spans="1:107" x14ac:dyDescent="0.2">
      <c r="A413">
        <f>ROW(Source!A146)</f>
        <v>146</v>
      </c>
      <c r="B413">
        <v>68990560</v>
      </c>
      <c r="C413">
        <v>68992137</v>
      </c>
      <c r="D413">
        <v>64255145</v>
      </c>
      <c r="E413">
        <v>1</v>
      </c>
      <c r="F413">
        <v>1</v>
      </c>
      <c r="G413">
        <v>1</v>
      </c>
      <c r="H413">
        <v>3</v>
      </c>
      <c r="I413" t="s">
        <v>831</v>
      </c>
      <c r="J413" t="s">
        <v>832</v>
      </c>
      <c r="K413" t="s">
        <v>833</v>
      </c>
      <c r="L413">
        <v>1425</v>
      </c>
      <c r="N413">
        <v>1013</v>
      </c>
      <c r="O413" t="s">
        <v>18</v>
      </c>
      <c r="P413" t="s">
        <v>18</v>
      </c>
      <c r="Q413">
        <v>1</v>
      </c>
      <c r="W413">
        <v>0</v>
      </c>
      <c r="X413">
        <v>1014360486</v>
      </c>
      <c r="Y413">
        <v>4.08</v>
      </c>
      <c r="AA413">
        <v>441.18</v>
      </c>
      <c r="AB413">
        <v>0</v>
      </c>
      <c r="AC413">
        <v>0</v>
      </c>
      <c r="AD413">
        <v>0</v>
      </c>
      <c r="AE413">
        <v>86</v>
      </c>
      <c r="AF413">
        <v>0</v>
      </c>
      <c r="AG413">
        <v>0</v>
      </c>
      <c r="AH413">
        <v>0</v>
      </c>
      <c r="AI413">
        <v>5.13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1</v>
      </c>
      <c r="AQ413">
        <v>0</v>
      </c>
      <c r="AR413">
        <v>0</v>
      </c>
      <c r="AS413" t="s">
        <v>3</v>
      </c>
      <c r="AT413">
        <v>4.08</v>
      </c>
      <c r="AU413" t="s">
        <v>3</v>
      </c>
      <c r="AV413">
        <v>0</v>
      </c>
      <c r="AW413">
        <v>2</v>
      </c>
      <c r="AX413">
        <v>68992151</v>
      </c>
      <c r="AY413">
        <v>1</v>
      </c>
      <c r="AZ413">
        <v>0</v>
      </c>
      <c r="BA413">
        <v>405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Y413*Source!I146</f>
        <v>4.0800000000000003E-2</v>
      </c>
      <c r="CY413">
        <f>AA413</f>
        <v>441.18</v>
      </c>
      <c r="CZ413">
        <f>AE413</f>
        <v>86</v>
      </c>
      <c r="DA413">
        <f>AI413</f>
        <v>5.13</v>
      </c>
      <c r="DB413">
        <f>ROUND(ROUND(AT413*CZ413,2),2)</f>
        <v>350.88</v>
      </c>
      <c r="DC413">
        <f>ROUND(ROUND(AT413*AG413,2),2)</f>
        <v>0</v>
      </c>
    </row>
    <row r="414" spans="1:107" x14ac:dyDescent="0.2">
      <c r="A414">
        <f>ROW(Source!A146)</f>
        <v>146</v>
      </c>
      <c r="B414">
        <v>68990560</v>
      </c>
      <c r="C414">
        <v>68992137</v>
      </c>
      <c r="D414">
        <v>64305045</v>
      </c>
      <c r="E414">
        <v>1</v>
      </c>
      <c r="F414">
        <v>1</v>
      </c>
      <c r="G414">
        <v>1</v>
      </c>
      <c r="H414">
        <v>3</v>
      </c>
      <c r="I414" t="s">
        <v>834</v>
      </c>
      <c r="J414" t="s">
        <v>835</v>
      </c>
      <c r="K414" t="s">
        <v>836</v>
      </c>
      <c r="L414">
        <v>1348</v>
      </c>
      <c r="N414">
        <v>1009</v>
      </c>
      <c r="O414" t="s">
        <v>71</v>
      </c>
      <c r="P414" t="s">
        <v>71</v>
      </c>
      <c r="Q414">
        <v>1000</v>
      </c>
      <c r="W414">
        <v>0</v>
      </c>
      <c r="X414">
        <v>1066411497</v>
      </c>
      <c r="Y414">
        <v>1.5299999999999999E-3</v>
      </c>
      <c r="AA414">
        <v>527526.80000000005</v>
      </c>
      <c r="AB414">
        <v>0</v>
      </c>
      <c r="AC414">
        <v>0</v>
      </c>
      <c r="AD414">
        <v>0</v>
      </c>
      <c r="AE414">
        <v>96440</v>
      </c>
      <c r="AF414">
        <v>0</v>
      </c>
      <c r="AG414">
        <v>0</v>
      </c>
      <c r="AH414">
        <v>0</v>
      </c>
      <c r="AI414">
        <v>5.47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1</v>
      </c>
      <c r="AQ414">
        <v>0</v>
      </c>
      <c r="AR414">
        <v>0</v>
      </c>
      <c r="AS414" t="s">
        <v>3</v>
      </c>
      <c r="AT414">
        <v>1.5299999999999999E-3</v>
      </c>
      <c r="AU414" t="s">
        <v>3</v>
      </c>
      <c r="AV414">
        <v>0</v>
      </c>
      <c r="AW414">
        <v>2</v>
      </c>
      <c r="AX414">
        <v>68992152</v>
      </c>
      <c r="AY414">
        <v>1</v>
      </c>
      <c r="AZ414">
        <v>0</v>
      </c>
      <c r="BA414">
        <v>406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Y414*Source!I146</f>
        <v>1.5299999999999999E-5</v>
      </c>
      <c r="CY414">
        <f>AA414</f>
        <v>527526.80000000005</v>
      </c>
      <c r="CZ414">
        <f>AE414</f>
        <v>96440</v>
      </c>
      <c r="DA414">
        <f>AI414</f>
        <v>5.47</v>
      </c>
      <c r="DB414">
        <f>ROUND(ROUND(AT414*CZ414,2),2)</f>
        <v>147.55000000000001</v>
      </c>
      <c r="DC414">
        <f>ROUND(ROUND(AT414*AG414,2),2)</f>
        <v>0</v>
      </c>
    </row>
    <row r="415" spans="1:107" x14ac:dyDescent="0.2">
      <c r="A415">
        <f>ROW(Source!A146)</f>
        <v>146</v>
      </c>
      <c r="B415">
        <v>68990560</v>
      </c>
      <c r="C415">
        <v>68992137</v>
      </c>
      <c r="D415">
        <v>64245580</v>
      </c>
      <c r="E415">
        <v>56</v>
      </c>
      <c r="F415">
        <v>1</v>
      </c>
      <c r="G415">
        <v>1</v>
      </c>
      <c r="H415">
        <v>3</v>
      </c>
      <c r="I415" t="s">
        <v>837</v>
      </c>
      <c r="J415" t="s">
        <v>3</v>
      </c>
      <c r="K415" t="s">
        <v>838</v>
      </c>
      <c r="L415">
        <v>1374</v>
      </c>
      <c r="N415">
        <v>1013</v>
      </c>
      <c r="O415" t="s">
        <v>839</v>
      </c>
      <c r="P415" t="s">
        <v>839</v>
      </c>
      <c r="Q415">
        <v>1</v>
      </c>
      <c r="W415">
        <v>0</v>
      </c>
      <c r="X415">
        <v>-1731369543</v>
      </c>
      <c r="Y415">
        <v>15.59</v>
      </c>
      <c r="AA415">
        <v>1</v>
      </c>
      <c r="AB415">
        <v>0</v>
      </c>
      <c r="AC415">
        <v>0</v>
      </c>
      <c r="AD415">
        <v>0</v>
      </c>
      <c r="AE415">
        <v>1</v>
      </c>
      <c r="AF415">
        <v>0</v>
      </c>
      <c r="AG415">
        <v>0</v>
      </c>
      <c r="AH415">
        <v>0</v>
      </c>
      <c r="AI415">
        <v>1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1</v>
      </c>
      <c r="AQ415">
        <v>0</v>
      </c>
      <c r="AR415">
        <v>0</v>
      </c>
      <c r="AS415" t="s">
        <v>3</v>
      </c>
      <c r="AT415">
        <v>15.59</v>
      </c>
      <c r="AU415" t="s">
        <v>3</v>
      </c>
      <c r="AV415">
        <v>0</v>
      </c>
      <c r="AW415">
        <v>2</v>
      </c>
      <c r="AX415">
        <v>68992153</v>
      </c>
      <c r="AY415">
        <v>1</v>
      </c>
      <c r="AZ415">
        <v>0</v>
      </c>
      <c r="BA415">
        <v>407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Y415*Source!I146</f>
        <v>0.15590000000000001</v>
      </c>
      <c r="CY415">
        <f>AA415</f>
        <v>1</v>
      </c>
      <c r="CZ415">
        <f>AE415</f>
        <v>1</v>
      </c>
      <c r="DA415">
        <f>AI415</f>
        <v>1</v>
      </c>
      <c r="DB415">
        <f>ROUND(ROUND(AT415*CZ415,2),2)</f>
        <v>15.59</v>
      </c>
      <c r="DC415">
        <f>ROUND(ROUND(AT415*AG415,2),2)</f>
        <v>0</v>
      </c>
    </row>
    <row r="416" spans="1:107" x14ac:dyDescent="0.2">
      <c r="A416">
        <f>ROW(Source!A147)</f>
        <v>147</v>
      </c>
      <c r="B416">
        <v>68990560</v>
      </c>
      <c r="C416">
        <v>68992154</v>
      </c>
      <c r="D416">
        <v>37071037</v>
      </c>
      <c r="E416">
        <v>56</v>
      </c>
      <c r="F416">
        <v>1</v>
      </c>
      <c r="G416">
        <v>1</v>
      </c>
      <c r="H416">
        <v>1</v>
      </c>
      <c r="I416" t="s">
        <v>840</v>
      </c>
      <c r="J416" t="s">
        <v>3</v>
      </c>
      <c r="K416" t="s">
        <v>841</v>
      </c>
      <c r="L416">
        <v>1191</v>
      </c>
      <c r="N416">
        <v>1013</v>
      </c>
      <c r="O416" t="s">
        <v>818</v>
      </c>
      <c r="P416" t="s">
        <v>818</v>
      </c>
      <c r="Q416">
        <v>1</v>
      </c>
      <c r="W416">
        <v>0</v>
      </c>
      <c r="X416">
        <v>1069510174</v>
      </c>
      <c r="Y416">
        <v>1.1340000000000001</v>
      </c>
      <c r="AA416">
        <v>0</v>
      </c>
      <c r="AB416">
        <v>0</v>
      </c>
      <c r="AC416">
        <v>0</v>
      </c>
      <c r="AD416">
        <v>9.6199999999999992</v>
      </c>
      <c r="AE416">
        <v>0</v>
      </c>
      <c r="AF416">
        <v>0</v>
      </c>
      <c r="AG416">
        <v>0</v>
      </c>
      <c r="AH416">
        <v>9.6199999999999992</v>
      </c>
      <c r="AI416">
        <v>1</v>
      </c>
      <c r="AJ416">
        <v>1</v>
      </c>
      <c r="AK416">
        <v>1</v>
      </c>
      <c r="AL416">
        <v>1</v>
      </c>
      <c r="AN416">
        <v>0</v>
      </c>
      <c r="AO416">
        <v>1</v>
      </c>
      <c r="AP416">
        <v>1</v>
      </c>
      <c r="AQ416">
        <v>0</v>
      </c>
      <c r="AR416">
        <v>0</v>
      </c>
      <c r="AS416" t="s">
        <v>3</v>
      </c>
      <c r="AT416">
        <v>0.84</v>
      </c>
      <c r="AU416" t="s">
        <v>200</v>
      </c>
      <c r="AV416">
        <v>1</v>
      </c>
      <c r="AW416">
        <v>2</v>
      </c>
      <c r="AX416">
        <v>68992162</v>
      </c>
      <c r="AY416">
        <v>1</v>
      </c>
      <c r="AZ416">
        <v>0</v>
      </c>
      <c r="BA416">
        <v>408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Y416*Source!I147</f>
        <v>3.4020000000000001</v>
      </c>
      <c r="CY416">
        <f>AD416</f>
        <v>9.6199999999999992</v>
      </c>
      <c r="CZ416">
        <f>AH416</f>
        <v>9.6199999999999992</v>
      </c>
      <c r="DA416">
        <f>AL416</f>
        <v>1</v>
      </c>
      <c r="DB416">
        <f>ROUND((ROUND(AT416*CZ416,2)*1.35),2)</f>
        <v>10.91</v>
      </c>
      <c r="DC416">
        <f>ROUND((ROUND(AT416*AG416,2)*1.35),2)</f>
        <v>0</v>
      </c>
    </row>
    <row r="417" spans="1:107" x14ac:dyDescent="0.2">
      <c r="A417">
        <f>ROW(Source!A147)</f>
        <v>147</v>
      </c>
      <c r="B417">
        <v>68990560</v>
      </c>
      <c r="C417">
        <v>68992154</v>
      </c>
      <c r="D417">
        <v>64251442</v>
      </c>
      <c r="E417">
        <v>1</v>
      </c>
      <c r="F417">
        <v>1</v>
      </c>
      <c r="G417">
        <v>1</v>
      </c>
      <c r="H417">
        <v>3</v>
      </c>
      <c r="I417" t="s">
        <v>842</v>
      </c>
      <c r="J417" t="s">
        <v>843</v>
      </c>
      <c r="K417" t="s">
        <v>844</v>
      </c>
      <c r="L417">
        <v>1346</v>
      </c>
      <c r="N417">
        <v>1009</v>
      </c>
      <c r="O417" t="s">
        <v>170</v>
      </c>
      <c r="P417" t="s">
        <v>170</v>
      </c>
      <c r="Q417">
        <v>1</v>
      </c>
      <c r="W417">
        <v>0</v>
      </c>
      <c r="X417">
        <v>2097315087</v>
      </c>
      <c r="Y417">
        <v>2.0000000000000001E-4</v>
      </c>
      <c r="AA417">
        <v>198.06</v>
      </c>
      <c r="AB417">
        <v>0</v>
      </c>
      <c r="AC417">
        <v>0</v>
      </c>
      <c r="AD417">
        <v>0</v>
      </c>
      <c r="AE417">
        <v>27.74</v>
      </c>
      <c r="AF417">
        <v>0</v>
      </c>
      <c r="AG417">
        <v>0</v>
      </c>
      <c r="AH417">
        <v>0</v>
      </c>
      <c r="AI417">
        <v>7.14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1</v>
      </c>
      <c r="AQ417">
        <v>0</v>
      </c>
      <c r="AR417">
        <v>0</v>
      </c>
      <c r="AS417" t="s">
        <v>3</v>
      </c>
      <c r="AT417">
        <v>2.0000000000000001E-4</v>
      </c>
      <c r="AU417" t="s">
        <v>3</v>
      </c>
      <c r="AV417">
        <v>0</v>
      </c>
      <c r="AW417">
        <v>2</v>
      </c>
      <c r="AX417">
        <v>68992163</v>
      </c>
      <c r="AY417">
        <v>1</v>
      </c>
      <c r="AZ417">
        <v>0</v>
      </c>
      <c r="BA417">
        <v>409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Y417*Source!I147</f>
        <v>6.0000000000000006E-4</v>
      </c>
      <c r="CY417">
        <f t="shared" ref="CY417:CY422" si="77">AA417</f>
        <v>198.06</v>
      </c>
      <c r="CZ417">
        <f t="shared" ref="CZ417:CZ422" si="78">AE417</f>
        <v>27.74</v>
      </c>
      <c r="DA417">
        <f t="shared" ref="DA417:DA422" si="79">AI417</f>
        <v>7.14</v>
      </c>
      <c r="DB417">
        <f t="shared" ref="DB417:DB422" si="80">ROUND(ROUND(AT417*CZ417,2),2)</f>
        <v>0.01</v>
      </c>
      <c r="DC417">
        <f t="shared" ref="DC417:DC422" si="81">ROUND(ROUND(AT417*AG417,2),2)</f>
        <v>0</v>
      </c>
    </row>
    <row r="418" spans="1:107" x14ac:dyDescent="0.2">
      <c r="A418">
        <f>ROW(Source!A147)</f>
        <v>147</v>
      </c>
      <c r="B418">
        <v>68990560</v>
      </c>
      <c r="C418">
        <v>68992154</v>
      </c>
      <c r="D418">
        <v>64255524</v>
      </c>
      <c r="E418">
        <v>1</v>
      </c>
      <c r="F418">
        <v>1</v>
      </c>
      <c r="G418">
        <v>1</v>
      </c>
      <c r="H418">
        <v>3</v>
      </c>
      <c r="I418" t="s">
        <v>845</v>
      </c>
      <c r="J418" t="s">
        <v>846</v>
      </c>
      <c r="K418" t="s">
        <v>847</v>
      </c>
      <c r="L418">
        <v>1348</v>
      </c>
      <c r="N418">
        <v>1009</v>
      </c>
      <c r="O418" t="s">
        <v>71</v>
      </c>
      <c r="P418" t="s">
        <v>71</v>
      </c>
      <c r="Q418">
        <v>1000</v>
      </c>
      <c r="W418">
        <v>0</v>
      </c>
      <c r="X418">
        <v>1052420210</v>
      </c>
      <c r="Y418">
        <v>1E-4</v>
      </c>
      <c r="AA418">
        <v>60782.7</v>
      </c>
      <c r="AB418">
        <v>0</v>
      </c>
      <c r="AC418">
        <v>0</v>
      </c>
      <c r="AD418">
        <v>0</v>
      </c>
      <c r="AE418">
        <v>12430</v>
      </c>
      <c r="AF418">
        <v>0</v>
      </c>
      <c r="AG418">
        <v>0</v>
      </c>
      <c r="AH418">
        <v>0</v>
      </c>
      <c r="AI418">
        <v>4.8899999999999997</v>
      </c>
      <c r="AJ418">
        <v>1</v>
      </c>
      <c r="AK418">
        <v>1</v>
      </c>
      <c r="AL418">
        <v>1</v>
      </c>
      <c r="AN418">
        <v>0</v>
      </c>
      <c r="AO418">
        <v>1</v>
      </c>
      <c r="AP418">
        <v>1</v>
      </c>
      <c r="AQ418">
        <v>0</v>
      </c>
      <c r="AR418">
        <v>0</v>
      </c>
      <c r="AS418" t="s">
        <v>3</v>
      </c>
      <c r="AT418">
        <v>1E-4</v>
      </c>
      <c r="AU418" t="s">
        <v>3</v>
      </c>
      <c r="AV418">
        <v>0</v>
      </c>
      <c r="AW418">
        <v>2</v>
      </c>
      <c r="AX418">
        <v>68992164</v>
      </c>
      <c r="AY418">
        <v>1</v>
      </c>
      <c r="AZ418">
        <v>0</v>
      </c>
      <c r="BA418">
        <v>410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Y418*Source!I147</f>
        <v>3.0000000000000003E-4</v>
      </c>
      <c r="CY418">
        <f t="shared" si="77"/>
        <v>60782.7</v>
      </c>
      <c r="CZ418">
        <f t="shared" si="78"/>
        <v>12430</v>
      </c>
      <c r="DA418">
        <f t="shared" si="79"/>
        <v>4.8899999999999997</v>
      </c>
      <c r="DB418">
        <f t="shared" si="80"/>
        <v>1.24</v>
      </c>
      <c r="DC418">
        <f t="shared" si="81"/>
        <v>0</v>
      </c>
    </row>
    <row r="419" spans="1:107" x14ac:dyDescent="0.2">
      <c r="A419">
        <f>ROW(Source!A147)</f>
        <v>147</v>
      </c>
      <c r="B419">
        <v>68990560</v>
      </c>
      <c r="C419">
        <v>68992154</v>
      </c>
      <c r="D419">
        <v>64275490</v>
      </c>
      <c r="E419">
        <v>1</v>
      </c>
      <c r="F419">
        <v>1</v>
      </c>
      <c r="G419">
        <v>1</v>
      </c>
      <c r="H419">
        <v>3</v>
      </c>
      <c r="I419" t="s">
        <v>848</v>
      </c>
      <c r="J419" t="s">
        <v>849</v>
      </c>
      <c r="K419" t="s">
        <v>850</v>
      </c>
      <c r="L419">
        <v>1348</v>
      </c>
      <c r="N419">
        <v>1009</v>
      </c>
      <c r="O419" t="s">
        <v>71</v>
      </c>
      <c r="P419" t="s">
        <v>71</v>
      </c>
      <c r="Q419">
        <v>1000</v>
      </c>
      <c r="W419">
        <v>0</v>
      </c>
      <c r="X419">
        <v>542278962</v>
      </c>
      <c r="Y419">
        <v>1.9999999999999999E-6</v>
      </c>
      <c r="AA419">
        <v>850805</v>
      </c>
      <c r="AB419">
        <v>0</v>
      </c>
      <c r="AC419">
        <v>0</v>
      </c>
      <c r="AD419">
        <v>0</v>
      </c>
      <c r="AE419">
        <v>65750</v>
      </c>
      <c r="AF419">
        <v>0</v>
      </c>
      <c r="AG419">
        <v>0</v>
      </c>
      <c r="AH419">
        <v>0</v>
      </c>
      <c r="AI419">
        <v>12.94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1</v>
      </c>
      <c r="AQ419">
        <v>0</v>
      </c>
      <c r="AR419">
        <v>0</v>
      </c>
      <c r="AS419" t="s">
        <v>3</v>
      </c>
      <c r="AT419">
        <v>1.9999999999999999E-6</v>
      </c>
      <c r="AU419" t="s">
        <v>3</v>
      </c>
      <c r="AV419">
        <v>0</v>
      </c>
      <c r="AW419">
        <v>2</v>
      </c>
      <c r="AX419">
        <v>68992165</v>
      </c>
      <c r="AY419">
        <v>1</v>
      </c>
      <c r="AZ419">
        <v>0</v>
      </c>
      <c r="BA419">
        <v>411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Y419*Source!I147</f>
        <v>6.0000000000000002E-6</v>
      </c>
      <c r="CY419">
        <f t="shared" si="77"/>
        <v>850805</v>
      </c>
      <c r="CZ419">
        <f t="shared" si="78"/>
        <v>65750</v>
      </c>
      <c r="DA419">
        <f t="shared" si="79"/>
        <v>12.94</v>
      </c>
      <c r="DB419">
        <f t="shared" si="80"/>
        <v>0.13</v>
      </c>
      <c r="DC419">
        <f t="shared" si="81"/>
        <v>0</v>
      </c>
    </row>
    <row r="420" spans="1:107" x14ac:dyDescent="0.2">
      <c r="A420">
        <f>ROW(Source!A147)</f>
        <v>147</v>
      </c>
      <c r="B420">
        <v>68990560</v>
      </c>
      <c r="C420">
        <v>68992154</v>
      </c>
      <c r="D420">
        <v>64283070</v>
      </c>
      <c r="E420">
        <v>1</v>
      </c>
      <c r="F420">
        <v>1</v>
      </c>
      <c r="G420">
        <v>1</v>
      </c>
      <c r="H420">
        <v>3</v>
      </c>
      <c r="I420" t="s">
        <v>851</v>
      </c>
      <c r="J420" t="s">
        <v>852</v>
      </c>
      <c r="K420" t="s">
        <v>853</v>
      </c>
      <c r="L420">
        <v>1346</v>
      </c>
      <c r="N420">
        <v>1009</v>
      </c>
      <c r="O420" t="s">
        <v>170</v>
      </c>
      <c r="P420" t="s">
        <v>170</v>
      </c>
      <c r="Q420">
        <v>1</v>
      </c>
      <c r="W420">
        <v>0</v>
      </c>
      <c r="X420">
        <v>-1167963020</v>
      </c>
      <c r="Y420">
        <v>0.01</v>
      </c>
      <c r="AA420">
        <v>253.43</v>
      </c>
      <c r="AB420">
        <v>0</v>
      </c>
      <c r="AC420">
        <v>0</v>
      </c>
      <c r="AD420">
        <v>0</v>
      </c>
      <c r="AE420">
        <v>28.93</v>
      </c>
      <c r="AF420">
        <v>0</v>
      </c>
      <c r="AG420">
        <v>0</v>
      </c>
      <c r="AH420">
        <v>0</v>
      </c>
      <c r="AI420">
        <v>8.76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1</v>
      </c>
      <c r="AQ420">
        <v>0</v>
      </c>
      <c r="AR420">
        <v>0</v>
      </c>
      <c r="AS420" t="s">
        <v>3</v>
      </c>
      <c r="AT420">
        <v>0.01</v>
      </c>
      <c r="AU420" t="s">
        <v>3</v>
      </c>
      <c r="AV420">
        <v>0</v>
      </c>
      <c r="AW420">
        <v>2</v>
      </c>
      <c r="AX420">
        <v>68992166</v>
      </c>
      <c r="AY420">
        <v>1</v>
      </c>
      <c r="AZ420">
        <v>0</v>
      </c>
      <c r="BA420">
        <v>412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Y420*Source!I147</f>
        <v>0.03</v>
      </c>
      <c r="CY420">
        <f t="shared" si="77"/>
        <v>253.43</v>
      </c>
      <c r="CZ420">
        <f t="shared" si="78"/>
        <v>28.93</v>
      </c>
      <c r="DA420">
        <f t="shared" si="79"/>
        <v>8.76</v>
      </c>
      <c r="DB420">
        <f t="shared" si="80"/>
        <v>0.28999999999999998</v>
      </c>
      <c r="DC420">
        <f t="shared" si="81"/>
        <v>0</v>
      </c>
    </row>
    <row r="421" spans="1:107" x14ac:dyDescent="0.2">
      <c r="A421">
        <f>ROW(Source!A147)</f>
        <v>147</v>
      </c>
      <c r="B421">
        <v>68990560</v>
      </c>
      <c r="C421">
        <v>68992154</v>
      </c>
      <c r="D421">
        <v>64312702</v>
      </c>
      <c r="E421">
        <v>1</v>
      </c>
      <c r="F421">
        <v>1</v>
      </c>
      <c r="G421">
        <v>1</v>
      </c>
      <c r="H421">
        <v>3</v>
      </c>
      <c r="I421" t="s">
        <v>854</v>
      </c>
      <c r="J421" t="s">
        <v>855</v>
      </c>
      <c r="K421" t="s">
        <v>856</v>
      </c>
      <c r="L421">
        <v>1346</v>
      </c>
      <c r="N421">
        <v>1009</v>
      </c>
      <c r="O421" t="s">
        <v>170</v>
      </c>
      <c r="P421" t="s">
        <v>170</v>
      </c>
      <c r="Q421">
        <v>1</v>
      </c>
      <c r="W421">
        <v>0</v>
      </c>
      <c r="X421">
        <v>-32121231</v>
      </c>
      <c r="Y421">
        <v>1.42E-3</v>
      </c>
      <c r="AA421">
        <v>172.15</v>
      </c>
      <c r="AB421">
        <v>0</v>
      </c>
      <c r="AC421">
        <v>0</v>
      </c>
      <c r="AD421">
        <v>0</v>
      </c>
      <c r="AE421">
        <v>38.340000000000003</v>
      </c>
      <c r="AF421">
        <v>0</v>
      </c>
      <c r="AG421">
        <v>0</v>
      </c>
      <c r="AH421">
        <v>0</v>
      </c>
      <c r="AI421">
        <v>4.49</v>
      </c>
      <c r="AJ421">
        <v>1</v>
      </c>
      <c r="AK421">
        <v>1</v>
      </c>
      <c r="AL421">
        <v>1</v>
      </c>
      <c r="AN421">
        <v>0</v>
      </c>
      <c r="AO421">
        <v>1</v>
      </c>
      <c r="AP421">
        <v>1</v>
      </c>
      <c r="AQ421">
        <v>0</v>
      </c>
      <c r="AR421">
        <v>0</v>
      </c>
      <c r="AS421" t="s">
        <v>3</v>
      </c>
      <c r="AT421">
        <v>1.42E-3</v>
      </c>
      <c r="AU421" t="s">
        <v>3</v>
      </c>
      <c r="AV421">
        <v>0</v>
      </c>
      <c r="AW421">
        <v>2</v>
      </c>
      <c r="AX421">
        <v>68992167</v>
      </c>
      <c r="AY421">
        <v>1</v>
      </c>
      <c r="AZ421">
        <v>0</v>
      </c>
      <c r="BA421">
        <v>413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Y421*Source!I147</f>
        <v>4.2599999999999999E-3</v>
      </c>
      <c r="CY421">
        <f t="shared" si="77"/>
        <v>172.15</v>
      </c>
      <c r="CZ421">
        <f t="shared" si="78"/>
        <v>38.340000000000003</v>
      </c>
      <c r="DA421">
        <f t="shared" si="79"/>
        <v>4.49</v>
      </c>
      <c r="DB421">
        <f t="shared" si="80"/>
        <v>0.05</v>
      </c>
      <c r="DC421">
        <f t="shared" si="81"/>
        <v>0</v>
      </c>
    </row>
    <row r="422" spans="1:107" x14ac:dyDescent="0.2">
      <c r="A422">
        <f>ROW(Source!A147)</f>
        <v>147</v>
      </c>
      <c r="B422">
        <v>68990560</v>
      </c>
      <c r="C422">
        <v>68992154</v>
      </c>
      <c r="D422">
        <v>64245580</v>
      </c>
      <c r="E422">
        <v>56</v>
      </c>
      <c r="F422">
        <v>1</v>
      </c>
      <c r="G422">
        <v>1</v>
      </c>
      <c r="H422">
        <v>3</v>
      </c>
      <c r="I422" t="s">
        <v>837</v>
      </c>
      <c r="J422" t="s">
        <v>3</v>
      </c>
      <c r="K422" t="s">
        <v>838</v>
      </c>
      <c r="L422">
        <v>1374</v>
      </c>
      <c r="N422">
        <v>1013</v>
      </c>
      <c r="O422" t="s">
        <v>839</v>
      </c>
      <c r="P422" t="s">
        <v>839</v>
      </c>
      <c r="Q422">
        <v>1</v>
      </c>
      <c r="W422">
        <v>0</v>
      </c>
      <c r="X422">
        <v>-1731369543</v>
      </c>
      <c r="Y422">
        <v>0.16</v>
      </c>
      <c r="AA422">
        <v>1</v>
      </c>
      <c r="AB422">
        <v>0</v>
      </c>
      <c r="AC422">
        <v>0</v>
      </c>
      <c r="AD422">
        <v>0</v>
      </c>
      <c r="AE422">
        <v>1</v>
      </c>
      <c r="AF422">
        <v>0</v>
      </c>
      <c r="AG422">
        <v>0</v>
      </c>
      <c r="AH422">
        <v>0</v>
      </c>
      <c r="AI422">
        <v>1</v>
      </c>
      <c r="AJ422">
        <v>1</v>
      </c>
      <c r="AK422">
        <v>1</v>
      </c>
      <c r="AL422">
        <v>1</v>
      </c>
      <c r="AN422">
        <v>0</v>
      </c>
      <c r="AO422">
        <v>1</v>
      </c>
      <c r="AP422">
        <v>1</v>
      </c>
      <c r="AQ422">
        <v>0</v>
      </c>
      <c r="AR422">
        <v>0</v>
      </c>
      <c r="AS422" t="s">
        <v>3</v>
      </c>
      <c r="AT422">
        <v>0.16</v>
      </c>
      <c r="AU422" t="s">
        <v>3</v>
      </c>
      <c r="AV422">
        <v>0</v>
      </c>
      <c r="AW422">
        <v>2</v>
      </c>
      <c r="AX422">
        <v>68992168</v>
      </c>
      <c r="AY422">
        <v>1</v>
      </c>
      <c r="AZ422">
        <v>0</v>
      </c>
      <c r="BA422">
        <v>414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Y422*Source!I147</f>
        <v>0.48</v>
      </c>
      <c r="CY422">
        <f t="shared" si="77"/>
        <v>1</v>
      </c>
      <c r="CZ422">
        <f t="shared" si="78"/>
        <v>1</v>
      </c>
      <c r="DA422">
        <f t="shared" si="79"/>
        <v>1</v>
      </c>
      <c r="DB422">
        <f t="shared" si="80"/>
        <v>0.16</v>
      </c>
      <c r="DC422">
        <f t="shared" si="81"/>
        <v>0</v>
      </c>
    </row>
    <row r="423" spans="1:107" x14ac:dyDescent="0.2">
      <c r="A423">
        <f>ROW(Source!A148)</f>
        <v>148</v>
      </c>
      <c r="B423">
        <v>68990560</v>
      </c>
      <c r="C423">
        <v>68992169</v>
      </c>
      <c r="D423">
        <v>37064878</v>
      </c>
      <c r="E423">
        <v>56</v>
      </c>
      <c r="F423">
        <v>1</v>
      </c>
      <c r="G423">
        <v>1</v>
      </c>
      <c r="H423">
        <v>1</v>
      </c>
      <c r="I423" t="s">
        <v>955</v>
      </c>
      <c r="J423" t="s">
        <v>3</v>
      </c>
      <c r="K423" t="s">
        <v>956</v>
      </c>
      <c r="L423">
        <v>1191</v>
      </c>
      <c r="N423">
        <v>1013</v>
      </c>
      <c r="O423" t="s">
        <v>818</v>
      </c>
      <c r="P423" t="s">
        <v>818</v>
      </c>
      <c r="Q423">
        <v>1</v>
      </c>
      <c r="W423">
        <v>0</v>
      </c>
      <c r="X423">
        <v>-1081351934</v>
      </c>
      <c r="Y423">
        <v>26.858250000000002</v>
      </c>
      <c r="AA423">
        <v>0</v>
      </c>
      <c r="AB423">
        <v>0</v>
      </c>
      <c r="AC423">
        <v>0</v>
      </c>
      <c r="AD423">
        <v>9.4</v>
      </c>
      <c r="AE423">
        <v>0</v>
      </c>
      <c r="AF423">
        <v>0</v>
      </c>
      <c r="AG423">
        <v>0</v>
      </c>
      <c r="AH423">
        <v>9.4</v>
      </c>
      <c r="AI423">
        <v>1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1</v>
      </c>
      <c r="AQ423">
        <v>0</v>
      </c>
      <c r="AR423">
        <v>0</v>
      </c>
      <c r="AS423" t="s">
        <v>3</v>
      </c>
      <c r="AT423">
        <v>17.3</v>
      </c>
      <c r="AU423" t="s">
        <v>147</v>
      </c>
      <c r="AV423">
        <v>1</v>
      </c>
      <c r="AW423">
        <v>2</v>
      </c>
      <c r="AX423">
        <v>68992192</v>
      </c>
      <c r="AY423">
        <v>1</v>
      </c>
      <c r="AZ423">
        <v>0</v>
      </c>
      <c r="BA423">
        <v>415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Y423*Source!I148</f>
        <v>0.18800775000000003</v>
      </c>
      <c r="CY423">
        <f>AD423</f>
        <v>9.4</v>
      </c>
      <c r="CZ423">
        <f>AH423</f>
        <v>9.4</v>
      </c>
      <c r="DA423">
        <f>AL423</f>
        <v>1</v>
      </c>
      <c r="DB423">
        <f>ROUND(((ROUND(AT423*CZ423,2)*1.15)*1.35),2)</f>
        <v>252.47</v>
      </c>
      <c r="DC423">
        <f>ROUND(((ROUND(AT423*AG423,2)*1.15)*1.35),2)</f>
        <v>0</v>
      </c>
    </row>
    <row r="424" spans="1:107" x14ac:dyDescent="0.2">
      <c r="A424">
        <f>ROW(Source!A148)</f>
        <v>148</v>
      </c>
      <c r="B424">
        <v>68990560</v>
      </c>
      <c r="C424">
        <v>68992169</v>
      </c>
      <c r="D424">
        <v>37064876</v>
      </c>
      <c r="E424">
        <v>56</v>
      </c>
      <c r="F424">
        <v>1</v>
      </c>
      <c r="G424">
        <v>1</v>
      </c>
      <c r="H424">
        <v>1</v>
      </c>
      <c r="I424" t="s">
        <v>819</v>
      </c>
      <c r="J424" t="s">
        <v>3</v>
      </c>
      <c r="K424" t="s">
        <v>820</v>
      </c>
      <c r="L424">
        <v>1191</v>
      </c>
      <c r="N424">
        <v>1013</v>
      </c>
      <c r="O424" t="s">
        <v>818</v>
      </c>
      <c r="P424" t="s">
        <v>818</v>
      </c>
      <c r="Q424">
        <v>1</v>
      </c>
      <c r="W424">
        <v>0</v>
      </c>
      <c r="X424">
        <v>-1417349443</v>
      </c>
      <c r="Y424">
        <v>2.4806249999999999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1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1</v>
      </c>
      <c r="AQ424">
        <v>0</v>
      </c>
      <c r="AR424">
        <v>0</v>
      </c>
      <c r="AS424" t="s">
        <v>3</v>
      </c>
      <c r="AT424">
        <v>1.47</v>
      </c>
      <c r="AU424" t="s">
        <v>146</v>
      </c>
      <c r="AV424">
        <v>2</v>
      </c>
      <c r="AW424">
        <v>2</v>
      </c>
      <c r="AX424">
        <v>68992193</v>
      </c>
      <c r="AY424">
        <v>1</v>
      </c>
      <c r="AZ424">
        <v>0</v>
      </c>
      <c r="BA424">
        <v>416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Y424*Source!I148</f>
        <v>1.7364374999999998E-2</v>
      </c>
      <c r="CY424">
        <f>AD424</f>
        <v>0</v>
      </c>
      <c r="CZ424">
        <f>AH424</f>
        <v>0</v>
      </c>
      <c r="DA424">
        <f>AL424</f>
        <v>1</v>
      </c>
      <c r="DB424">
        <f t="shared" ref="DB424:DB431" si="82">ROUND(((ROUND(AT424*CZ424,2)*1.25)*1.35),2)</f>
        <v>0</v>
      </c>
      <c r="DC424">
        <f t="shared" ref="DC424:DC431" si="83">ROUND(((ROUND(AT424*AG424,2)*1.25)*1.35),2)</f>
        <v>0</v>
      </c>
    </row>
    <row r="425" spans="1:107" x14ac:dyDescent="0.2">
      <c r="A425">
        <f>ROW(Source!A148)</f>
        <v>148</v>
      </c>
      <c r="B425">
        <v>68990560</v>
      </c>
      <c r="C425">
        <v>68992169</v>
      </c>
      <c r="D425">
        <v>64401718</v>
      </c>
      <c r="E425">
        <v>1</v>
      </c>
      <c r="F425">
        <v>1</v>
      </c>
      <c r="G425">
        <v>1</v>
      </c>
      <c r="H425">
        <v>2</v>
      </c>
      <c r="I425" t="s">
        <v>904</v>
      </c>
      <c r="J425" t="s">
        <v>905</v>
      </c>
      <c r="K425" t="s">
        <v>906</v>
      </c>
      <c r="L425">
        <v>1368</v>
      </c>
      <c r="N425">
        <v>1011</v>
      </c>
      <c r="O425" t="s">
        <v>824</v>
      </c>
      <c r="P425" t="s">
        <v>824</v>
      </c>
      <c r="Q425">
        <v>1</v>
      </c>
      <c r="W425">
        <v>0</v>
      </c>
      <c r="X425">
        <v>-1078985958</v>
      </c>
      <c r="Y425">
        <v>0.16875000000000001</v>
      </c>
      <c r="AA425">
        <v>0</v>
      </c>
      <c r="AB425">
        <v>1006.41</v>
      </c>
      <c r="AC425">
        <v>518.88</v>
      </c>
      <c r="AD425">
        <v>0</v>
      </c>
      <c r="AE425">
        <v>0</v>
      </c>
      <c r="AF425">
        <v>120.24</v>
      </c>
      <c r="AG425">
        <v>15.42</v>
      </c>
      <c r="AH425">
        <v>0</v>
      </c>
      <c r="AI425">
        <v>1</v>
      </c>
      <c r="AJ425">
        <v>8.3699999999999992</v>
      </c>
      <c r="AK425">
        <v>33.65</v>
      </c>
      <c r="AL425">
        <v>1</v>
      </c>
      <c r="AN425">
        <v>0</v>
      </c>
      <c r="AO425">
        <v>1</v>
      </c>
      <c r="AP425">
        <v>1</v>
      </c>
      <c r="AQ425">
        <v>0</v>
      </c>
      <c r="AR425">
        <v>0</v>
      </c>
      <c r="AS425" t="s">
        <v>3</v>
      </c>
      <c r="AT425">
        <v>0.1</v>
      </c>
      <c r="AU425" t="s">
        <v>146</v>
      </c>
      <c r="AV425">
        <v>0</v>
      </c>
      <c r="AW425">
        <v>2</v>
      </c>
      <c r="AX425">
        <v>68992194</v>
      </c>
      <c r="AY425">
        <v>1</v>
      </c>
      <c r="AZ425">
        <v>0</v>
      </c>
      <c r="BA425">
        <v>417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Y425*Source!I148</f>
        <v>1.18125E-3</v>
      </c>
      <c r="CY425">
        <f t="shared" ref="CY425:CY431" si="84">AB425</f>
        <v>1006.41</v>
      </c>
      <c r="CZ425">
        <f t="shared" ref="CZ425:CZ431" si="85">AF425</f>
        <v>120.24</v>
      </c>
      <c r="DA425">
        <f t="shared" ref="DA425:DA431" si="86">AJ425</f>
        <v>8.3699999999999992</v>
      </c>
      <c r="DB425">
        <f t="shared" si="82"/>
        <v>20.28</v>
      </c>
      <c r="DC425">
        <f t="shared" si="83"/>
        <v>2.6</v>
      </c>
    </row>
    <row r="426" spans="1:107" x14ac:dyDescent="0.2">
      <c r="A426">
        <f>ROW(Source!A148)</f>
        <v>148</v>
      </c>
      <c r="B426">
        <v>68990560</v>
      </c>
      <c r="C426">
        <v>68992169</v>
      </c>
      <c r="D426">
        <v>64401763</v>
      </c>
      <c r="E426">
        <v>1</v>
      </c>
      <c r="F426">
        <v>1</v>
      </c>
      <c r="G426">
        <v>1</v>
      </c>
      <c r="H426">
        <v>2</v>
      </c>
      <c r="I426" t="s">
        <v>821</v>
      </c>
      <c r="J426" t="s">
        <v>822</v>
      </c>
      <c r="K426" t="s">
        <v>823</v>
      </c>
      <c r="L426">
        <v>1368</v>
      </c>
      <c r="N426">
        <v>1011</v>
      </c>
      <c r="O426" t="s">
        <v>824</v>
      </c>
      <c r="P426" t="s">
        <v>824</v>
      </c>
      <c r="Q426">
        <v>1</v>
      </c>
      <c r="W426">
        <v>0</v>
      </c>
      <c r="X426">
        <v>-1346461524</v>
      </c>
      <c r="Y426">
        <v>0.20250000000000001</v>
      </c>
      <c r="AA426">
        <v>0</v>
      </c>
      <c r="AB426">
        <v>1074.3699999999999</v>
      </c>
      <c r="AC426">
        <v>454.28</v>
      </c>
      <c r="AD426">
        <v>0</v>
      </c>
      <c r="AE426">
        <v>0</v>
      </c>
      <c r="AF426">
        <v>115.4</v>
      </c>
      <c r="AG426">
        <v>13.5</v>
      </c>
      <c r="AH426">
        <v>0</v>
      </c>
      <c r="AI426">
        <v>1</v>
      </c>
      <c r="AJ426">
        <v>9.31</v>
      </c>
      <c r="AK426">
        <v>33.65</v>
      </c>
      <c r="AL426">
        <v>1</v>
      </c>
      <c r="AN426">
        <v>0</v>
      </c>
      <c r="AO426">
        <v>1</v>
      </c>
      <c r="AP426">
        <v>1</v>
      </c>
      <c r="AQ426">
        <v>0</v>
      </c>
      <c r="AR426">
        <v>0</v>
      </c>
      <c r="AS426" t="s">
        <v>3</v>
      </c>
      <c r="AT426">
        <v>0.12</v>
      </c>
      <c r="AU426" t="s">
        <v>146</v>
      </c>
      <c r="AV426">
        <v>0</v>
      </c>
      <c r="AW426">
        <v>2</v>
      </c>
      <c r="AX426">
        <v>68992195</v>
      </c>
      <c r="AY426">
        <v>1</v>
      </c>
      <c r="AZ426">
        <v>0</v>
      </c>
      <c r="BA426">
        <v>418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Y426*Source!I148</f>
        <v>1.4175000000000001E-3</v>
      </c>
      <c r="CY426">
        <f t="shared" si="84"/>
        <v>1074.3699999999999</v>
      </c>
      <c r="CZ426">
        <f t="shared" si="85"/>
        <v>115.4</v>
      </c>
      <c r="DA426">
        <f t="shared" si="86"/>
        <v>9.31</v>
      </c>
      <c r="DB426">
        <f t="shared" si="82"/>
        <v>23.37</v>
      </c>
      <c r="DC426">
        <f t="shared" si="83"/>
        <v>2.73</v>
      </c>
    </row>
    <row r="427" spans="1:107" x14ac:dyDescent="0.2">
      <c r="A427">
        <f>ROW(Source!A148)</f>
        <v>148</v>
      </c>
      <c r="B427">
        <v>68990560</v>
      </c>
      <c r="C427">
        <v>68992169</v>
      </c>
      <c r="D427">
        <v>64401769</v>
      </c>
      <c r="E427">
        <v>1</v>
      </c>
      <c r="F427">
        <v>1</v>
      </c>
      <c r="G427">
        <v>1</v>
      </c>
      <c r="H427">
        <v>2</v>
      </c>
      <c r="I427" t="s">
        <v>957</v>
      </c>
      <c r="J427" t="s">
        <v>958</v>
      </c>
      <c r="K427" t="s">
        <v>959</v>
      </c>
      <c r="L427">
        <v>1368</v>
      </c>
      <c r="N427">
        <v>1011</v>
      </c>
      <c r="O427" t="s">
        <v>824</v>
      </c>
      <c r="P427" t="s">
        <v>824</v>
      </c>
      <c r="Q427">
        <v>1</v>
      </c>
      <c r="W427">
        <v>0</v>
      </c>
      <c r="X427">
        <v>1787894935</v>
      </c>
      <c r="Y427">
        <v>1.7887500000000003</v>
      </c>
      <c r="AA427">
        <v>0</v>
      </c>
      <c r="AB427">
        <v>1167.99</v>
      </c>
      <c r="AC427">
        <v>454.28</v>
      </c>
      <c r="AD427">
        <v>0</v>
      </c>
      <c r="AE427">
        <v>0</v>
      </c>
      <c r="AF427">
        <v>120.04</v>
      </c>
      <c r="AG427">
        <v>13.5</v>
      </c>
      <c r="AH427">
        <v>0</v>
      </c>
      <c r="AI427">
        <v>1</v>
      </c>
      <c r="AJ427">
        <v>9.73</v>
      </c>
      <c r="AK427">
        <v>33.65</v>
      </c>
      <c r="AL427">
        <v>1</v>
      </c>
      <c r="AN427">
        <v>0</v>
      </c>
      <c r="AO427">
        <v>1</v>
      </c>
      <c r="AP427">
        <v>1</v>
      </c>
      <c r="AQ427">
        <v>0</v>
      </c>
      <c r="AR427">
        <v>0</v>
      </c>
      <c r="AS427" t="s">
        <v>3</v>
      </c>
      <c r="AT427">
        <v>1.06</v>
      </c>
      <c r="AU427" t="s">
        <v>146</v>
      </c>
      <c r="AV427">
        <v>0</v>
      </c>
      <c r="AW427">
        <v>2</v>
      </c>
      <c r="AX427">
        <v>68992196</v>
      </c>
      <c r="AY427">
        <v>1</v>
      </c>
      <c r="AZ427">
        <v>0</v>
      </c>
      <c r="BA427">
        <v>419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Y427*Source!I148</f>
        <v>1.2521250000000003E-2</v>
      </c>
      <c r="CY427">
        <f t="shared" si="84"/>
        <v>1167.99</v>
      </c>
      <c r="CZ427">
        <f t="shared" si="85"/>
        <v>120.04</v>
      </c>
      <c r="DA427">
        <f t="shared" si="86"/>
        <v>9.73</v>
      </c>
      <c r="DB427">
        <f t="shared" si="82"/>
        <v>214.72</v>
      </c>
      <c r="DC427">
        <f t="shared" si="83"/>
        <v>24.15</v>
      </c>
    </row>
    <row r="428" spans="1:107" x14ac:dyDescent="0.2">
      <c r="A428">
        <f>ROW(Source!A148)</f>
        <v>148</v>
      </c>
      <c r="B428">
        <v>68990560</v>
      </c>
      <c r="C428">
        <v>68992169</v>
      </c>
      <c r="D428">
        <v>64401904</v>
      </c>
      <c r="E428">
        <v>1</v>
      </c>
      <c r="F428">
        <v>1</v>
      </c>
      <c r="G428">
        <v>1</v>
      </c>
      <c r="H428">
        <v>2</v>
      </c>
      <c r="I428" t="s">
        <v>960</v>
      </c>
      <c r="J428" t="s">
        <v>961</v>
      </c>
      <c r="K428" t="s">
        <v>962</v>
      </c>
      <c r="L428">
        <v>1368</v>
      </c>
      <c r="N428">
        <v>1011</v>
      </c>
      <c r="O428" t="s">
        <v>824</v>
      </c>
      <c r="P428" t="s">
        <v>824</v>
      </c>
      <c r="Q428">
        <v>1</v>
      </c>
      <c r="W428">
        <v>0</v>
      </c>
      <c r="X428">
        <v>-1595939894</v>
      </c>
      <c r="Y428">
        <v>1.4512499999999999</v>
      </c>
      <c r="AA428">
        <v>0</v>
      </c>
      <c r="AB428">
        <v>31.19</v>
      </c>
      <c r="AC428">
        <v>0</v>
      </c>
      <c r="AD428">
        <v>0</v>
      </c>
      <c r="AE428">
        <v>0</v>
      </c>
      <c r="AF428">
        <v>6.9</v>
      </c>
      <c r="AG428">
        <v>0</v>
      </c>
      <c r="AH428">
        <v>0</v>
      </c>
      <c r="AI428">
        <v>1</v>
      </c>
      <c r="AJ428">
        <v>4.5199999999999996</v>
      </c>
      <c r="AK428">
        <v>33.65</v>
      </c>
      <c r="AL428">
        <v>1</v>
      </c>
      <c r="AN428">
        <v>0</v>
      </c>
      <c r="AO428">
        <v>1</v>
      </c>
      <c r="AP428">
        <v>1</v>
      </c>
      <c r="AQ428">
        <v>0</v>
      </c>
      <c r="AR428">
        <v>0</v>
      </c>
      <c r="AS428" t="s">
        <v>3</v>
      </c>
      <c r="AT428">
        <v>0.86</v>
      </c>
      <c r="AU428" t="s">
        <v>146</v>
      </c>
      <c r="AV428">
        <v>0</v>
      </c>
      <c r="AW428">
        <v>2</v>
      </c>
      <c r="AX428">
        <v>68992197</v>
      </c>
      <c r="AY428">
        <v>1</v>
      </c>
      <c r="AZ428">
        <v>0</v>
      </c>
      <c r="BA428">
        <v>420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Y428*Source!I148</f>
        <v>1.0158749999999999E-2</v>
      </c>
      <c r="CY428">
        <f t="shared" si="84"/>
        <v>31.19</v>
      </c>
      <c r="CZ428">
        <f t="shared" si="85"/>
        <v>6.9</v>
      </c>
      <c r="DA428">
        <f t="shared" si="86"/>
        <v>4.5199999999999996</v>
      </c>
      <c r="DB428">
        <f t="shared" si="82"/>
        <v>10.01</v>
      </c>
      <c r="DC428">
        <f t="shared" si="83"/>
        <v>0</v>
      </c>
    </row>
    <row r="429" spans="1:107" x14ac:dyDescent="0.2">
      <c r="A429">
        <f>ROW(Source!A148)</f>
        <v>148</v>
      </c>
      <c r="B429">
        <v>68990560</v>
      </c>
      <c r="C429">
        <v>68992169</v>
      </c>
      <c r="D429">
        <v>64402691</v>
      </c>
      <c r="E429">
        <v>1</v>
      </c>
      <c r="F429">
        <v>1</v>
      </c>
      <c r="G429">
        <v>1</v>
      </c>
      <c r="H429">
        <v>2</v>
      </c>
      <c r="I429" t="s">
        <v>825</v>
      </c>
      <c r="J429" t="s">
        <v>826</v>
      </c>
      <c r="K429" t="s">
        <v>827</v>
      </c>
      <c r="L429">
        <v>1368</v>
      </c>
      <c r="N429">
        <v>1011</v>
      </c>
      <c r="O429" t="s">
        <v>824</v>
      </c>
      <c r="P429" t="s">
        <v>824</v>
      </c>
      <c r="Q429">
        <v>1</v>
      </c>
      <c r="W429">
        <v>0</v>
      </c>
      <c r="X429">
        <v>-841254546</v>
      </c>
      <c r="Y429">
        <v>0.32062499999999999</v>
      </c>
      <c r="AA429">
        <v>0</v>
      </c>
      <c r="AB429">
        <v>776.04</v>
      </c>
      <c r="AC429">
        <v>390.34</v>
      </c>
      <c r="AD429">
        <v>0</v>
      </c>
      <c r="AE429">
        <v>0</v>
      </c>
      <c r="AF429">
        <v>65.709999999999994</v>
      </c>
      <c r="AG429">
        <v>11.6</v>
      </c>
      <c r="AH429">
        <v>0</v>
      </c>
      <c r="AI429">
        <v>1</v>
      </c>
      <c r="AJ429">
        <v>11.81</v>
      </c>
      <c r="AK429">
        <v>33.65</v>
      </c>
      <c r="AL429">
        <v>1</v>
      </c>
      <c r="AN429">
        <v>0</v>
      </c>
      <c r="AO429">
        <v>1</v>
      </c>
      <c r="AP429">
        <v>1</v>
      </c>
      <c r="AQ429">
        <v>0</v>
      </c>
      <c r="AR429">
        <v>0</v>
      </c>
      <c r="AS429" t="s">
        <v>3</v>
      </c>
      <c r="AT429">
        <v>0.19</v>
      </c>
      <c r="AU429" t="s">
        <v>146</v>
      </c>
      <c r="AV429">
        <v>0</v>
      </c>
      <c r="AW429">
        <v>2</v>
      </c>
      <c r="AX429">
        <v>68992198</v>
      </c>
      <c r="AY429">
        <v>1</v>
      </c>
      <c r="AZ429">
        <v>0</v>
      </c>
      <c r="BA429">
        <v>421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Y429*Source!I148</f>
        <v>2.2443749999999998E-3</v>
      </c>
      <c r="CY429">
        <f t="shared" si="84"/>
        <v>776.04</v>
      </c>
      <c r="CZ429">
        <f t="shared" si="85"/>
        <v>65.709999999999994</v>
      </c>
      <c r="DA429">
        <f t="shared" si="86"/>
        <v>11.81</v>
      </c>
      <c r="DB429">
        <f t="shared" si="82"/>
        <v>21.06</v>
      </c>
      <c r="DC429">
        <f t="shared" si="83"/>
        <v>3.71</v>
      </c>
    </row>
    <row r="430" spans="1:107" x14ac:dyDescent="0.2">
      <c r="A430">
        <f>ROW(Source!A148)</f>
        <v>148</v>
      </c>
      <c r="B430">
        <v>68990560</v>
      </c>
      <c r="C430">
        <v>68992169</v>
      </c>
      <c r="D430">
        <v>64402844</v>
      </c>
      <c r="E430">
        <v>1</v>
      </c>
      <c r="F430">
        <v>1</v>
      </c>
      <c r="G430">
        <v>1</v>
      </c>
      <c r="H430">
        <v>2</v>
      </c>
      <c r="I430" t="s">
        <v>910</v>
      </c>
      <c r="J430" t="s">
        <v>911</v>
      </c>
      <c r="K430" t="s">
        <v>912</v>
      </c>
      <c r="L430">
        <v>1368</v>
      </c>
      <c r="N430">
        <v>1011</v>
      </c>
      <c r="O430" t="s">
        <v>824</v>
      </c>
      <c r="P430" t="s">
        <v>824</v>
      </c>
      <c r="Q430">
        <v>1</v>
      </c>
      <c r="W430">
        <v>0</v>
      </c>
      <c r="X430">
        <v>1927650788</v>
      </c>
      <c r="Y430">
        <v>3.7800000000000007</v>
      </c>
      <c r="AA430">
        <v>0</v>
      </c>
      <c r="AB430">
        <v>4.68</v>
      </c>
      <c r="AC430">
        <v>0</v>
      </c>
      <c r="AD430">
        <v>0</v>
      </c>
      <c r="AE430">
        <v>0</v>
      </c>
      <c r="AF430">
        <v>1.2</v>
      </c>
      <c r="AG430">
        <v>0</v>
      </c>
      <c r="AH430">
        <v>0</v>
      </c>
      <c r="AI430">
        <v>1</v>
      </c>
      <c r="AJ430">
        <v>3.9</v>
      </c>
      <c r="AK430">
        <v>33.65</v>
      </c>
      <c r="AL430">
        <v>1</v>
      </c>
      <c r="AN430">
        <v>0</v>
      </c>
      <c r="AO430">
        <v>1</v>
      </c>
      <c r="AP430">
        <v>1</v>
      </c>
      <c r="AQ430">
        <v>0</v>
      </c>
      <c r="AR430">
        <v>0</v>
      </c>
      <c r="AS430" t="s">
        <v>3</v>
      </c>
      <c r="AT430">
        <v>2.2400000000000002</v>
      </c>
      <c r="AU430" t="s">
        <v>146</v>
      </c>
      <c r="AV430">
        <v>0</v>
      </c>
      <c r="AW430">
        <v>2</v>
      </c>
      <c r="AX430">
        <v>68992199</v>
      </c>
      <c r="AY430">
        <v>1</v>
      </c>
      <c r="AZ430">
        <v>0</v>
      </c>
      <c r="BA430">
        <v>422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Y430*Source!I148</f>
        <v>2.6460000000000004E-2</v>
      </c>
      <c r="CY430">
        <f t="shared" si="84"/>
        <v>4.68</v>
      </c>
      <c r="CZ430">
        <f t="shared" si="85"/>
        <v>1.2</v>
      </c>
      <c r="DA430">
        <f t="shared" si="86"/>
        <v>3.9</v>
      </c>
      <c r="DB430">
        <f t="shared" si="82"/>
        <v>4.54</v>
      </c>
      <c r="DC430">
        <f t="shared" si="83"/>
        <v>0</v>
      </c>
    </row>
    <row r="431" spans="1:107" x14ac:dyDescent="0.2">
      <c r="A431">
        <f>ROW(Source!A148)</f>
        <v>148</v>
      </c>
      <c r="B431">
        <v>68990560</v>
      </c>
      <c r="C431">
        <v>68992169</v>
      </c>
      <c r="D431">
        <v>64402887</v>
      </c>
      <c r="E431">
        <v>1</v>
      </c>
      <c r="F431">
        <v>1</v>
      </c>
      <c r="G431">
        <v>1</v>
      </c>
      <c r="H431">
        <v>2</v>
      </c>
      <c r="I431" t="s">
        <v>913</v>
      </c>
      <c r="J431" t="s">
        <v>914</v>
      </c>
      <c r="K431" t="s">
        <v>915</v>
      </c>
      <c r="L431">
        <v>1368</v>
      </c>
      <c r="N431">
        <v>1011</v>
      </c>
      <c r="O431" t="s">
        <v>824</v>
      </c>
      <c r="P431" t="s">
        <v>824</v>
      </c>
      <c r="Q431">
        <v>1</v>
      </c>
      <c r="W431">
        <v>0</v>
      </c>
      <c r="X431">
        <v>1129227731</v>
      </c>
      <c r="Y431">
        <v>7.5093750000000004</v>
      </c>
      <c r="AA431">
        <v>0</v>
      </c>
      <c r="AB431">
        <v>97.86</v>
      </c>
      <c r="AC431">
        <v>0</v>
      </c>
      <c r="AD431">
        <v>0</v>
      </c>
      <c r="AE431">
        <v>0</v>
      </c>
      <c r="AF431">
        <v>12.31</v>
      </c>
      <c r="AG431">
        <v>0</v>
      </c>
      <c r="AH431">
        <v>0</v>
      </c>
      <c r="AI431">
        <v>1</v>
      </c>
      <c r="AJ431">
        <v>7.95</v>
      </c>
      <c r="AK431">
        <v>33.65</v>
      </c>
      <c r="AL431">
        <v>1</v>
      </c>
      <c r="AN431">
        <v>0</v>
      </c>
      <c r="AO431">
        <v>1</v>
      </c>
      <c r="AP431">
        <v>1</v>
      </c>
      <c r="AQ431">
        <v>0</v>
      </c>
      <c r="AR431">
        <v>0</v>
      </c>
      <c r="AS431" t="s">
        <v>3</v>
      </c>
      <c r="AT431">
        <v>4.45</v>
      </c>
      <c r="AU431" t="s">
        <v>146</v>
      </c>
      <c r="AV431">
        <v>0</v>
      </c>
      <c r="AW431">
        <v>2</v>
      </c>
      <c r="AX431">
        <v>68992200</v>
      </c>
      <c r="AY431">
        <v>1</v>
      </c>
      <c r="AZ431">
        <v>0</v>
      </c>
      <c r="BA431">
        <v>423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Y431*Source!I148</f>
        <v>5.2565625000000005E-2</v>
      </c>
      <c r="CY431">
        <f t="shared" si="84"/>
        <v>97.86</v>
      </c>
      <c r="CZ431">
        <f t="shared" si="85"/>
        <v>12.31</v>
      </c>
      <c r="DA431">
        <f t="shared" si="86"/>
        <v>7.95</v>
      </c>
      <c r="DB431">
        <f t="shared" si="82"/>
        <v>92.44</v>
      </c>
      <c r="DC431">
        <f t="shared" si="83"/>
        <v>0</v>
      </c>
    </row>
    <row r="432" spans="1:107" x14ac:dyDescent="0.2">
      <c r="A432">
        <f>ROW(Source!A148)</f>
        <v>148</v>
      </c>
      <c r="B432">
        <v>68990560</v>
      </c>
      <c r="C432">
        <v>68992169</v>
      </c>
      <c r="D432">
        <v>64251195</v>
      </c>
      <c r="E432">
        <v>1</v>
      </c>
      <c r="F432">
        <v>1</v>
      </c>
      <c r="G432">
        <v>1</v>
      </c>
      <c r="H432">
        <v>3</v>
      </c>
      <c r="I432" t="s">
        <v>916</v>
      </c>
      <c r="J432" t="s">
        <v>917</v>
      </c>
      <c r="K432" t="s">
        <v>918</v>
      </c>
      <c r="L432">
        <v>1339</v>
      </c>
      <c r="N432">
        <v>1007</v>
      </c>
      <c r="O432" t="s">
        <v>113</v>
      </c>
      <c r="P432" t="s">
        <v>113</v>
      </c>
      <c r="Q432">
        <v>1</v>
      </c>
      <c r="W432">
        <v>0</v>
      </c>
      <c r="X432">
        <v>-2065749550</v>
      </c>
      <c r="Y432">
        <v>1.95</v>
      </c>
      <c r="AA432">
        <v>60.89</v>
      </c>
      <c r="AB432">
        <v>0</v>
      </c>
      <c r="AC432">
        <v>0</v>
      </c>
      <c r="AD432">
        <v>0</v>
      </c>
      <c r="AE432">
        <v>6.22</v>
      </c>
      <c r="AF432">
        <v>0</v>
      </c>
      <c r="AG432">
        <v>0</v>
      </c>
      <c r="AH432">
        <v>0</v>
      </c>
      <c r="AI432">
        <v>9.7899999999999991</v>
      </c>
      <c r="AJ432">
        <v>1</v>
      </c>
      <c r="AK432">
        <v>1</v>
      </c>
      <c r="AL432">
        <v>1</v>
      </c>
      <c r="AN432">
        <v>0</v>
      </c>
      <c r="AO432">
        <v>1</v>
      </c>
      <c r="AP432">
        <v>1</v>
      </c>
      <c r="AQ432">
        <v>0</v>
      </c>
      <c r="AR432">
        <v>0</v>
      </c>
      <c r="AS432" t="s">
        <v>3</v>
      </c>
      <c r="AT432">
        <v>1.95</v>
      </c>
      <c r="AU432" t="s">
        <v>3</v>
      </c>
      <c r="AV432">
        <v>0</v>
      </c>
      <c r="AW432">
        <v>2</v>
      </c>
      <c r="AX432">
        <v>68992201</v>
      </c>
      <c r="AY432">
        <v>1</v>
      </c>
      <c r="AZ432">
        <v>0</v>
      </c>
      <c r="BA432">
        <v>424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Y432*Source!I148</f>
        <v>1.3650000000000001E-2</v>
      </c>
      <c r="CY432">
        <f t="shared" ref="CY432:CY444" si="87">AA432</f>
        <v>60.89</v>
      </c>
      <c r="CZ432">
        <f t="shared" ref="CZ432:CZ444" si="88">AE432</f>
        <v>6.22</v>
      </c>
      <c r="DA432">
        <f t="shared" ref="DA432:DA444" si="89">AI432</f>
        <v>9.7899999999999991</v>
      </c>
      <c r="DB432">
        <f t="shared" ref="DB432:DB444" si="90">ROUND(ROUND(AT432*CZ432,2),2)</f>
        <v>12.13</v>
      </c>
      <c r="DC432">
        <f t="shared" ref="DC432:DC444" si="91">ROUND(ROUND(AT432*AG432,2),2)</f>
        <v>0</v>
      </c>
    </row>
    <row r="433" spans="1:107" x14ac:dyDescent="0.2">
      <c r="A433">
        <f>ROW(Source!A148)</f>
        <v>148</v>
      </c>
      <c r="B433">
        <v>68990560</v>
      </c>
      <c r="C433">
        <v>68992169</v>
      </c>
      <c r="D433">
        <v>64251201</v>
      </c>
      <c r="E433">
        <v>1</v>
      </c>
      <c r="F433">
        <v>1</v>
      </c>
      <c r="G433">
        <v>1</v>
      </c>
      <c r="H433">
        <v>3</v>
      </c>
      <c r="I433" t="s">
        <v>919</v>
      </c>
      <c r="J433" t="s">
        <v>920</v>
      </c>
      <c r="K433" t="s">
        <v>921</v>
      </c>
      <c r="L433">
        <v>1346</v>
      </c>
      <c r="N433">
        <v>1009</v>
      </c>
      <c r="O433" t="s">
        <v>170</v>
      </c>
      <c r="P433" t="s">
        <v>170</v>
      </c>
      <c r="Q433">
        <v>1</v>
      </c>
      <c r="W433">
        <v>0</v>
      </c>
      <c r="X433">
        <v>-21371743</v>
      </c>
      <c r="Y433">
        <v>0.59</v>
      </c>
      <c r="AA433">
        <v>43.54</v>
      </c>
      <c r="AB433">
        <v>0</v>
      </c>
      <c r="AC433">
        <v>0</v>
      </c>
      <c r="AD433">
        <v>0</v>
      </c>
      <c r="AE433">
        <v>6.09</v>
      </c>
      <c r="AF433">
        <v>0</v>
      </c>
      <c r="AG433">
        <v>0</v>
      </c>
      <c r="AH433">
        <v>0</v>
      </c>
      <c r="AI433">
        <v>7.15</v>
      </c>
      <c r="AJ433">
        <v>1</v>
      </c>
      <c r="AK433">
        <v>1</v>
      </c>
      <c r="AL433">
        <v>1</v>
      </c>
      <c r="AN433">
        <v>0</v>
      </c>
      <c r="AO433">
        <v>1</v>
      </c>
      <c r="AP433">
        <v>1</v>
      </c>
      <c r="AQ433">
        <v>0</v>
      </c>
      <c r="AR433">
        <v>0</v>
      </c>
      <c r="AS433" t="s">
        <v>3</v>
      </c>
      <c r="AT433">
        <v>0.59</v>
      </c>
      <c r="AU433" t="s">
        <v>3</v>
      </c>
      <c r="AV433">
        <v>0</v>
      </c>
      <c r="AW433">
        <v>2</v>
      </c>
      <c r="AX433">
        <v>68992202</v>
      </c>
      <c r="AY433">
        <v>1</v>
      </c>
      <c r="AZ433">
        <v>0</v>
      </c>
      <c r="BA433">
        <v>425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Y433*Source!I148</f>
        <v>4.13E-3</v>
      </c>
      <c r="CY433">
        <f t="shared" si="87"/>
        <v>43.54</v>
      </c>
      <c r="CZ433">
        <f t="shared" si="88"/>
        <v>6.09</v>
      </c>
      <c r="DA433">
        <f t="shared" si="89"/>
        <v>7.15</v>
      </c>
      <c r="DB433">
        <f t="shared" si="90"/>
        <v>3.59</v>
      </c>
      <c r="DC433">
        <f t="shared" si="91"/>
        <v>0</v>
      </c>
    </row>
    <row r="434" spans="1:107" x14ac:dyDescent="0.2">
      <c r="A434">
        <f>ROW(Source!A148)</f>
        <v>148</v>
      </c>
      <c r="B434">
        <v>68990560</v>
      </c>
      <c r="C434">
        <v>68992169</v>
      </c>
      <c r="D434">
        <v>64253863</v>
      </c>
      <c r="E434">
        <v>1</v>
      </c>
      <c r="F434">
        <v>1</v>
      </c>
      <c r="G434">
        <v>1</v>
      </c>
      <c r="H434">
        <v>3</v>
      </c>
      <c r="I434" t="s">
        <v>922</v>
      </c>
      <c r="J434" t="s">
        <v>923</v>
      </c>
      <c r="K434" t="s">
        <v>924</v>
      </c>
      <c r="L434">
        <v>1346</v>
      </c>
      <c r="N434">
        <v>1009</v>
      </c>
      <c r="O434" t="s">
        <v>170</v>
      </c>
      <c r="P434" t="s">
        <v>170</v>
      </c>
      <c r="Q434">
        <v>1</v>
      </c>
      <c r="W434">
        <v>0</v>
      </c>
      <c r="X434">
        <v>1160504311</v>
      </c>
      <c r="Y434">
        <v>31</v>
      </c>
      <c r="AA434">
        <v>112.02</v>
      </c>
      <c r="AB434">
        <v>0</v>
      </c>
      <c r="AC434">
        <v>0</v>
      </c>
      <c r="AD434">
        <v>0</v>
      </c>
      <c r="AE434">
        <v>10.75</v>
      </c>
      <c r="AF434">
        <v>0</v>
      </c>
      <c r="AG434">
        <v>0</v>
      </c>
      <c r="AH434">
        <v>0</v>
      </c>
      <c r="AI434">
        <v>10.42</v>
      </c>
      <c r="AJ434">
        <v>1</v>
      </c>
      <c r="AK434">
        <v>1</v>
      </c>
      <c r="AL434">
        <v>1</v>
      </c>
      <c r="AN434">
        <v>0</v>
      </c>
      <c r="AO434">
        <v>1</v>
      </c>
      <c r="AP434">
        <v>1</v>
      </c>
      <c r="AQ434">
        <v>0</v>
      </c>
      <c r="AR434">
        <v>0</v>
      </c>
      <c r="AS434" t="s">
        <v>3</v>
      </c>
      <c r="AT434">
        <v>31</v>
      </c>
      <c r="AU434" t="s">
        <v>3</v>
      </c>
      <c r="AV434">
        <v>0</v>
      </c>
      <c r="AW434">
        <v>2</v>
      </c>
      <c r="AX434">
        <v>68992203</v>
      </c>
      <c r="AY434">
        <v>1</v>
      </c>
      <c r="AZ434">
        <v>0</v>
      </c>
      <c r="BA434">
        <v>426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Y434*Source!I148</f>
        <v>0.217</v>
      </c>
      <c r="CY434">
        <f t="shared" si="87"/>
        <v>112.02</v>
      </c>
      <c r="CZ434">
        <f t="shared" si="88"/>
        <v>10.75</v>
      </c>
      <c r="DA434">
        <f t="shared" si="89"/>
        <v>10.42</v>
      </c>
      <c r="DB434">
        <f t="shared" si="90"/>
        <v>333.25</v>
      </c>
      <c r="DC434">
        <f t="shared" si="91"/>
        <v>0</v>
      </c>
    </row>
    <row r="435" spans="1:107" x14ac:dyDescent="0.2">
      <c r="A435">
        <f>ROW(Source!A148)</f>
        <v>148</v>
      </c>
      <c r="B435">
        <v>68990560</v>
      </c>
      <c r="C435">
        <v>68992169</v>
      </c>
      <c r="D435">
        <v>64255009</v>
      </c>
      <c r="E435">
        <v>1</v>
      </c>
      <c r="F435">
        <v>1</v>
      </c>
      <c r="G435">
        <v>1</v>
      </c>
      <c r="H435">
        <v>3</v>
      </c>
      <c r="I435" t="s">
        <v>963</v>
      </c>
      <c r="J435" t="s">
        <v>964</v>
      </c>
      <c r="K435" t="s">
        <v>965</v>
      </c>
      <c r="L435">
        <v>1346</v>
      </c>
      <c r="N435">
        <v>1009</v>
      </c>
      <c r="O435" t="s">
        <v>170</v>
      </c>
      <c r="P435" t="s">
        <v>170</v>
      </c>
      <c r="Q435">
        <v>1</v>
      </c>
      <c r="W435">
        <v>0</v>
      </c>
      <c r="X435">
        <v>-584220791</v>
      </c>
      <c r="Y435">
        <v>4</v>
      </c>
      <c r="AA435">
        <v>93.93</v>
      </c>
      <c r="AB435">
        <v>0</v>
      </c>
      <c r="AC435">
        <v>0</v>
      </c>
      <c r="AD435">
        <v>0</v>
      </c>
      <c r="AE435">
        <v>9.0399999999999991</v>
      </c>
      <c r="AF435">
        <v>0</v>
      </c>
      <c r="AG435">
        <v>0</v>
      </c>
      <c r="AH435">
        <v>0</v>
      </c>
      <c r="AI435">
        <v>10.39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1</v>
      </c>
      <c r="AQ435">
        <v>0</v>
      </c>
      <c r="AR435">
        <v>0</v>
      </c>
      <c r="AS435" t="s">
        <v>3</v>
      </c>
      <c r="AT435">
        <v>4</v>
      </c>
      <c r="AU435" t="s">
        <v>3</v>
      </c>
      <c r="AV435">
        <v>0</v>
      </c>
      <c r="AW435">
        <v>2</v>
      </c>
      <c r="AX435">
        <v>68992204</v>
      </c>
      <c r="AY435">
        <v>1</v>
      </c>
      <c r="AZ435">
        <v>0</v>
      </c>
      <c r="BA435">
        <v>427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Y435*Source!I148</f>
        <v>2.8000000000000001E-2</v>
      </c>
      <c r="CY435">
        <f t="shared" si="87"/>
        <v>93.93</v>
      </c>
      <c r="CZ435">
        <f t="shared" si="88"/>
        <v>9.0399999999999991</v>
      </c>
      <c r="DA435">
        <f t="shared" si="89"/>
        <v>10.39</v>
      </c>
      <c r="DB435">
        <f t="shared" si="90"/>
        <v>36.159999999999997</v>
      </c>
      <c r="DC435">
        <f t="shared" si="91"/>
        <v>0</v>
      </c>
    </row>
    <row r="436" spans="1:107" x14ac:dyDescent="0.2">
      <c r="A436">
        <f>ROW(Source!A148)</f>
        <v>148</v>
      </c>
      <c r="B436">
        <v>68990560</v>
      </c>
      <c r="C436">
        <v>68992169</v>
      </c>
      <c r="D436">
        <v>64255112</v>
      </c>
      <c r="E436">
        <v>1</v>
      </c>
      <c r="F436">
        <v>1</v>
      </c>
      <c r="G436">
        <v>1</v>
      </c>
      <c r="H436">
        <v>3</v>
      </c>
      <c r="I436" t="s">
        <v>925</v>
      </c>
      <c r="J436" t="s">
        <v>926</v>
      </c>
      <c r="K436" t="s">
        <v>927</v>
      </c>
      <c r="L436">
        <v>1348</v>
      </c>
      <c r="N436">
        <v>1009</v>
      </c>
      <c r="O436" t="s">
        <v>71</v>
      </c>
      <c r="P436" t="s">
        <v>71</v>
      </c>
      <c r="Q436">
        <v>1000</v>
      </c>
      <c r="W436">
        <v>0</v>
      </c>
      <c r="X436">
        <v>-2110081257</v>
      </c>
      <c r="Y436">
        <v>1.0000000000000001E-5</v>
      </c>
      <c r="AA436">
        <v>102052.56</v>
      </c>
      <c r="AB436">
        <v>0</v>
      </c>
      <c r="AC436">
        <v>0</v>
      </c>
      <c r="AD436">
        <v>0</v>
      </c>
      <c r="AE436">
        <v>11978</v>
      </c>
      <c r="AF436">
        <v>0</v>
      </c>
      <c r="AG436">
        <v>0</v>
      </c>
      <c r="AH436">
        <v>0</v>
      </c>
      <c r="AI436">
        <v>8.52</v>
      </c>
      <c r="AJ436">
        <v>1</v>
      </c>
      <c r="AK436">
        <v>1</v>
      </c>
      <c r="AL436">
        <v>1</v>
      </c>
      <c r="AN436">
        <v>0</v>
      </c>
      <c r="AO436">
        <v>1</v>
      </c>
      <c r="AP436">
        <v>1</v>
      </c>
      <c r="AQ436">
        <v>0</v>
      </c>
      <c r="AR436">
        <v>0</v>
      </c>
      <c r="AS436" t="s">
        <v>3</v>
      </c>
      <c r="AT436">
        <v>1.0000000000000001E-5</v>
      </c>
      <c r="AU436" t="s">
        <v>3</v>
      </c>
      <c r="AV436">
        <v>0</v>
      </c>
      <c r="AW436">
        <v>2</v>
      </c>
      <c r="AX436">
        <v>68992205</v>
      </c>
      <c r="AY436">
        <v>1</v>
      </c>
      <c r="AZ436">
        <v>0</v>
      </c>
      <c r="BA436">
        <v>428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Y436*Source!I148</f>
        <v>7.0000000000000005E-8</v>
      </c>
      <c r="CY436">
        <f t="shared" si="87"/>
        <v>102052.56</v>
      </c>
      <c r="CZ436">
        <f t="shared" si="88"/>
        <v>11978</v>
      </c>
      <c r="DA436">
        <f t="shared" si="89"/>
        <v>8.52</v>
      </c>
      <c r="DB436">
        <f t="shared" si="90"/>
        <v>0.12</v>
      </c>
      <c r="DC436">
        <f t="shared" si="91"/>
        <v>0</v>
      </c>
    </row>
    <row r="437" spans="1:107" x14ac:dyDescent="0.2">
      <c r="A437">
        <f>ROW(Source!A148)</f>
        <v>148</v>
      </c>
      <c r="B437">
        <v>68990560</v>
      </c>
      <c r="C437">
        <v>68992169</v>
      </c>
      <c r="D437">
        <v>64256203</v>
      </c>
      <c r="E437">
        <v>1</v>
      </c>
      <c r="F437">
        <v>1</v>
      </c>
      <c r="G437">
        <v>1</v>
      </c>
      <c r="H437">
        <v>3</v>
      </c>
      <c r="I437" t="s">
        <v>928</v>
      </c>
      <c r="J437" t="s">
        <v>929</v>
      </c>
      <c r="K437" t="s">
        <v>930</v>
      </c>
      <c r="L437">
        <v>1348</v>
      </c>
      <c r="N437">
        <v>1009</v>
      </c>
      <c r="O437" t="s">
        <v>71</v>
      </c>
      <c r="P437" t="s">
        <v>71</v>
      </c>
      <c r="Q437">
        <v>1000</v>
      </c>
      <c r="W437">
        <v>0</v>
      </c>
      <c r="X437">
        <v>-1908218251</v>
      </c>
      <c r="Y437">
        <v>1E-4</v>
      </c>
      <c r="AA437">
        <v>169034</v>
      </c>
      <c r="AB437">
        <v>0</v>
      </c>
      <c r="AC437">
        <v>0</v>
      </c>
      <c r="AD437">
        <v>0</v>
      </c>
      <c r="AE437">
        <v>37900</v>
      </c>
      <c r="AF437">
        <v>0</v>
      </c>
      <c r="AG437">
        <v>0</v>
      </c>
      <c r="AH437">
        <v>0</v>
      </c>
      <c r="AI437">
        <v>4.46</v>
      </c>
      <c r="AJ437">
        <v>1</v>
      </c>
      <c r="AK437">
        <v>1</v>
      </c>
      <c r="AL437">
        <v>1</v>
      </c>
      <c r="AN437">
        <v>0</v>
      </c>
      <c r="AO437">
        <v>1</v>
      </c>
      <c r="AP437">
        <v>1</v>
      </c>
      <c r="AQ437">
        <v>0</v>
      </c>
      <c r="AR437">
        <v>0</v>
      </c>
      <c r="AS437" t="s">
        <v>3</v>
      </c>
      <c r="AT437">
        <v>1E-4</v>
      </c>
      <c r="AU437" t="s">
        <v>3</v>
      </c>
      <c r="AV437">
        <v>0</v>
      </c>
      <c r="AW437">
        <v>2</v>
      </c>
      <c r="AX437">
        <v>68992206</v>
      </c>
      <c r="AY437">
        <v>1</v>
      </c>
      <c r="AZ437">
        <v>0</v>
      </c>
      <c r="BA437">
        <v>429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Y437*Source!I148</f>
        <v>7.0000000000000007E-7</v>
      </c>
      <c r="CY437">
        <f t="shared" si="87"/>
        <v>169034</v>
      </c>
      <c r="CZ437">
        <f t="shared" si="88"/>
        <v>37900</v>
      </c>
      <c r="DA437">
        <f t="shared" si="89"/>
        <v>4.46</v>
      </c>
      <c r="DB437">
        <f t="shared" si="90"/>
        <v>3.79</v>
      </c>
      <c r="DC437">
        <f t="shared" si="91"/>
        <v>0</v>
      </c>
    </row>
    <row r="438" spans="1:107" x14ac:dyDescent="0.2">
      <c r="A438">
        <f>ROW(Source!A148)</f>
        <v>148</v>
      </c>
      <c r="B438">
        <v>68990560</v>
      </c>
      <c r="C438">
        <v>68992169</v>
      </c>
      <c r="D438">
        <v>64269842</v>
      </c>
      <c r="E438">
        <v>1</v>
      </c>
      <c r="F438">
        <v>1</v>
      </c>
      <c r="G438">
        <v>1</v>
      </c>
      <c r="H438">
        <v>3</v>
      </c>
      <c r="I438" t="s">
        <v>931</v>
      </c>
      <c r="J438" t="s">
        <v>932</v>
      </c>
      <c r="K438" t="s">
        <v>933</v>
      </c>
      <c r="L438">
        <v>1348</v>
      </c>
      <c r="N438">
        <v>1009</v>
      </c>
      <c r="O438" t="s">
        <v>71</v>
      </c>
      <c r="P438" t="s">
        <v>71</v>
      </c>
      <c r="Q438">
        <v>1000</v>
      </c>
      <c r="W438">
        <v>0</v>
      </c>
      <c r="X438">
        <v>1195780435</v>
      </c>
      <c r="Y438">
        <v>5.0000000000000001E-3</v>
      </c>
      <c r="AA438">
        <v>66477.440000000002</v>
      </c>
      <c r="AB438">
        <v>0</v>
      </c>
      <c r="AC438">
        <v>0</v>
      </c>
      <c r="AD438">
        <v>0</v>
      </c>
      <c r="AE438">
        <v>7712</v>
      </c>
      <c r="AF438">
        <v>0</v>
      </c>
      <c r="AG438">
        <v>0</v>
      </c>
      <c r="AH438">
        <v>0</v>
      </c>
      <c r="AI438">
        <v>8.6199999999999992</v>
      </c>
      <c r="AJ438">
        <v>1</v>
      </c>
      <c r="AK438">
        <v>1</v>
      </c>
      <c r="AL438">
        <v>1</v>
      </c>
      <c r="AN438">
        <v>0</v>
      </c>
      <c r="AO438">
        <v>1</v>
      </c>
      <c r="AP438">
        <v>1</v>
      </c>
      <c r="AQ438">
        <v>0</v>
      </c>
      <c r="AR438">
        <v>0</v>
      </c>
      <c r="AS438" t="s">
        <v>3</v>
      </c>
      <c r="AT438">
        <v>5.0000000000000001E-3</v>
      </c>
      <c r="AU438" t="s">
        <v>3</v>
      </c>
      <c r="AV438">
        <v>0</v>
      </c>
      <c r="AW438">
        <v>2</v>
      </c>
      <c r="AX438">
        <v>68992208</v>
      </c>
      <c r="AY438">
        <v>1</v>
      </c>
      <c r="AZ438">
        <v>0</v>
      </c>
      <c r="BA438">
        <v>431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Y438*Source!I148</f>
        <v>3.5000000000000004E-5</v>
      </c>
      <c r="CY438">
        <f t="shared" si="87"/>
        <v>66477.440000000002</v>
      </c>
      <c r="CZ438">
        <f t="shared" si="88"/>
        <v>7712</v>
      </c>
      <c r="DA438">
        <f t="shared" si="89"/>
        <v>8.6199999999999992</v>
      </c>
      <c r="DB438">
        <f t="shared" si="90"/>
        <v>38.56</v>
      </c>
      <c r="DC438">
        <f t="shared" si="91"/>
        <v>0</v>
      </c>
    </row>
    <row r="439" spans="1:107" x14ac:dyDescent="0.2">
      <c r="A439">
        <f>ROW(Source!A148)</f>
        <v>148</v>
      </c>
      <c r="B439">
        <v>68990560</v>
      </c>
      <c r="C439">
        <v>68992169</v>
      </c>
      <c r="D439">
        <v>64271871</v>
      </c>
      <c r="E439">
        <v>1</v>
      </c>
      <c r="F439">
        <v>1</v>
      </c>
      <c r="G439">
        <v>1</v>
      </c>
      <c r="H439">
        <v>3</v>
      </c>
      <c r="I439" t="s">
        <v>934</v>
      </c>
      <c r="J439" t="s">
        <v>935</v>
      </c>
      <c r="K439" t="s">
        <v>936</v>
      </c>
      <c r="L439">
        <v>1302</v>
      </c>
      <c r="N439">
        <v>1003</v>
      </c>
      <c r="O439" t="s">
        <v>395</v>
      </c>
      <c r="P439" t="s">
        <v>395</v>
      </c>
      <c r="Q439">
        <v>10</v>
      </c>
      <c r="W439">
        <v>0</v>
      </c>
      <c r="X439">
        <v>660380256</v>
      </c>
      <c r="Y439">
        <v>1.8700000000000001E-2</v>
      </c>
      <c r="AA439">
        <v>278.83</v>
      </c>
      <c r="AB439">
        <v>0</v>
      </c>
      <c r="AC439">
        <v>0</v>
      </c>
      <c r="AD439">
        <v>0</v>
      </c>
      <c r="AE439">
        <v>50.24</v>
      </c>
      <c r="AF439">
        <v>0</v>
      </c>
      <c r="AG439">
        <v>0</v>
      </c>
      <c r="AH439">
        <v>0</v>
      </c>
      <c r="AI439">
        <v>5.55</v>
      </c>
      <c r="AJ439">
        <v>1</v>
      </c>
      <c r="AK439">
        <v>1</v>
      </c>
      <c r="AL439">
        <v>1</v>
      </c>
      <c r="AN439">
        <v>0</v>
      </c>
      <c r="AO439">
        <v>1</v>
      </c>
      <c r="AP439">
        <v>1</v>
      </c>
      <c r="AQ439">
        <v>0</v>
      </c>
      <c r="AR439">
        <v>0</v>
      </c>
      <c r="AS439" t="s">
        <v>3</v>
      </c>
      <c r="AT439">
        <v>1.8700000000000001E-2</v>
      </c>
      <c r="AU439" t="s">
        <v>3</v>
      </c>
      <c r="AV439">
        <v>0</v>
      </c>
      <c r="AW439">
        <v>2</v>
      </c>
      <c r="AX439">
        <v>68992209</v>
      </c>
      <c r="AY439">
        <v>1</v>
      </c>
      <c r="AZ439">
        <v>0</v>
      </c>
      <c r="BA439">
        <v>432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Y439*Source!I148</f>
        <v>1.3090000000000001E-4</v>
      </c>
      <c r="CY439">
        <f t="shared" si="87"/>
        <v>278.83</v>
      </c>
      <c r="CZ439">
        <f t="shared" si="88"/>
        <v>50.24</v>
      </c>
      <c r="DA439">
        <f t="shared" si="89"/>
        <v>5.55</v>
      </c>
      <c r="DB439">
        <f t="shared" si="90"/>
        <v>0.94</v>
      </c>
      <c r="DC439">
        <f t="shared" si="91"/>
        <v>0</v>
      </c>
    </row>
    <row r="440" spans="1:107" x14ac:dyDescent="0.2">
      <c r="A440">
        <f>ROW(Source!A148)</f>
        <v>148</v>
      </c>
      <c r="B440">
        <v>68990560</v>
      </c>
      <c r="C440">
        <v>68992169</v>
      </c>
      <c r="D440">
        <v>64272226</v>
      </c>
      <c r="E440">
        <v>1</v>
      </c>
      <c r="F440">
        <v>1</v>
      </c>
      <c r="G440">
        <v>1</v>
      </c>
      <c r="H440">
        <v>3</v>
      </c>
      <c r="I440" t="s">
        <v>937</v>
      </c>
      <c r="J440" t="s">
        <v>938</v>
      </c>
      <c r="K440" t="s">
        <v>939</v>
      </c>
      <c r="L440">
        <v>1348</v>
      </c>
      <c r="N440">
        <v>1009</v>
      </c>
      <c r="O440" t="s">
        <v>71</v>
      </c>
      <c r="P440" t="s">
        <v>71</v>
      </c>
      <c r="Q440">
        <v>1000</v>
      </c>
      <c r="W440">
        <v>0</v>
      </c>
      <c r="X440">
        <v>-1782989208</v>
      </c>
      <c r="Y440">
        <v>3.0000000000000001E-5</v>
      </c>
      <c r="AA440">
        <v>40185.9</v>
      </c>
      <c r="AB440">
        <v>0</v>
      </c>
      <c r="AC440">
        <v>0</v>
      </c>
      <c r="AD440">
        <v>0</v>
      </c>
      <c r="AE440">
        <v>4455.2</v>
      </c>
      <c r="AF440">
        <v>0</v>
      </c>
      <c r="AG440">
        <v>0</v>
      </c>
      <c r="AH440">
        <v>0</v>
      </c>
      <c r="AI440">
        <v>9.02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1</v>
      </c>
      <c r="AQ440">
        <v>0</v>
      </c>
      <c r="AR440">
        <v>0</v>
      </c>
      <c r="AS440" t="s">
        <v>3</v>
      </c>
      <c r="AT440">
        <v>3.0000000000000001E-5</v>
      </c>
      <c r="AU440" t="s">
        <v>3</v>
      </c>
      <c r="AV440">
        <v>0</v>
      </c>
      <c r="AW440">
        <v>2</v>
      </c>
      <c r="AX440">
        <v>68992210</v>
      </c>
      <c r="AY440">
        <v>1</v>
      </c>
      <c r="AZ440">
        <v>0</v>
      </c>
      <c r="BA440">
        <v>433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Y440*Source!I148</f>
        <v>2.1E-7</v>
      </c>
      <c r="CY440">
        <f t="shared" si="87"/>
        <v>40185.9</v>
      </c>
      <c r="CZ440">
        <f t="shared" si="88"/>
        <v>4455.2</v>
      </c>
      <c r="DA440">
        <f t="shared" si="89"/>
        <v>9.02</v>
      </c>
      <c r="DB440">
        <f t="shared" si="90"/>
        <v>0.13</v>
      </c>
      <c r="DC440">
        <f t="shared" si="91"/>
        <v>0</v>
      </c>
    </row>
    <row r="441" spans="1:107" x14ac:dyDescent="0.2">
      <c r="A441">
        <f>ROW(Source!A148)</f>
        <v>148</v>
      </c>
      <c r="B441">
        <v>68990560</v>
      </c>
      <c r="C441">
        <v>68992169</v>
      </c>
      <c r="D441">
        <v>64272954</v>
      </c>
      <c r="E441">
        <v>1</v>
      </c>
      <c r="F441">
        <v>1</v>
      </c>
      <c r="G441">
        <v>1</v>
      </c>
      <c r="H441">
        <v>3</v>
      </c>
      <c r="I441" t="s">
        <v>940</v>
      </c>
      <c r="J441" t="s">
        <v>941</v>
      </c>
      <c r="K441" t="s">
        <v>942</v>
      </c>
      <c r="L441">
        <v>1348</v>
      </c>
      <c r="N441">
        <v>1009</v>
      </c>
      <c r="O441" t="s">
        <v>71</v>
      </c>
      <c r="P441" t="s">
        <v>71</v>
      </c>
      <c r="Q441">
        <v>1000</v>
      </c>
      <c r="W441">
        <v>0</v>
      </c>
      <c r="X441">
        <v>-2078930163</v>
      </c>
      <c r="Y441">
        <v>1.9400000000000001E-3</v>
      </c>
      <c r="AA441">
        <v>54513.599999999999</v>
      </c>
      <c r="AB441">
        <v>0</v>
      </c>
      <c r="AC441">
        <v>0</v>
      </c>
      <c r="AD441">
        <v>0</v>
      </c>
      <c r="AE441">
        <v>4920</v>
      </c>
      <c r="AF441">
        <v>0</v>
      </c>
      <c r="AG441">
        <v>0</v>
      </c>
      <c r="AH441">
        <v>0</v>
      </c>
      <c r="AI441">
        <v>11.08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1</v>
      </c>
      <c r="AQ441">
        <v>0</v>
      </c>
      <c r="AR441">
        <v>0</v>
      </c>
      <c r="AS441" t="s">
        <v>3</v>
      </c>
      <c r="AT441">
        <v>1.9400000000000001E-3</v>
      </c>
      <c r="AU441" t="s">
        <v>3</v>
      </c>
      <c r="AV441">
        <v>0</v>
      </c>
      <c r="AW441">
        <v>2</v>
      </c>
      <c r="AX441">
        <v>68992211</v>
      </c>
      <c r="AY441">
        <v>1</v>
      </c>
      <c r="AZ441">
        <v>0</v>
      </c>
      <c r="BA441">
        <v>434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Y441*Source!I148</f>
        <v>1.358E-5</v>
      </c>
      <c r="CY441">
        <f t="shared" si="87"/>
        <v>54513.599999999999</v>
      </c>
      <c r="CZ441">
        <f t="shared" si="88"/>
        <v>4920</v>
      </c>
      <c r="DA441">
        <f t="shared" si="89"/>
        <v>11.08</v>
      </c>
      <c r="DB441">
        <f t="shared" si="90"/>
        <v>9.5399999999999991</v>
      </c>
      <c r="DC441">
        <f t="shared" si="91"/>
        <v>0</v>
      </c>
    </row>
    <row r="442" spans="1:107" x14ac:dyDescent="0.2">
      <c r="A442">
        <f>ROW(Source!A148)</f>
        <v>148</v>
      </c>
      <c r="B442">
        <v>68990560</v>
      </c>
      <c r="C442">
        <v>68992169</v>
      </c>
      <c r="D442">
        <v>64276263</v>
      </c>
      <c r="E442">
        <v>1</v>
      </c>
      <c r="F442">
        <v>1</v>
      </c>
      <c r="G442">
        <v>1</v>
      </c>
      <c r="H442">
        <v>3</v>
      </c>
      <c r="I442" t="s">
        <v>943</v>
      </c>
      <c r="J442" t="s">
        <v>944</v>
      </c>
      <c r="K442" t="s">
        <v>945</v>
      </c>
      <c r="L442">
        <v>1339</v>
      </c>
      <c r="N442">
        <v>1007</v>
      </c>
      <c r="O442" t="s">
        <v>113</v>
      </c>
      <c r="P442" t="s">
        <v>113</v>
      </c>
      <c r="Q442">
        <v>1</v>
      </c>
      <c r="W442">
        <v>0</v>
      </c>
      <c r="X442">
        <v>-130131740</v>
      </c>
      <c r="Y442">
        <v>1.0300000000000001E-3</v>
      </c>
      <c r="AA442">
        <v>8721</v>
      </c>
      <c r="AB442">
        <v>0</v>
      </c>
      <c r="AC442">
        <v>0</v>
      </c>
      <c r="AD442">
        <v>0</v>
      </c>
      <c r="AE442">
        <v>1700</v>
      </c>
      <c r="AF442">
        <v>0</v>
      </c>
      <c r="AG442">
        <v>0</v>
      </c>
      <c r="AH442">
        <v>0</v>
      </c>
      <c r="AI442">
        <v>5.13</v>
      </c>
      <c r="AJ442">
        <v>1</v>
      </c>
      <c r="AK442">
        <v>1</v>
      </c>
      <c r="AL442">
        <v>1</v>
      </c>
      <c r="AN442">
        <v>0</v>
      </c>
      <c r="AO442">
        <v>1</v>
      </c>
      <c r="AP442">
        <v>1</v>
      </c>
      <c r="AQ442">
        <v>0</v>
      </c>
      <c r="AR442">
        <v>0</v>
      </c>
      <c r="AS442" t="s">
        <v>3</v>
      </c>
      <c r="AT442">
        <v>1.0300000000000001E-3</v>
      </c>
      <c r="AU442" t="s">
        <v>3</v>
      </c>
      <c r="AV442">
        <v>0</v>
      </c>
      <c r="AW442">
        <v>2</v>
      </c>
      <c r="AX442">
        <v>68992212</v>
      </c>
      <c r="AY442">
        <v>1</v>
      </c>
      <c r="AZ442">
        <v>0</v>
      </c>
      <c r="BA442">
        <v>435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Y442*Source!I148</f>
        <v>7.2100000000000004E-6</v>
      </c>
      <c r="CY442">
        <f t="shared" si="87"/>
        <v>8721</v>
      </c>
      <c r="CZ442">
        <f t="shared" si="88"/>
        <v>1700</v>
      </c>
      <c r="DA442">
        <f t="shared" si="89"/>
        <v>5.13</v>
      </c>
      <c r="DB442">
        <f t="shared" si="90"/>
        <v>1.75</v>
      </c>
      <c r="DC442">
        <f t="shared" si="91"/>
        <v>0</v>
      </c>
    </row>
    <row r="443" spans="1:107" x14ac:dyDescent="0.2">
      <c r="A443">
        <f>ROW(Source!A148)</f>
        <v>148</v>
      </c>
      <c r="B443">
        <v>68990560</v>
      </c>
      <c r="C443">
        <v>68992169</v>
      </c>
      <c r="D443">
        <v>64283919</v>
      </c>
      <c r="E443">
        <v>1</v>
      </c>
      <c r="F443">
        <v>1</v>
      </c>
      <c r="G443">
        <v>1</v>
      </c>
      <c r="H443">
        <v>3</v>
      </c>
      <c r="I443" t="s">
        <v>946</v>
      </c>
      <c r="J443" t="s">
        <v>947</v>
      </c>
      <c r="K443" t="s">
        <v>948</v>
      </c>
      <c r="L443">
        <v>1348</v>
      </c>
      <c r="N443">
        <v>1009</v>
      </c>
      <c r="O443" t="s">
        <v>71</v>
      </c>
      <c r="P443" t="s">
        <v>71</v>
      </c>
      <c r="Q443">
        <v>1000</v>
      </c>
      <c r="W443">
        <v>0</v>
      </c>
      <c r="X443">
        <v>-609333436</v>
      </c>
      <c r="Y443">
        <v>3.1E-4</v>
      </c>
      <c r="AA443">
        <v>88253</v>
      </c>
      <c r="AB443">
        <v>0</v>
      </c>
      <c r="AC443">
        <v>0</v>
      </c>
      <c r="AD443">
        <v>0</v>
      </c>
      <c r="AE443">
        <v>15620</v>
      </c>
      <c r="AF443">
        <v>0</v>
      </c>
      <c r="AG443">
        <v>0</v>
      </c>
      <c r="AH443">
        <v>0</v>
      </c>
      <c r="AI443">
        <v>5.65</v>
      </c>
      <c r="AJ443">
        <v>1</v>
      </c>
      <c r="AK443">
        <v>1</v>
      </c>
      <c r="AL443">
        <v>1</v>
      </c>
      <c r="AN443">
        <v>0</v>
      </c>
      <c r="AO443">
        <v>1</v>
      </c>
      <c r="AP443">
        <v>1</v>
      </c>
      <c r="AQ443">
        <v>0</v>
      </c>
      <c r="AR443">
        <v>0</v>
      </c>
      <c r="AS443" t="s">
        <v>3</v>
      </c>
      <c r="AT443">
        <v>3.1E-4</v>
      </c>
      <c r="AU443" t="s">
        <v>3</v>
      </c>
      <c r="AV443">
        <v>0</v>
      </c>
      <c r="AW443">
        <v>2</v>
      </c>
      <c r="AX443">
        <v>68992213</v>
      </c>
      <c r="AY443">
        <v>1</v>
      </c>
      <c r="AZ443">
        <v>0</v>
      </c>
      <c r="BA443">
        <v>436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Y443*Source!I148</f>
        <v>2.17E-6</v>
      </c>
      <c r="CY443">
        <f t="shared" si="87"/>
        <v>88253</v>
      </c>
      <c r="CZ443">
        <f t="shared" si="88"/>
        <v>15620</v>
      </c>
      <c r="DA443">
        <f t="shared" si="89"/>
        <v>5.65</v>
      </c>
      <c r="DB443">
        <f t="shared" si="90"/>
        <v>4.84</v>
      </c>
      <c r="DC443">
        <f t="shared" si="91"/>
        <v>0</v>
      </c>
    </row>
    <row r="444" spans="1:107" x14ac:dyDescent="0.2">
      <c r="A444">
        <f>ROW(Source!A148)</f>
        <v>148</v>
      </c>
      <c r="B444">
        <v>68990560</v>
      </c>
      <c r="C444">
        <v>68992169</v>
      </c>
      <c r="D444">
        <v>64285060</v>
      </c>
      <c r="E444">
        <v>1</v>
      </c>
      <c r="F444">
        <v>1</v>
      </c>
      <c r="G444">
        <v>1</v>
      </c>
      <c r="H444">
        <v>3</v>
      </c>
      <c r="I444" t="s">
        <v>949</v>
      </c>
      <c r="J444" t="s">
        <v>950</v>
      </c>
      <c r="K444" t="s">
        <v>951</v>
      </c>
      <c r="L444">
        <v>1346</v>
      </c>
      <c r="N444">
        <v>1009</v>
      </c>
      <c r="O444" t="s">
        <v>170</v>
      </c>
      <c r="P444" t="s">
        <v>170</v>
      </c>
      <c r="Q444">
        <v>1</v>
      </c>
      <c r="W444">
        <v>0</v>
      </c>
      <c r="X444">
        <v>1861960131</v>
      </c>
      <c r="Y444">
        <v>0.6</v>
      </c>
      <c r="AA444">
        <v>98.34</v>
      </c>
      <c r="AB444">
        <v>0</v>
      </c>
      <c r="AC444">
        <v>0</v>
      </c>
      <c r="AD444">
        <v>0</v>
      </c>
      <c r="AE444">
        <v>9.42</v>
      </c>
      <c r="AF444">
        <v>0</v>
      </c>
      <c r="AG444">
        <v>0</v>
      </c>
      <c r="AH444">
        <v>0</v>
      </c>
      <c r="AI444">
        <v>10.44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1</v>
      </c>
      <c r="AQ444">
        <v>0</v>
      </c>
      <c r="AR444">
        <v>0</v>
      </c>
      <c r="AS444" t="s">
        <v>3</v>
      </c>
      <c r="AT444">
        <v>0.6</v>
      </c>
      <c r="AU444" t="s">
        <v>3</v>
      </c>
      <c r="AV444">
        <v>0</v>
      </c>
      <c r="AW444">
        <v>2</v>
      </c>
      <c r="AX444">
        <v>68992214</v>
      </c>
      <c r="AY444">
        <v>1</v>
      </c>
      <c r="AZ444">
        <v>0</v>
      </c>
      <c r="BA444">
        <v>437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Y444*Source!I148</f>
        <v>4.1999999999999997E-3</v>
      </c>
      <c r="CY444">
        <f t="shared" si="87"/>
        <v>98.34</v>
      </c>
      <c r="CZ444">
        <f t="shared" si="88"/>
        <v>9.42</v>
      </c>
      <c r="DA444">
        <f t="shared" si="89"/>
        <v>10.44</v>
      </c>
      <c r="DB444">
        <f t="shared" si="90"/>
        <v>5.65</v>
      </c>
      <c r="DC444">
        <f t="shared" si="91"/>
        <v>0</v>
      </c>
    </row>
    <row r="445" spans="1:107" x14ac:dyDescent="0.2">
      <c r="A445">
        <f>ROW(Source!A149)</f>
        <v>149</v>
      </c>
      <c r="B445">
        <v>68990560</v>
      </c>
      <c r="C445">
        <v>68992218</v>
      </c>
      <c r="D445">
        <v>37080781</v>
      </c>
      <c r="E445">
        <v>56</v>
      </c>
      <c r="F445">
        <v>1</v>
      </c>
      <c r="G445">
        <v>1</v>
      </c>
      <c r="H445">
        <v>1</v>
      </c>
      <c r="I445" t="s">
        <v>816</v>
      </c>
      <c r="J445" t="s">
        <v>3</v>
      </c>
      <c r="K445" t="s">
        <v>817</v>
      </c>
      <c r="L445">
        <v>1191</v>
      </c>
      <c r="N445">
        <v>1013</v>
      </c>
      <c r="O445" t="s">
        <v>818</v>
      </c>
      <c r="P445" t="s">
        <v>818</v>
      </c>
      <c r="Q445">
        <v>1</v>
      </c>
      <c r="W445">
        <v>0</v>
      </c>
      <c r="X445">
        <v>912892513</v>
      </c>
      <c r="Y445">
        <v>159.84000000000003</v>
      </c>
      <c r="AA445">
        <v>0</v>
      </c>
      <c r="AB445">
        <v>0</v>
      </c>
      <c r="AC445">
        <v>0</v>
      </c>
      <c r="AD445">
        <v>9.92</v>
      </c>
      <c r="AE445">
        <v>0</v>
      </c>
      <c r="AF445">
        <v>0</v>
      </c>
      <c r="AG445">
        <v>0</v>
      </c>
      <c r="AH445">
        <v>9.92</v>
      </c>
      <c r="AI445">
        <v>1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1</v>
      </c>
      <c r="AQ445">
        <v>0</v>
      </c>
      <c r="AR445">
        <v>0</v>
      </c>
      <c r="AS445" t="s">
        <v>3</v>
      </c>
      <c r="AT445">
        <v>118.4</v>
      </c>
      <c r="AU445" t="s">
        <v>200</v>
      </c>
      <c r="AV445">
        <v>1</v>
      </c>
      <c r="AW445">
        <v>2</v>
      </c>
      <c r="AX445">
        <v>68992227</v>
      </c>
      <c r="AY445">
        <v>1</v>
      </c>
      <c r="AZ445">
        <v>0</v>
      </c>
      <c r="BA445">
        <v>438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Y445*Source!I149</f>
        <v>1.5984000000000003</v>
      </c>
      <c r="CY445">
        <f>AD445</f>
        <v>9.92</v>
      </c>
      <c r="CZ445">
        <f>AH445</f>
        <v>9.92</v>
      </c>
      <c r="DA445">
        <f>AL445</f>
        <v>1</v>
      </c>
      <c r="DB445">
        <f>ROUND((ROUND(AT445*CZ445,2)*1.35),2)</f>
        <v>1585.62</v>
      </c>
      <c r="DC445">
        <f>ROUND((ROUND(AT445*AG445,2)*1.35),2)</f>
        <v>0</v>
      </c>
    </row>
    <row r="446" spans="1:107" x14ac:dyDescent="0.2">
      <c r="A446">
        <f>ROW(Source!A149)</f>
        <v>149</v>
      </c>
      <c r="B446">
        <v>68990560</v>
      </c>
      <c r="C446">
        <v>68992218</v>
      </c>
      <c r="D446">
        <v>37064876</v>
      </c>
      <c r="E446">
        <v>56</v>
      </c>
      <c r="F446">
        <v>1</v>
      </c>
      <c r="G446">
        <v>1</v>
      </c>
      <c r="H446">
        <v>1</v>
      </c>
      <c r="I446" t="s">
        <v>819</v>
      </c>
      <c r="J446" t="s">
        <v>3</v>
      </c>
      <c r="K446" t="s">
        <v>820</v>
      </c>
      <c r="L446">
        <v>1191</v>
      </c>
      <c r="N446">
        <v>1013</v>
      </c>
      <c r="O446" t="s">
        <v>818</v>
      </c>
      <c r="P446" t="s">
        <v>818</v>
      </c>
      <c r="Q446">
        <v>1</v>
      </c>
      <c r="W446">
        <v>0</v>
      </c>
      <c r="X446">
        <v>-1417349443</v>
      </c>
      <c r="Y446">
        <v>0.81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1</v>
      </c>
      <c r="AJ446">
        <v>1</v>
      </c>
      <c r="AK446">
        <v>1</v>
      </c>
      <c r="AL446">
        <v>1</v>
      </c>
      <c r="AN446">
        <v>0</v>
      </c>
      <c r="AO446">
        <v>1</v>
      </c>
      <c r="AP446">
        <v>1</v>
      </c>
      <c r="AQ446">
        <v>0</v>
      </c>
      <c r="AR446">
        <v>0</v>
      </c>
      <c r="AS446" t="s">
        <v>3</v>
      </c>
      <c r="AT446">
        <v>0.6</v>
      </c>
      <c r="AU446" t="s">
        <v>200</v>
      </c>
      <c r="AV446">
        <v>2</v>
      </c>
      <c r="AW446">
        <v>2</v>
      </c>
      <c r="AX446">
        <v>68992228</v>
      </c>
      <c r="AY446">
        <v>1</v>
      </c>
      <c r="AZ446">
        <v>0</v>
      </c>
      <c r="BA446">
        <v>439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Y446*Source!I149</f>
        <v>8.1000000000000013E-3</v>
      </c>
      <c r="CY446">
        <f>AD446</f>
        <v>0</v>
      </c>
      <c r="CZ446">
        <f>AH446</f>
        <v>0</v>
      </c>
      <c r="DA446">
        <f>AL446</f>
        <v>1</v>
      </c>
      <c r="DB446">
        <f>ROUND((ROUND(AT446*CZ446,2)*1.35),2)</f>
        <v>0</v>
      </c>
      <c r="DC446">
        <f>ROUND((ROUND(AT446*AG446,2)*1.35),2)</f>
        <v>0</v>
      </c>
    </row>
    <row r="447" spans="1:107" x14ac:dyDescent="0.2">
      <c r="A447">
        <f>ROW(Source!A149)</f>
        <v>149</v>
      </c>
      <c r="B447">
        <v>68990560</v>
      </c>
      <c r="C447">
        <v>68992218</v>
      </c>
      <c r="D447">
        <v>64401763</v>
      </c>
      <c r="E447">
        <v>1</v>
      </c>
      <c r="F447">
        <v>1</v>
      </c>
      <c r="G447">
        <v>1</v>
      </c>
      <c r="H447">
        <v>2</v>
      </c>
      <c r="I447" t="s">
        <v>821</v>
      </c>
      <c r="J447" t="s">
        <v>822</v>
      </c>
      <c r="K447" t="s">
        <v>823</v>
      </c>
      <c r="L447">
        <v>1368</v>
      </c>
      <c r="N447">
        <v>1011</v>
      </c>
      <c r="O447" t="s">
        <v>824</v>
      </c>
      <c r="P447" t="s">
        <v>824</v>
      </c>
      <c r="Q447">
        <v>1</v>
      </c>
      <c r="W447">
        <v>0</v>
      </c>
      <c r="X447">
        <v>-1346461524</v>
      </c>
      <c r="Y447">
        <v>0.40500000000000003</v>
      </c>
      <c r="AA447">
        <v>0</v>
      </c>
      <c r="AB447">
        <v>1074.3699999999999</v>
      </c>
      <c r="AC447">
        <v>454.28</v>
      </c>
      <c r="AD447">
        <v>0</v>
      </c>
      <c r="AE447">
        <v>0</v>
      </c>
      <c r="AF447">
        <v>115.4</v>
      </c>
      <c r="AG447">
        <v>13.5</v>
      </c>
      <c r="AH447">
        <v>0</v>
      </c>
      <c r="AI447">
        <v>1</v>
      </c>
      <c r="AJ447">
        <v>9.31</v>
      </c>
      <c r="AK447">
        <v>33.65</v>
      </c>
      <c r="AL447">
        <v>1</v>
      </c>
      <c r="AN447">
        <v>0</v>
      </c>
      <c r="AO447">
        <v>1</v>
      </c>
      <c r="AP447">
        <v>1</v>
      </c>
      <c r="AQ447">
        <v>0</v>
      </c>
      <c r="AR447">
        <v>0</v>
      </c>
      <c r="AS447" t="s">
        <v>3</v>
      </c>
      <c r="AT447">
        <v>0.3</v>
      </c>
      <c r="AU447" t="s">
        <v>200</v>
      </c>
      <c r="AV447">
        <v>0</v>
      </c>
      <c r="AW447">
        <v>2</v>
      </c>
      <c r="AX447">
        <v>68992229</v>
      </c>
      <c r="AY447">
        <v>1</v>
      </c>
      <c r="AZ447">
        <v>0</v>
      </c>
      <c r="BA447">
        <v>440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Y447*Source!I149</f>
        <v>4.0500000000000006E-3</v>
      </c>
      <c r="CY447">
        <f>AB447</f>
        <v>1074.3699999999999</v>
      </c>
      <c r="CZ447">
        <f>AF447</f>
        <v>115.4</v>
      </c>
      <c r="DA447">
        <f>AJ447</f>
        <v>9.31</v>
      </c>
      <c r="DB447">
        <f>ROUND((ROUND(AT447*CZ447,2)*1.35),2)</f>
        <v>46.74</v>
      </c>
      <c r="DC447">
        <f>ROUND((ROUND(AT447*AG447,2)*1.35),2)</f>
        <v>5.47</v>
      </c>
    </row>
    <row r="448" spans="1:107" x14ac:dyDescent="0.2">
      <c r="A448">
        <f>ROW(Source!A149)</f>
        <v>149</v>
      </c>
      <c r="B448">
        <v>68990560</v>
      </c>
      <c r="C448">
        <v>68992218</v>
      </c>
      <c r="D448">
        <v>64402691</v>
      </c>
      <c r="E448">
        <v>1</v>
      </c>
      <c r="F448">
        <v>1</v>
      </c>
      <c r="G448">
        <v>1</v>
      </c>
      <c r="H448">
        <v>2</v>
      </c>
      <c r="I448" t="s">
        <v>825</v>
      </c>
      <c r="J448" t="s">
        <v>826</v>
      </c>
      <c r="K448" t="s">
        <v>827</v>
      </c>
      <c r="L448">
        <v>1368</v>
      </c>
      <c r="N448">
        <v>1011</v>
      </c>
      <c r="O448" t="s">
        <v>824</v>
      </c>
      <c r="P448" t="s">
        <v>824</v>
      </c>
      <c r="Q448">
        <v>1</v>
      </c>
      <c r="W448">
        <v>0</v>
      </c>
      <c r="X448">
        <v>-841254546</v>
      </c>
      <c r="Y448">
        <v>0.40500000000000003</v>
      </c>
      <c r="AA448">
        <v>0</v>
      </c>
      <c r="AB448">
        <v>776.04</v>
      </c>
      <c r="AC448">
        <v>390.34</v>
      </c>
      <c r="AD448">
        <v>0</v>
      </c>
      <c r="AE448">
        <v>0</v>
      </c>
      <c r="AF448">
        <v>65.709999999999994</v>
      </c>
      <c r="AG448">
        <v>11.6</v>
      </c>
      <c r="AH448">
        <v>0</v>
      </c>
      <c r="AI448">
        <v>1</v>
      </c>
      <c r="AJ448">
        <v>11.81</v>
      </c>
      <c r="AK448">
        <v>33.65</v>
      </c>
      <c r="AL448">
        <v>1</v>
      </c>
      <c r="AN448">
        <v>0</v>
      </c>
      <c r="AO448">
        <v>1</v>
      </c>
      <c r="AP448">
        <v>1</v>
      </c>
      <c r="AQ448">
        <v>0</v>
      </c>
      <c r="AR448">
        <v>0</v>
      </c>
      <c r="AS448" t="s">
        <v>3</v>
      </c>
      <c r="AT448">
        <v>0.3</v>
      </c>
      <c r="AU448" t="s">
        <v>200</v>
      </c>
      <c r="AV448">
        <v>0</v>
      </c>
      <c r="AW448">
        <v>2</v>
      </c>
      <c r="AX448">
        <v>68992230</v>
      </c>
      <c r="AY448">
        <v>1</v>
      </c>
      <c r="AZ448">
        <v>0</v>
      </c>
      <c r="BA448">
        <v>441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Y448*Source!I149</f>
        <v>4.0500000000000006E-3</v>
      </c>
      <c r="CY448">
        <f>AB448</f>
        <v>776.04</v>
      </c>
      <c r="CZ448">
        <f>AF448</f>
        <v>65.709999999999994</v>
      </c>
      <c r="DA448">
        <f>AJ448</f>
        <v>11.81</v>
      </c>
      <c r="DB448">
        <f>ROUND((ROUND(AT448*CZ448,2)*1.35),2)</f>
        <v>26.61</v>
      </c>
      <c r="DC448">
        <f>ROUND((ROUND(AT448*AG448,2)*1.35),2)</f>
        <v>4.7</v>
      </c>
    </row>
    <row r="449" spans="1:107" x14ac:dyDescent="0.2">
      <c r="A449">
        <f>ROW(Source!A149)</f>
        <v>149</v>
      </c>
      <c r="B449">
        <v>68990560</v>
      </c>
      <c r="C449">
        <v>68992218</v>
      </c>
      <c r="D449">
        <v>64257140</v>
      </c>
      <c r="E449">
        <v>1</v>
      </c>
      <c r="F449">
        <v>1</v>
      </c>
      <c r="G449">
        <v>1</v>
      </c>
      <c r="H449">
        <v>3</v>
      </c>
      <c r="I449" t="s">
        <v>1205</v>
      </c>
      <c r="J449" t="s">
        <v>1206</v>
      </c>
      <c r="K449" t="s">
        <v>1207</v>
      </c>
      <c r="L449">
        <v>1348</v>
      </c>
      <c r="N449">
        <v>1009</v>
      </c>
      <c r="O449" t="s">
        <v>71</v>
      </c>
      <c r="P449" t="s">
        <v>71</v>
      </c>
      <c r="Q449">
        <v>1000</v>
      </c>
      <c r="W449">
        <v>0</v>
      </c>
      <c r="X449">
        <v>1943154355</v>
      </c>
      <c r="Y449">
        <v>3.15E-3</v>
      </c>
      <c r="AA449">
        <v>5328.85</v>
      </c>
      <c r="AB449">
        <v>0</v>
      </c>
      <c r="AC449">
        <v>0</v>
      </c>
      <c r="AD449">
        <v>0</v>
      </c>
      <c r="AE449">
        <v>729.98</v>
      </c>
      <c r="AF449">
        <v>0</v>
      </c>
      <c r="AG449">
        <v>0</v>
      </c>
      <c r="AH449">
        <v>0</v>
      </c>
      <c r="AI449">
        <v>7.3</v>
      </c>
      <c r="AJ449">
        <v>1</v>
      </c>
      <c r="AK449">
        <v>1</v>
      </c>
      <c r="AL449">
        <v>1</v>
      </c>
      <c r="AN449">
        <v>0</v>
      </c>
      <c r="AO449">
        <v>1</v>
      </c>
      <c r="AP449">
        <v>0</v>
      </c>
      <c r="AQ449">
        <v>0</v>
      </c>
      <c r="AR449">
        <v>0</v>
      </c>
      <c r="AS449" t="s">
        <v>3</v>
      </c>
      <c r="AT449">
        <v>3.15E-3</v>
      </c>
      <c r="AU449" t="s">
        <v>3</v>
      </c>
      <c r="AV449">
        <v>0</v>
      </c>
      <c r="AW449">
        <v>2</v>
      </c>
      <c r="AX449">
        <v>68992231</v>
      </c>
      <c r="AY449">
        <v>1</v>
      </c>
      <c r="AZ449">
        <v>0</v>
      </c>
      <c r="BA449">
        <v>442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Y449*Source!I149</f>
        <v>3.15E-5</v>
      </c>
      <c r="CY449">
        <f>AA449</f>
        <v>5328.85</v>
      </c>
      <c r="CZ449">
        <f>AE449</f>
        <v>729.98</v>
      </c>
      <c r="DA449">
        <f>AI449</f>
        <v>7.3</v>
      </c>
      <c r="DB449">
        <f>ROUND(ROUND(AT449*CZ449,2),2)</f>
        <v>2.2999999999999998</v>
      </c>
      <c r="DC449">
        <f>ROUND(ROUND(AT449*AG449,2),2)</f>
        <v>0</v>
      </c>
    </row>
    <row r="450" spans="1:107" x14ac:dyDescent="0.2">
      <c r="A450">
        <f>ROW(Source!A149)</f>
        <v>149</v>
      </c>
      <c r="B450">
        <v>68990560</v>
      </c>
      <c r="C450">
        <v>68992218</v>
      </c>
      <c r="D450">
        <v>53953645</v>
      </c>
      <c r="E450">
        <v>1</v>
      </c>
      <c r="F450">
        <v>1</v>
      </c>
      <c r="G450">
        <v>1</v>
      </c>
      <c r="H450">
        <v>3</v>
      </c>
      <c r="I450" t="s">
        <v>515</v>
      </c>
      <c r="J450" t="s">
        <v>516</v>
      </c>
      <c r="K450" t="s">
        <v>1341</v>
      </c>
      <c r="L450">
        <v>1371</v>
      </c>
      <c r="N450">
        <v>1013</v>
      </c>
      <c r="O450" t="s">
        <v>29</v>
      </c>
      <c r="P450" t="s">
        <v>29</v>
      </c>
      <c r="Q450">
        <v>1</v>
      </c>
      <c r="W450">
        <v>0</v>
      </c>
      <c r="X450">
        <v>1816655405</v>
      </c>
      <c r="Y450">
        <v>100</v>
      </c>
      <c r="AA450">
        <v>1743.54</v>
      </c>
      <c r="AB450">
        <v>0</v>
      </c>
      <c r="AC450">
        <v>0</v>
      </c>
      <c r="AD450">
        <v>0</v>
      </c>
      <c r="AE450">
        <v>182.57</v>
      </c>
      <c r="AF450">
        <v>0</v>
      </c>
      <c r="AG450">
        <v>0</v>
      </c>
      <c r="AH450">
        <v>0</v>
      </c>
      <c r="AI450">
        <v>9.5500000000000007</v>
      </c>
      <c r="AJ450">
        <v>1</v>
      </c>
      <c r="AK450">
        <v>1</v>
      </c>
      <c r="AL450">
        <v>1</v>
      </c>
      <c r="AN450">
        <v>0</v>
      </c>
      <c r="AO450">
        <v>0</v>
      </c>
      <c r="AP450">
        <v>0</v>
      </c>
      <c r="AQ450">
        <v>0</v>
      </c>
      <c r="AR450">
        <v>0</v>
      </c>
      <c r="AS450" t="s">
        <v>3</v>
      </c>
      <c r="AT450">
        <v>100</v>
      </c>
      <c r="AU450" t="s">
        <v>3</v>
      </c>
      <c r="AV450">
        <v>0</v>
      </c>
      <c r="AW450">
        <v>1</v>
      </c>
      <c r="AX450">
        <v>-1</v>
      </c>
      <c r="AY450">
        <v>0</v>
      </c>
      <c r="AZ450">
        <v>0</v>
      </c>
      <c r="BA450" t="s">
        <v>3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Y450*Source!I149</f>
        <v>1</v>
      </c>
      <c r="CY450">
        <f>AA450</f>
        <v>1743.54</v>
      </c>
      <c r="CZ450">
        <f>AE450</f>
        <v>182.57</v>
      </c>
      <c r="DA450">
        <f>AI450</f>
        <v>9.5500000000000007</v>
      </c>
      <c r="DB450">
        <f>ROUND(ROUND(AT450*CZ450,2),2)</f>
        <v>18257</v>
      </c>
      <c r="DC450">
        <f>ROUND(ROUND(AT450*AG450,2),2)</f>
        <v>0</v>
      </c>
    </row>
    <row r="451" spans="1:107" x14ac:dyDescent="0.2">
      <c r="A451">
        <f>ROW(Source!A149)</f>
        <v>149</v>
      </c>
      <c r="B451">
        <v>68990560</v>
      </c>
      <c r="C451">
        <v>68992218</v>
      </c>
      <c r="D451">
        <v>64312700</v>
      </c>
      <c r="E451">
        <v>1</v>
      </c>
      <c r="F451">
        <v>1</v>
      </c>
      <c r="G451">
        <v>1</v>
      </c>
      <c r="H451">
        <v>3</v>
      </c>
      <c r="I451" t="s">
        <v>1208</v>
      </c>
      <c r="J451" t="s">
        <v>1209</v>
      </c>
      <c r="K451" t="s">
        <v>1210</v>
      </c>
      <c r="L451">
        <v>1346</v>
      </c>
      <c r="N451">
        <v>1009</v>
      </c>
      <c r="O451" t="s">
        <v>170</v>
      </c>
      <c r="P451" t="s">
        <v>170</v>
      </c>
      <c r="Q451">
        <v>1</v>
      </c>
      <c r="W451">
        <v>0</v>
      </c>
      <c r="X451">
        <v>-642509277</v>
      </c>
      <c r="Y451">
        <v>3.09</v>
      </c>
      <c r="AA451">
        <v>96.03</v>
      </c>
      <c r="AB451">
        <v>0</v>
      </c>
      <c r="AC451">
        <v>0</v>
      </c>
      <c r="AD451">
        <v>0</v>
      </c>
      <c r="AE451">
        <v>35.700000000000003</v>
      </c>
      <c r="AF451">
        <v>0</v>
      </c>
      <c r="AG451">
        <v>0</v>
      </c>
      <c r="AH451">
        <v>0</v>
      </c>
      <c r="AI451">
        <v>2.69</v>
      </c>
      <c r="AJ451">
        <v>1</v>
      </c>
      <c r="AK451">
        <v>1</v>
      </c>
      <c r="AL451">
        <v>1</v>
      </c>
      <c r="AN451">
        <v>0</v>
      </c>
      <c r="AO451">
        <v>1</v>
      </c>
      <c r="AP451">
        <v>0</v>
      </c>
      <c r="AQ451">
        <v>0</v>
      </c>
      <c r="AR451">
        <v>0</v>
      </c>
      <c r="AS451" t="s">
        <v>3</v>
      </c>
      <c r="AT451">
        <v>3.09</v>
      </c>
      <c r="AU451" t="s">
        <v>3</v>
      </c>
      <c r="AV451">
        <v>0</v>
      </c>
      <c r="AW451">
        <v>2</v>
      </c>
      <c r="AX451">
        <v>68992232</v>
      </c>
      <c r="AY451">
        <v>1</v>
      </c>
      <c r="AZ451">
        <v>0</v>
      </c>
      <c r="BA451">
        <v>443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Y451*Source!I149</f>
        <v>3.09E-2</v>
      </c>
      <c r="CY451">
        <f>AA451</f>
        <v>96.03</v>
      </c>
      <c r="CZ451">
        <f>AE451</f>
        <v>35.700000000000003</v>
      </c>
      <c r="DA451">
        <f>AI451</f>
        <v>2.69</v>
      </c>
      <c r="DB451">
        <f>ROUND(ROUND(AT451*CZ451,2),2)</f>
        <v>110.31</v>
      </c>
      <c r="DC451">
        <f>ROUND(ROUND(AT451*AG451,2),2)</f>
        <v>0</v>
      </c>
    </row>
    <row r="452" spans="1:107" x14ac:dyDescent="0.2">
      <c r="A452">
        <f>ROW(Source!A149)</f>
        <v>149</v>
      </c>
      <c r="B452">
        <v>68990560</v>
      </c>
      <c r="C452">
        <v>68992218</v>
      </c>
      <c r="D452">
        <v>64245580</v>
      </c>
      <c r="E452">
        <v>56</v>
      </c>
      <c r="F452">
        <v>1</v>
      </c>
      <c r="G452">
        <v>1</v>
      </c>
      <c r="H452">
        <v>3</v>
      </c>
      <c r="I452" t="s">
        <v>837</v>
      </c>
      <c r="J452" t="s">
        <v>3</v>
      </c>
      <c r="K452" t="s">
        <v>838</v>
      </c>
      <c r="L452">
        <v>1374</v>
      </c>
      <c r="N452">
        <v>1013</v>
      </c>
      <c r="O452" t="s">
        <v>839</v>
      </c>
      <c r="P452" t="s">
        <v>839</v>
      </c>
      <c r="Q452">
        <v>1</v>
      </c>
      <c r="W452">
        <v>0</v>
      </c>
      <c r="X452">
        <v>-1731369543</v>
      </c>
      <c r="Y452">
        <v>23.49</v>
      </c>
      <c r="AA452">
        <v>1</v>
      </c>
      <c r="AB452">
        <v>0</v>
      </c>
      <c r="AC452">
        <v>0</v>
      </c>
      <c r="AD452">
        <v>0</v>
      </c>
      <c r="AE452">
        <v>1</v>
      </c>
      <c r="AF452">
        <v>0</v>
      </c>
      <c r="AG452">
        <v>0</v>
      </c>
      <c r="AH452">
        <v>0</v>
      </c>
      <c r="AI452">
        <v>1</v>
      </c>
      <c r="AJ452">
        <v>1</v>
      </c>
      <c r="AK452">
        <v>1</v>
      </c>
      <c r="AL452">
        <v>1</v>
      </c>
      <c r="AN452">
        <v>0</v>
      </c>
      <c r="AO452">
        <v>1</v>
      </c>
      <c r="AP452">
        <v>0</v>
      </c>
      <c r="AQ452">
        <v>0</v>
      </c>
      <c r="AR452">
        <v>0</v>
      </c>
      <c r="AS452" t="s">
        <v>3</v>
      </c>
      <c r="AT452">
        <v>23.49</v>
      </c>
      <c r="AU452" t="s">
        <v>3</v>
      </c>
      <c r="AV452">
        <v>0</v>
      </c>
      <c r="AW452">
        <v>2</v>
      </c>
      <c r="AX452">
        <v>68992233</v>
      </c>
      <c r="AY452">
        <v>1</v>
      </c>
      <c r="AZ452">
        <v>0</v>
      </c>
      <c r="BA452">
        <v>444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Y452*Source!I149</f>
        <v>0.2349</v>
      </c>
      <c r="CY452">
        <f>AA452</f>
        <v>1</v>
      </c>
      <c r="CZ452">
        <f>AE452</f>
        <v>1</v>
      </c>
      <c r="DA452">
        <f>AI452</f>
        <v>1</v>
      </c>
      <c r="DB452">
        <f>ROUND(ROUND(AT452*CZ452,2),2)</f>
        <v>23.49</v>
      </c>
      <c r="DC452">
        <f>ROUND(ROUND(AT452*AG452,2),2)</f>
        <v>0</v>
      </c>
    </row>
    <row r="453" spans="1:107" x14ac:dyDescent="0.2">
      <c r="A453">
        <f>ROW(Source!A151)</f>
        <v>151</v>
      </c>
      <c r="B453">
        <v>68990560</v>
      </c>
      <c r="C453">
        <v>68992235</v>
      </c>
      <c r="D453">
        <v>64241023</v>
      </c>
      <c r="E453">
        <v>56</v>
      </c>
      <c r="F453">
        <v>1</v>
      </c>
      <c r="G453">
        <v>1</v>
      </c>
      <c r="H453">
        <v>1</v>
      </c>
      <c r="I453" t="s">
        <v>1211</v>
      </c>
      <c r="J453" t="s">
        <v>3</v>
      </c>
      <c r="K453" t="s">
        <v>1212</v>
      </c>
      <c r="L453">
        <v>1191</v>
      </c>
      <c r="N453">
        <v>1013</v>
      </c>
      <c r="O453" t="s">
        <v>818</v>
      </c>
      <c r="P453" t="s">
        <v>818</v>
      </c>
      <c r="Q453">
        <v>1</v>
      </c>
      <c r="W453">
        <v>0</v>
      </c>
      <c r="X453">
        <v>-2143564933</v>
      </c>
      <c r="Y453">
        <v>0.67500000000000004</v>
      </c>
      <c r="AA453">
        <v>0</v>
      </c>
      <c r="AB453">
        <v>0</v>
      </c>
      <c r="AC453">
        <v>0</v>
      </c>
      <c r="AD453">
        <v>9.76</v>
      </c>
      <c r="AE453">
        <v>0</v>
      </c>
      <c r="AF453">
        <v>0</v>
      </c>
      <c r="AG453">
        <v>0</v>
      </c>
      <c r="AH453">
        <v>9.76</v>
      </c>
      <c r="AI453">
        <v>1</v>
      </c>
      <c r="AJ453">
        <v>1</v>
      </c>
      <c r="AK453">
        <v>1</v>
      </c>
      <c r="AL453">
        <v>1</v>
      </c>
      <c r="AN453">
        <v>0</v>
      </c>
      <c r="AO453">
        <v>1</v>
      </c>
      <c r="AP453">
        <v>1</v>
      </c>
      <c r="AQ453">
        <v>0</v>
      </c>
      <c r="AR453">
        <v>0</v>
      </c>
      <c r="AS453" t="s">
        <v>3</v>
      </c>
      <c r="AT453">
        <v>0.5</v>
      </c>
      <c r="AU453" t="s">
        <v>200</v>
      </c>
      <c r="AV453">
        <v>1</v>
      </c>
      <c r="AW453">
        <v>2</v>
      </c>
      <c r="AX453">
        <v>68992261</v>
      </c>
      <c r="AY453">
        <v>1</v>
      </c>
      <c r="AZ453">
        <v>0</v>
      </c>
      <c r="BA453">
        <v>445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Y453*Source!I151</f>
        <v>2.0250000000000004</v>
      </c>
      <c r="CY453">
        <f>AD453</f>
        <v>9.76</v>
      </c>
      <c r="CZ453">
        <f>AH453</f>
        <v>9.76</v>
      </c>
      <c r="DA453">
        <f>AL453</f>
        <v>1</v>
      </c>
      <c r="DB453">
        <f>ROUND((ROUND(AT453*CZ453,2)*1.35),2)</f>
        <v>6.59</v>
      </c>
      <c r="DC453">
        <f>ROUND((ROUND(AT453*AG453,2)*1.35),2)</f>
        <v>0</v>
      </c>
    </row>
    <row r="454" spans="1:107" x14ac:dyDescent="0.2">
      <c r="A454">
        <f>ROW(Source!A151)</f>
        <v>151</v>
      </c>
      <c r="B454">
        <v>68990560</v>
      </c>
      <c r="C454">
        <v>68992235</v>
      </c>
      <c r="D454">
        <v>64255521</v>
      </c>
      <c r="E454">
        <v>1</v>
      </c>
      <c r="F454">
        <v>1</v>
      </c>
      <c r="G454">
        <v>1</v>
      </c>
      <c r="H454">
        <v>3</v>
      </c>
      <c r="I454" t="s">
        <v>1213</v>
      </c>
      <c r="J454" t="s">
        <v>1214</v>
      </c>
      <c r="K454" t="s">
        <v>1215</v>
      </c>
      <c r="L454">
        <v>1348</v>
      </c>
      <c r="N454">
        <v>1009</v>
      </c>
      <c r="O454" t="s">
        <v>71</v>
      </c>
      <c r="P454" t="s">
        <v>71</v>
      </c>
      <c r="Q454">
        <v>1000</v>
      </c>
      <c r="W454">
        <v>0</v>
      </c>
      <c r="X454">
        <v>939189209</v>
      </c>
      <c r="Y454">
        <v>1.0000000000000001E-5</v>
      </c>
      <c r="AA454">
        <v>66749.100000000006</v>
      </c>
      <c r="AB454">
        <v>0</v>
      </c>
      <c r="AC454">
        <v>0</v>
      </c>
      <c r="AD454">
        <v>0</v>
      </c>
      <c r="AE454">
        <v>12430</v>
      </c>
      <c r="AF454">
        <v>0</v>
      </c>
      <c r="AG454">
        <v>0</v>
      </c>
      <c r="AH454">
        <v>0</v>
      </c>
      <c r="AI454">
        <v>5.37</v>
      </c>
      <c r="AJ454">
        <v>1</v>
      </c>
      <c r="AK454">
        <v>1</v>
      </c>
      <c r="AL454">
        <v>1</v>
      </c>
      <c r="AN454">
        <v>0</v>
      </c>
      <c r="AO454">
        <v>1</v>
      </c>
      <c r="AP454">
        <v>0</v>
      </c>
      <c r="AQ454">
        <v>0</v>
      </c>
      <c r="AR454">
        <v>0</v>
      </c>
      <c r="AS454" t="s">
        <v>3</v>
      </c>
      <c r="AT454">
        <v>1.0000000000000001E-5</v>
      </c>
      <c r="AU454" t="s">
        <v>3</v>
      </c>
      <c r="AV454">
        <v>0</v>
      </c>
      <c r="AW454">
        <v>2</v>
      </c>
      <c r="AX454">
        <v>68992262</v>
      </c>
      <c r="AY454">
        <v>1</v>
      </c>
      <c r="AZ454">
        <v>0</v>
      </c>
      <c r="BA454">
        <v>446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Y454*Source!I151</f>
        <v>3.0000000000000004E-5</v>
      </c>
      <c r="CY454">
        <f>AA454</f>
        <v>66749.100000000006</v>
      </c>
      <c r="CZ454">
        <f>AE454</f>
        <v>12430</v>
      </c>
      <c r="DA454">
        <f>AI454</f>
        <v>5.37</v>
      </c>
      <c r="DB454">
        <f>ROUND(ROUND(AT454*CZ454,2),2)</f>
        <v>0.12</v>
      </c>
      <c r="DC454">
        <f>ROUND(ROUND(AT454*AG454,2),2)</f>
        <v>0</v>
      </c>
    </row>
    <row r="455" spans="1:107" x14ac:dyDescent="0.2">
      <c r="A455">
        <f>ROW(Source!A151)</f>
        <v>151</v>
      </c>
      <c r="B455">
        <v>68990560</v>
      </c>
      <c r="C455">
        <v>68992235</v>
      </c>
      <c r="D455">
        <v>64257140</v>
      </c>
      <c r="E455">
        <v>1</v>
      </c>
      <c r="F455">
        <v>1</v>
      </c>
      <c r="G455">
        <v>1</v>
      </c>
      <c r="H455">
        <v>3</v>
      </c>
      <c r="I455" t="s">
        <v>1205</v>
      </c>
      <c r="J455" t="s">
        <v>1206</v>
      </c>
      <c r="K455" t="s">
        <v>1207</v>
      </c>
      <c r="L455">
        <v>1348</v>
      </c>
      <c r="N455">
        <v>1009</v>
      </c>
      <c r="O455" t="s">
        <v>71</v>
      </c>
      <c r="P455" t="s">
        <v>71</v>
      </c>
      <c r="Q455">
        <v>1000</v>
      </c>
      <c r="W455">
        <v>0</v>
      </c>
      <c r="X455">
        <v>1943154355</v>
      </c>
      <c r="Y455">
        <v>5.0000000000000002E-5</v>
      </c>
      <c r="AA455">
        <v>5328.85</v>
      </c>
      <c r="AB455">
        <v>0</v>
      </c>
      <c r="AC455">
        <v>0</v>
      </c>
      <c r="AD455">
        <v>0</v>
      </c>
      <c r="AE455">
        <v>729.98</v>
      </c>
      <c r="AF455">
        <v>0</v>
      </c>
      <c r="AG455">
        <v>0</v>
      </c>
      <c r="AH455">
        <v>0</v>
      </c>
      <c r="AI455">
        <v>7.3</v>
      </c>
      <c r="AJ455">
        <v>1</v>
      </c>
      <c r="AK455">
        <v>1</v>
      </c>
      <c r="AL455">
        <v>1</v>
      </c>
      <c r="AN455">
        <v>0</v>
      </c>
      <c r="AO455">
        <v>1</v>
      </c>
      <c r="AP455">
        <v>0</v>
      </c>
      <c r="AQ455">
        <v>0</v>
      </c>
      <c r="AR455">
        <v>0</v>
      </c>
      <c r="AS455" t="s">
        <v>3</v>
      </c>
      <c r="AT455">
        <v>5.0000000000000002E-5</v>
      </c>
      <c r="AU455" t="s">
        <v>3</v>
      </c>
      <c r="AV455">
        <v>0</v>
      </c>
      <c r="AW455">
        <v>2</v>
      </c>
      <c r="AX455">
        <v>68992263</v>
      </c>
      <c r="AY455">
        <v>1</v>
      </c>
      <c r="AZ455">
        <v>0</v>
      </c>
      <c r="BA455">
        <v>447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Y455*Source!I151</f>
        <v>1.5000000000000001E-4</v>
      </c>
      <c r="CY455">
        <f>AA455</f>
        <v>5328.85</v>
      </c>
      <c r="CZ455">
        <f>AE455</f>
        <v>729.98</v>
      </c>
      <c r="DA455">
        <f>AI455</f>
        <v>7.3</v>
      </c>
      <c r="DB455">
        <f>ROUND(ROUND(AT455*CZ455,2),2)</f>
        <v>0.04</v>
      </c>
      <c r="DC455">
        <f>ROUND(ROUND(AT455*AG455,2),2)</f>
        <v>0</v>
      </c>
    </row>
    <row r="456" spans="1:107" x14ac:dyDescent="0.2">
      <c r="A456">
        <f>ROW(Source!A151)</f>
        <v>151</v>
      </c>
      <c r="B456">
        <v>68990560</v>
      </c>
      <c r="C456">
        <v>68992235</v>
      </c>
      <c r="D456">
        <v>64272216</v>
      </c>
      <c r="E456">
        <v>1</v>
      </c>
      <c r="F456">
        <v>1</v>
      </c>
      <c r="G456">
        <v>1</v>
      </c>
      <c r="H456">
        <v>3</v>
      </c>
      <c r="I456" t="s">
        <v>1216</v>
      </c>
      <c r="J456" t="s">
        <v>1217</v>
      </c>
      <c r="K456" t="s">
        <v>1218</v>
      </c>
      <c r="L456">
        <v>1348</v>
      </c>
      <c r="N456">
        <v>1009</v>
      </c>
      <c r="O456" t="s">
        <v>71</v>
      </c>
      <c r="P456" t="s">
        <v>71</v>
      </c>
      <c r="Q456">
        <v>1000</v>
      </c>
      <c r="W456">
        <v>0</v>
      </c>
      <c r="X456">
        <v>-58976271</v>
      </c>
      <c r="Y456">
        <v>1.0000000000000001E-5</v>
      </c>
      <c r="AA456">
        <v>68602.3</v>
      </c>
      <c r="AB456">
        <v>0</v>
      </c>
      <c r="AC456">
        <v>0</v>
      </c>
      <c r="AD456">
        <v>0</v>
      </c>
      <c r="AE456">
        <v>14690</v>
      </c>
      <c r="AF456">
        <v>0</v>
      </c>
      <c r="AG456">
        <v>0</v>
      </c>
      <c r="AH456">
        <v>0</v>
      </c>
      <c r="AI456">
        <v>4.67</v>
      </c>
      <c r="AJ456">
        <v>1</v>
      </c>
      <c r="AK456">
        <v>1</v>
      </c>
      <c r="AL456">
        <v>1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3</v>
      </c>
      <c r="AT456">
        <v>1.0000000000000001E-5</v>
      </c>
      <c r="AU456" t="s">
        <v>3</v>
      </c>
      <c r="AV456">
        <v>0</v>
      </c>
      <c r="AW456">
        <v>2</v>
      </c>
      <c r="AX456">
        <v>68992264</v>
      </c>
      <c r="AY456">
        <v>1</v>
      </c>
      <c r="AZ456">
        <v>0</v>
      </c>
      <c r="BA456">
        <v>448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Y456*Source!I151</f>
        <v>3.0000000000000004E-5</v>
      </c>
      <c r="CY456">
        <f>AA456</f>
        <v>68602.3</v>
      </c>
      <c r="CZ456">
        <f>AE456</f>
        <v>14690</v>
      </c>
      <c r="DA456">
        <f>AI456</f>
        <v>4.67</v>
      </c>
      <c r="DB456">
        <f>ROUND(ROUND(AT456*CZ456,2),2)</f>
        <v>0.15</v>
      </c>
      <c r="DC456">
        <f>ROUND(ROUND(AT456*AG456,2),2)</f>
        <v>0</v>
      </c>
    </row>
    <row r="457" spans="1:107" x14ac:dyDescent="0.2">
      <c r="A457">
        <f>ROW(Source!A151)</f>
        <v>151</v>
      </c>
      <c r="B457">
        <v>68990560</v>
      </c>
      <c r="C457">
        <v>68992235</v>
      </c>
      <c r="D457">
        <v>53952816</v>
      </c>
      <c r="E457">
        <v>1</v>
      </c>
      <c r="F457">
        <v>1</v>
      </c>
      <c r="G457">
        <v>1</v>
      </c>
      <c r="H457">
        <v>3</v>
      </c>
      <c r="I457" t="s">
        <v>522</v>
      </c>
      <c r="J457" t="s">
        <v>524</v>
      </c>
      <c r="K457" t="s">
        <v>523</v>
      </c>
      <c r="L457">
        <v>1371</v>
      </c>
      <c r="N457">
        <v>1013</v>
      </c>
      <c r="O457" t="s">
        <v>29</v>
      </c>
      <c r="P457" t="s">
        <v>29</v>
      </c>
      <c r="Q457">
        <v>1</v>
      </c>
      <c r="W457">
        <v>0</v>
      </c>
      <c r="X457">
        <v>1010832350</v>
      </c>
      <c r="Y457">
        <v>1</v>
      </c>
      <c r="AA457">
        <v>138.28</v>
      </c>
      <c r="AB457">
        <v>0</v>
      </c>
      <c r="AC457">
        <v>0</v>
      </c>
      <c r="AD457">
        <v>0</v>
      </c>
      <c r="AE457">
        <v>20.7</v>
      </c>
      <c r="AF457">
        <v>0</v>
      </c>
      <c r="AG457">
        <v>0</v>
      </c>
      <c r="AH457">
        <v>0</v>
      </c>
      <c r="AI457">
        <v>6.68</v>
      </c>
      <c r="AJ457">
        <v>1</v>
      </c>
      <c r="AK457">
        <v>1</v>
      </c>
      <c r="AL457">
        <v>1</v>
      </c>
      <c r="AN457">
        <v>0</v>
      </c>
      <c r="AO457">
        <v>0</v>
      </c>
      <c r="AP457">
        <v>0</v>
      </c>
      <c r="AQ457">
        <v>0</v>
      </c>
      <c r="AR457">
        <v>0</v>
      </c>
      <c r="AS457" t="s">
        <v>3</v>
      </c>
      <c r="AT457">
        <v>1</v>
      </c>
      <c r="AU457" t="s">
        <v>3</v>
      </c>
      <c r="AV457">
        <v>0</v>
      </c>
      <c r="AW457">
        <v>1</v>
      </c>
      <c r="AX457">
        <v>-1</v>
      </c>
      <c r="AY457">
        <v>0</v>
      </c>
      <c r="AZ457">
        <v>0</v>
      </c>
      <c r="BA457" t="s">
        <v>3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Y457*Source!I151</f>
        <v>3</v>
      </c>
      <c r="CY457">
        <f>AA457</f>
        <v>138.28</v>
      </c>
      <c r="CZ457">
        <f>AE457</f>
        <v>20.7</v>
      </c>
      <c r="DA457">
        <f>AI457</f>
        <v>6.68</v>
      </c>
      <c r="DB457">
        <f>ROUND(ROUND(AT457*CZ457,2),2)</f>
        <v>20.7</v>
      </c>
      <c r="DC457">
        <f>ROUND(ROUND(AT457*AG457,2),2)</f>
        <v>0</v>
      </c>
    </row>
    <row r="458" spans="1:107" x14ac:dyDescent="0.2">
      <c r="A458">
        <f>ROW(Source!A151)</f>
        <v>151</v>
      </c>
      <c r="B458">
        <v>68990560</v>
      </c>
      <c r="C458">
        <v>68992235</v>
      </c>
      <c r="D458">
        <v>64245580</v>
      </c>
      <c r="E458">
        <v>56</v>
      </c>
      <c r="F458">
        <v>1</v>
      </c>
      <c r="G458">
        <v>1</v>
      </c>
      <c r="H458">
        <v>3</v>
      </c>
      <c r="I458" t="s">
        <v>837</v>
      </c>
      <c r="J458" t="s">
        <v>3</v>
      </c>
      <c r="K458" t="s">
        <v>838</v>
      </c>
      <c r="L458">
        <v>1374</v>
      </c>
      <c r="N458">
        <v>1013</v>
      </c>
      <c r="O458" t="s">
        <v>839</v>
      </c>
      <c r="P458" t="s">
        <v>839</v>
      </c>
      <c r="Q458">
        <v>1</v>
      </c>
      <c r="W458">
        <v>0</v>
      </c>
      <c r="X458">
        <v>-1731369543</v>
      </c>
      <c r="Y458">
        <v>0.1</v>
      </c>
      <c r="AA458">
        <v>1</v>
      </c>
      <c r="AB458">
        <v>0</v>
      </c>
      <c r="AC458">
        <v>0</v>
      </c>
      <c r="AD458">
        <v>0</v>
      </c>
      <c r="AE458">
        <v>1</v>
      </c>
      <c r="AF458">
        <v>0</v>
      </c>
      <c r="AG458">
        <v>0</v>
      </c>
      <c r="AH458">
        <v>0</v>
      </c>
      <c r="AI458">
        <v>1</v>
      </c>
      <c r="AJ458">
        <v>1</v>
      </c>
      <c r="AK458">
        <v>1</v>
      </c>
      <c r="AL458">
        <v>1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3</v>
      </c>
      <c r="AT458">
        <v>0.1</v>
      </c>
      <c r="AU458" t="s">
        <v>3</v>
      </c>
      <c r="AV458">
        <v>0</v>
      </c>
      <c r="AW458">
        <v>2</v>
      </c>
      <c r="AX458">
        <v>68992265</v>
      </c>
      <c r="AY458">
        <v>1</v>
      </c>
      <c r="AZ458">
        <v>0</v>
      </c>
      <c r="BA458">
        <v>449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Y458*Source!I151</f>
        <v>0.30000000000000004</v>
      </c>
      <c r="CY458">
        <f>AA458</f>
        <v>1</v>
      </c>
      <c r="CZ458">
        <f>AE458</f>
        <v>1</v>
      </c>
      <c r="DA458">
        <f>AI458</f>
        <v>1</v>
      </c>
      <c r="DB458">
        <f>ROUND(ROUND(AT458*CZ458,2),2)</f>
        <v>0.1</v>
      </c>
      <c r="DC458">
        <f>ROUND(ROUND(AT458*AG458,2),2)</f>
        <v>0</v>
      </c>
    </row>
    <row r="459" spans="1:107" x14ac:dyDescent="0.2">
      <c r="A459">
        <f>ROW(Source!A153)</f>
        <v>153</v>
      </c>
      <c r="B459">
        <v>68990560</v>
      </c>
      <c r="C459">
        <v>68992280</v>
      </c>
      <c r="D459">
        <v>37080781</v>
      </c>
      <c r="E459">
        <v>56</v>
      </c>
      <c r="F459">
        <v>1</v>
      </c>
      <c r="G459">
        <v>1</v>
      </c>
      <c r="H459">
        <v>1</v>
      </c>
      <c r="I459" t="s">
        <v>816</v>
      </c>
      <c r="J459" t="s">
        <v>3</v>
      </c>
      <c r="K459" t="s">
        <v>817</v>
      </c>
      <c r="L459">
        <v>1191</v>
      </c>
      <c r="N459">
        <v>1013</v>
      </c>
      <c r="O459" t="s">
        <v>818</v>
      </c>
      <c r="P459" t="s">
        <v>818</v>
      </c>
      <c r="Q459">
        <v>1</v>
      </c>
      <c r="W459">
        <v>0</v>
      </c>
      <c r="X459">
        <v>912892513</v>
      </c>
      <c r="Y459">
        <v>42.660000000000004</v>
      </c>
      <c r="AA459">
        <v>0</v>
      </c>
      <c r="AB459">
        <v>0</v>
      </c>
      <c r="AC459">
        <v>0</v>
      </c>
      <c r="AD459">
        <v>9.92</v>
      </c>
      <c r="AE459">
        <v>0</v>
      </c>
      <c r="AF459">
        <v>0</v>
      </c>
      <c r="AG459">
        <v>0</v>
      </c>
      <c r="AH459">
        <v>9.92</v>
      </c>
      <c r="AI459">
        <v>1</v>
      </c>
      <c r="AJ459">
        <v>1</v>
      </c>
      <c r="AK459">
        <v>1</v>
      </c>
      <c r="AL459">
        <v>1</v>
      </c>
      <c r="AN459">
        <v>0</v>
      </c>
      <c r="AO459">
        <v>1</v>
      </c>
      <c r="AP459">
        <v>1</v>
      </c>
      <c r="AQ459">
        <v>0</v>
      </c>
      <c r="AR459">
        <v>0</v>
      </c>
      <c r="AS459" t="s">
        <v>3</v>
      </c>
      <c r="AT459">
        <v>31.6</v>
      </c>
      <c r="AU459" t="s">
        <v>200</v>
      </c>
      <c r="AV459">
        <v>1</v>
      </c>
      <c r="AW459">
        <v>2</v>
      </c>
      <c r="AX459">
        <v>68992291</v>
      </c>
      <c r="AY459">
        <v>1</v>
      </c>
      <c r="AZ459">
        <v>0</v>
      </c>
      <c r="BA459">
        <v>450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Y459*Source!I153</f>
        <v>1.2798</v>
      </c>
      <c r="CY459">
        <f>AD459</f>
        <v>9.92</v>
      </c>
      <c r="CZ459">
        <f>AH459</f>
        <v>9.92</v>
      </c>
      <c r="DA459">
        <f>AL459</f>
        <v>1</v>
      </c>
      <c r="DB459">
        <f>ROUND((ROUND(AT459*CZ459,2)*1.35),2)</f>
        <v>423.18</v>
      </c>
      <c r="DC459">
        <f>ROUND((ROUND(AT459*AG459,2)*1.35),2)</f>
        <v>0</v>
      </c>
    </row>
    <row r="460" spans="1:107" x14ac:dyDescent="0.2">
      <c r="A460">
        <f>ROW(Source!A153)</f>
        <v>153</v>
      </c>
      <c r="B460">
        <v>68990560</v>
      </c>
      <c r="C460">
        <v>68992280</v>
      </c>
      <c r="D460">
        <v>37064876</v>
      </c>
      <c r="E460">
        <v>56</v>
      </c>
      <c r="F460">
        <v>1</v>
      </c>
      <c r="G460">
        <v>1</v>
      </c>
      <c r="H460">
        <v>1</v>
      </c>
      <c r="I460" t="s">
        <v>819</v>
      </c>
      <c r="J460" t="s">
        <v>3</v>
      </c>
      <c r="K460" t="s">
        <v>820</v>
      </c>
      <c r="L460">
        <v>1191</v>
      </c>
      <c r="N460">
        <v>1013</v>
      </c>
      <c r="O460" t="s">
        <v>818</v>
      </c>
      <c r="P460" t="s">
        <v>818</v>
      </c>
      <c r="Q460">
        <v>1</v>
      </c>
      <c r="W460">
        <v>0</v>
      </c>
      <c r="X460">
        <v>-1417349443</v>
      </c>
      <c r="Y460">
        <v>6.7500000000000004E-2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1</v>
      </c>
      <c r="AJ460">
        <v>1</v>
      </c>
      <c r="AK460">
        <v>1</v>
      </c>
      <c r="AL460">
        <v>1</v>
      </c>
      <c r="AN460">
        <v>0</v>
      </c>
      <c r="AO460">
        <v>1</v>
      </c>
      <c r="AP460">
        <v>1</v>
      </c>
      <c r="AQ460">
        <v>0</v>
      </c>
      <c r="AR460">
        <v>0</v>
      </c>
      <c r="AS460" t="s">
        <v>3</v>
      </c>
      <c r="AT460">
        <v>0.05</v>
      </c>
      <c r="AU460" t="s">
        <v>200</v>
      </c>
      <c r="AV460">
        <v>2</v>
      </c>
      <c r="AW460">
        <v>2</v>
      </c>
      <c r="AX460">
        <v>68992292</v>
      </c>
      <c r="AY460">
        <v>1</v>
      </c>
      <c r="AZ460">
        <v>0</v>
      </c>
      <c r="BA460">
        <v>451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Y460*Source!I153</f>
        <v>2.0249999999999999E-3</v>
      </c>
      <c r="CY460">
        <f>AD460</f>
        <v>0</v>
      </c>
      <c r="CZ460">
        <f>AH460</f>
        <v>0</v>
      </c>
      <c r="DA460">
        <f>AL460</f>
        <v>1</v>
      </c>
      <c r="DB460">
        <f>ROUND((ROUND(AT460*CZ460,2)*1.35),2)</f>
        <v>0</v>
      </c>
      <c r="DC460">
        <f>ROUND((ROUND(AT460*AG460,2)*1.35),2)</f>
        <v>0</v>
      </c>
    </row>
    <row r="461" spans="1:107" x14ac:dyDescent="0.2">
      <c r="A461">
        <f>ROW(Source!A153)</f>
        <v>153</v>
      </c>
      <c r="B461">
        <v>68990560</v>
      </c>
      <c r="C461">
        <v>68992280</v>
      </c>
      <c r="D461">
        <v>64401763</v>
      </c>
      <c r="E461">
        <v>1</v>
      </c>
      <c r="F461">
        <v>1</v>
      </c>
      <c r="G461">
        <v>1</v>
      </c>
      <c r="H461">
        <v>2</v>
      </c>
      <c r="I461" t="s">
        <v>821</v>
      </c>
      <c r="J461" t="s">
        <v>822</v>
      </c>
      <c r="K461" t="s">
        <v>823</v>
      </c>
      <c r="L461">
        <v>1368</v>
      </c>
      <c r="N461">
        <v>1011</v>
      </c>
      <c r="O461" t="s">
        <v>824</v>
      </c>
      <c r="P461" t="s">
        <v>824</v>
      </c>
      <c r="Q461">
        <v>1</v>
      </c>
      <c r="W461">
        <v>0</v>
      </c>
      <c r="X461">
        <v>-1346461524</v>
      </c>
      <c r="Y461">
        <v>4.0500000000000001E-2</v>
      </c>
      <c r="AA461">
        <v>0</v>
      </c>
      <c r="AB461">
        <v>1074.3699999999999</v>
      </c>
      <c r="AC461">
        <v>454.28</v>
      </c>
      <c r="AD461">
        <v>0</v>
      </c>
      <c r="AE461">
        <v>0</v>
      </c>
      <c r="AF461">
        <v>115.4</v>
      </c>
      <c r="AG461">
        <v>13.5</v>
      </c>
      <c r="AH461">
        <v>0</v>
      </c>
      <c r="AI461">
        <v>1</v>
      </c>
      <c r="AJ461">
        <v>9.31</v>
      </c>
      <c r="AK461">
        <v>33.65</v>
      </c>
      <c r="AL461">
        <v>1</v>
      </c>
      <c r="AN461">
        <v>0</v>
      </c>
      <c r="AO461">
        <v>1</v>
      </c>
      <c r="AP461">
        <v>1</v>
      </c>
      <c r="AQ461">
        <v>0</v>
      </c>
      <c r="AR461">
        <v>0</v>
      </c>
      <c r="AS461" t="s">
        <v>3</v>
      </c>
      <c r="AT461">
        <v>0.03</v>
      </c>
      <c r="AU461" t="s">
        <v>200</v>
      </c>
      <c r="AV461">
        <v>0</v>
      </c>
      <c r="AW461">
        <v>2</v>
      </c>
      <c r="AX461">
        <v>68992293</v>
      </c>
      <c r="AY461">
        <v>1</v>
      </c>
      <c r="AZ461">
        <v>0</v>
      </c>
      <c r="BA461">
        <v>452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Y461*Source!I153</f>
        <v>1.2149999999999999E-3</v>
      </c>
      <c r="CY461">
        <f>AB461</f>
        <v>1074.3699999999999</v>
      </c>
      <c r="CZ461">
        <f>AF461</f>
        <v>115.4</v>
      </c>
      <c r="DA461">
        <f>AJ461</f>
        <v>9.31</v>
      </c>
      <c r="DB461">
        <f>ROUND((ROUND(AT461*CZ461,2)*1.35),2)</f>
        <v>4.67</v>
      </c>
      <c r="DC461">
        <f>ROUND((ROUND(AT461*AG461,2)*1.35),2)</f>
        <v>0.55000000000000004</v>
      </c>
    </row>
    <row r="462" spans="1:107" x14ac:dyDescent="0.2">
      <c r="A462">
        <f>ROW(Source!A153)</f>
        <v>153</v>
      </c>
      <c r="B462">
        <v>68990560</v>
      </c>
      <c r="C462">
        <v>68992280</v>
      </c>
      <c r="D462">
        <v>64402691</v>
      </c>
      <c r="E462">
        <v>1</v>
      </c>
      <c r="F462">
        <v>1</v>
      </c>
      <c r="G462">
        <v>1</v>
      </c>
      <c r="H462">
        <v>2</v>
      </c>
      <c r="I462" t="s">
        <v>825</v>
      </c>
      <c r="J462" t="s">
        <v>826</v>
      </c>
      <c r="K462" t="s">
        <v>827</v>
      </c>
      <c r="L462">
        <v>1368</v>
      </c>
      <c r="N462">
        <v>1011</v>
      </c>
      <c r="O462" t="s">
        <v>824</v>
      </c>
      <c r="P462" t="s">
        <v>824</v>
      </c>
      <c r="Q462">
        <v>1</v>
      </c>
      <c r="W462">
        <v>0</v>
      </c>
      <c r="X462">
        <v>-841254546</v>
      </c>
      <c r="Y462">
        <v>2.7000000000000003E-2</v>
      </c>
      <c r="AA462">
        <v>0</v>
      </c>
      <c r="AB462">
        <v>776.04</v>
      </c>
      <c r="AC462">
        <v>390.34</v>
      </c>
      <c r="AD462">
        <v>0</v>
      </c>
      <c r="AE462">
        <v>0</v>
      </c>
      <c r="AF462">
        <v>65.709999999999994</v>
      </c>
      <c r="AG462">
        <v>11.6</v>
      </c>
      <c r="AH462">
        <v>0</v>
      </c>
      <c r="AI462">
        <v>1</v>
      </c>
      <c r="AJ462">
        <v>11.81</v>
      </c>
      <c r="AK462">
        <v>33.65</v>
      </c>
      <c r="AL462">
        <v>1</v>
      </c>
      <c r="AN462">
        <v>0</v>
      </c>
      <c r="AO462">
        <v>1</v>
      </c>
      <c r="AP462">
        <v>1</v>
      </c>
      <c r="AQ462">
        <v>0</v>
      </c>
      <c r="AR462">
        <v>0</v>
      </c>
      <c r="AS462" t="s">
        <v>3</v>
      </c>
      <c r="AT462">
        <v>0.02</v>
      </c>
      <c r="AU462" t="s">
        <v>200</v>
      </c>
      <c r="AV462">
        <v>0</v>
      </c>
      <c r="AW462">
        <v>2</v>
      </c>
      <c r="AX462">
        <v>68992294</v>
      </c>
      <c r="AY462">
        <v>1</v>
      </c>
      <c r="AZ462">
        <v>0</v>
      </c>
      <c r="BA462">
        <v>453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Y462*Source!I153</f>
        <v>8.1000000000000006E-4</v>
      </c>
      <c r="CY462">
        <f>AB462</f>
        <v>776.04</v>
      </c>
      <c r="CZ462">
        <f>AF462</f>
        <v>65.709999999999994</v>
      </c>
      <c r="DA462">
        <f>AJ462</f>
        <v>11.81</v>
      </c>
      <c r="DB462">
        <f>ROUND((ROUND(AT462*CZ462,2)*1.35),2)</f>
        <v>1.77</v>
      </c>
      <c r="DC462">
        <f>ROUND((ROUND(AT462*AG462,2)*1.35),2)</f>
        <v>0.31</v>
      </c>
    </row>
    <row r="463" spans="1:107" x14ac:dyDescent="0.2">
      <c r="A463">
        <f>ROW(Source!A153)</f>
        <v>153</v>
      </c>
      <c r="B463">
        <v>68990560</v>
      </c>
      <c r="C463">
        <v>68992280</v>
      </c>
      <c r="D463">
        <v>64253038</v>
      </c>
      <c r="E463">
        <v>1</v>
      </c>
      <c r="F463">
        <v>1</v>
      </c>
      <c r="G463">
        <v>1</v>
      </c>
      <c r="H463">
        <v>3</v>
      </c>
      <c r="I463" t="s">
        <v>828</v>
      </c>
      <c r="J463" t="s">
        <v>829</v>
      </c>
      <c r="K463" t="s">
        <v>830</v>
      </c>
      <c r="L463">
        <v>1346</v>
      </c>
      <c r="N463">
        <v>1009</v>
      </c>
      <c r="O463" t="s">
        <v>170</v>
      </c>
      <c r="P463" t="s">
        <v>170</v>
      </c>
      <c r="Q463">
        <v>1</v>
      </c>
      <c r="W463">
        <v>0</v>
      </c>
      <c r="X463">
        <v>456480056</v>
      </c>
      <c r="Y463">
        <v>0.11</v>
      </c>
      <c r="AA463">
        <v>240.77</v>
      </c>
      <c r="AB463">
        <v>0</v>
      </c>
      <c r="AC463">
        <v>0</v>
      </c>
      <c r="AD463">
        <v>0</v>
      </c>
      <c r="AE463">
        <v>30.4</v>
      </c>
      <c r="AF463">
        <v>0</v>
      </c>
      <c r="AG463">
        <v>0</v>
      </c>
      <c r="AH463">
        <v>0</v>
      </c>
      <c r="AI463">
        <v>7.92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0</v>
      </c>
      <c r="AQ463">
        <v>0</v>
      </c>
      <c r="AR463">
        <v>0</v>
      </c>
      <c r="AS463" t="s">
        <v>3</v>
      </c>
      <c r="AT463">
        <v>0.11</v>
      </c>
      <c r="AU463" t="s">
        <v>3</v>
      </c>
      <c r="AV463">
        <v>0</v>
      </c>
      <c r="AW463">
        <v>2</v>
      </c>
      <c r="AX463">
        <v>68992295</v>
      </c>
      <c r="AY463">
        <v>1</v>
      </c>
      <c r="AZ463">
        <v>0</v>
      </c>
      <c r="BA463">
        <v>454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Y463*Source!I153</f>
        <v>3.3E-3</v>
      </c>
      <c r="CY463">
        <f t="shared" ref="CY463:CY468" si="92">AA463</f>
        <v>240.77</v>
      </c>
      <c r="CZ463">
        <f t="shared" ref="CZ463:CZ468" si="93">AE463</f>
        <v>30.4</v>
      </c>
      <c r="DA463">
        <f t="shared" ref="DA463:DA468" si="94">AI463</f>
        <v>7.92</v>
      </c>
      <c r="DB463">
        <f t="shared" ref="DB463:DB468" si="95">ROUND(ROUND(AT463*CZ463,2),2)</f>
        <v>3.34</v>
      </c>
      <c r="DC463">
        <f t="shared" ref="DC463:DC468" si="96">ROUND(ROUND(AT463*AG463,2),2)</f>
        <v>0</v>
      </c>
    </row>
    <row r="464" spans="1:107" x14ac:dyDescent="0.2">
      <c r="A464">
        <f>ROW(Source!A153)</f>
        <v>153</v>
      </c>
      <c r="B464">
        <v>68990560</v>
      </c>
      <c r="C464">
        <v>68992280</v>
      </c>
      <c r="D464">
        <v>64255145</v>
      </c>
      <c r="E464">
        <v>1</v>
      </c>
      <c r="F464">
        <v>1</v>
      </c>
      <c r="G464">
        <v>1</v>
      </c>
      <c r="H464">
        <v>3</v>
      </c>
      <c r="I464" t="s">
        <v>831</v>
      </c>
      <c r="J464" t="s">
        <v>832</v>
      </c>
      <c r="K464" t="s">
        <v>833</v>
      </c>
      <c r="L464">
        <v>1425</v>
      </c>
      <c r="N464">
        <v>1013</v>
      </c>
      <c r="O464" t="s">
        <v>18</v>
      </c>
      <c r="P464" t="s">
        <v>18</v>
      </c>
      <c r="Q464">
        <v>1</v>
      </c>
      <c r="W464">
        <v>0</v>
      </c>
      <c r="X464">
        <v>1014360486</v>
      </c>
      <c r="Y464">
        <v>1.02</v>
      </c>
      <c r="AA464">
        <v>441.18</v>
      </c>
      <c r="AB464">
        <v>0</v>
      </c>
      <c r="AC464">
        <v>0</v>
      </c>
      <c r="AD464">
        <v>0</v>
      </c>
      <c r="AE464">
        <v>86</v>
      </c>
      <c r="AF464">
        <v>0</v>
      </c>
      <c r="AG464">
        <v>0</v>
      </c>
      <c r="AH464">
        <v>0</v>
      </c>
      <c r="AI464">
        <v>5.13</v>
      </c>
      <c r="AJ464">
        <v>1</v>
      </c>
      <c r="AK464">
        <v>1</v>
      </c>
      <c r="AL464">
        <v>1</v>
      </c>
      <c r="AN464">
        <v>0</v>
      </c>
      <c r="AO464">
        <v>1</v>
      </c>
      <c r="AP464">
        <v>0</v>
      </c>
      <c r="AQ464">
        <v>0</v>
      </c>
      <c r="AR464">
        <v>0</v>
      </c>
      <c r="AS464" t="s">
        <v>3</v>
      </c>
      <c r="AT464">
        <v>1.02</v>
      </c>
      <c r="AU464" t="s">
        <v>3</v>
      </c>
      <c r="AV464">
        <v>0</v>
      </c>
      <c r="AW464">
        <v>2</v>
      </c>
      <c r="AX464">
        <v>68992296</v>
      </c>
      <c r="AY464">
        <v>1</v>
      </c>
      <c r="AZ464">
        <v>0</v>
      </c>
      <c r="BA464">
        <v>455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Y464*Source!I153</f>
        <v>3.0599999999999999E-2</v>
      </c>
      <c r="CY464">
        <f t="shared" si="92"/>
        <v>441.18</v>
      </c>
      <c r="CZ464">
        <f t="shared" si="93"/>
        <v>86</v>
      </c>
      <c r="DA464">
        <f t="shared" si="94"/>
        <v>5.13</v>
      </c>
      <c r="DB464">
        <f t="shared" si="95"/>
        <v>87.72</v>
      </c>
      <c r="DC464">
        <f t="shared" si="96"/>
        <v>0</v>
      </c>
    </row>
    <row r="465" spans="1:107" x14ac:dyDescent="0.2">
      <c r="A465">
        <f>ROW(Source!A153)</f>
        <v>153</v>
      </c>
      <c r="B465">
        <v>68990560</v>
      </c>
      <c r="C465">
        <v>68992280</v>
      </c>
      <c r="D465">
        <v>64255517</v>
      </c>
      <c r="E465">
        <v>1</v>
      </c>
      <c r="F465">
        <v>1</v>
      </c>
      <c r="G465">
        <v>1</v>
      </c>
      <c r="H465">
        <v>3</v>
      </c>
      <c r="I465" t="s">
        <v>1219</v>
      </c>
      <c r="J465" t="s">
        <v>1220</v>
      </c>
      <c r="K465" t="s">
        <v>1221</v>
      </c>
      <c r="L465">
        <v>1348</v>
      </c>
      <c r="N465">
        <v>1009</v>
      </c>
      <c r="O465" t="s">
        <v>71</v>
      </c>
      <c r="P465" t="s">
        <v>71</v>
      </c>
      <c r="Q465">
        <v>1000</v>
      </c>
      <c r="W465">
        <v>0</v>
      </c>
      <c r="X465">
        <v>616764269</v>
      </c>
      <c r="Y465">
        <v>1.6000000000000001E-4</v>
      </c>
      <c r="AA465">
        <v>110260</v>
      </c>
      <c r="AB465">
        <v>0</v>
      </c>
      <c r="AC465">
        <v>0</v>
      </c>
      <c r="AD465">
        <v>0</v>
      </c>
      <c r="AE465">
        <v>29800</v>
      </c>
      <c r="AF465">
        <v>0</v>
      </c>
      <c r="AG465">
        <v>0</v>
      </c>
      <c r="AH465">
        <v>0</v>
      </c>
      <c r="AI465">
        <v>3.7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0</v>
      </c>
      <c r="AQ465">
        <v>0</v>
      </c>
      <c r="AR465">
        <v>0</v>
      </c>
      <c r="AS465" t="s">
        <v>3</v>
      </c>
      <c r="AT465">
        <v>1.6000000000000001E-4</v>
      </c>
      <c r="AU465" t="s">
        <v>3</v>
      </c>
      <c r="AV465">
        <v>0</v>
      </c>
      <c r="AW465">
        <v>2</v>
      </c>
      <c r="AX465">
        <v>68992297</v>
      </c>
      <c r="AY465">
        <v>1</v>
      </c>
      <c r="AZ465">
        <v>0</v>
      </c>
      <c r="BA465">
        <v>456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Y465*Source!I153</f>
        <v>4.8000000000000006E-6</v>
      </c>
      <c r="CY465">
        <f t="shared" si="92"/>
        <v>110260</v>
      </c>
      <c r="CZ465">
        <f t="shared" si="93"/>
        <v>29800</v>
      </c>
      <c r="DA465">
        <f t="shared" si="94"/>
        <v>3.7</v>
      </c>
      <c r="DB465">
        <f t="shared" si="95"/>
        <v>4.7699999999999996</v>
      </c>
      <c r="DC465">
        <f t="shared" si="96"/>
        <v>0</v>
      </c>
    </row>
    <row r="466" spans="1:107" x14ac:dyDescent="0.2">
      <c r="A466">
        <f>ROW(Source!A153)</f>
        <v>153</v>
      </c>
      <c r="B466">
        <v>68990560</v>
      </c>
      <c r="C466">
        <v>68992280</v>
      </c>
      <c r="D466">
        <v>64255521</v>
      </c>
      <c r="E466">
        <v>1</v>
      </c>
      <c r="F466">
        <v>1</v>
      </c>
      <c r="G466">
        <v>1</v>
      </c>
      <c r="H466">
        <v>3</v>
      </c>
      <c r="I466" t="s">
        <v>1213</v>
      </c>
      <c r="J466" t="s">
        <v>1214</v>
      </c>
      <c r="K466" t="s">
        <v>1215</v>
      </c>
      <c r="L466">
        <v>1348</v>
      </c>
      <c r="N466">
        <v>1009</v>
      </c>
      <c r="O466" t="s">
        <v>71</v>
      </c>
      <c r="P466" t="s">
        <v>71</v>
      </c>
      <c r="Q466">
        <v>1000</v>
      </c>
      <c r="W466">
        <v>0</v>
      </c>
      <c r="X466">
        <v>939189209</v>
      </c>
      <c r="Y466">
        <v>2.9999999999999997E-4</v>
      </c>
      <c r="AA466">
        <v>66749.100000000006</v>
      </c>
      <c r="AB466">
        <v>0</v>
      </c>
      <c r="AC466">
        <v>0</v>
      </c>
      <c r="AD466">
        <v>0</v>
      </c>
      <c r="AE466">
        <v>12430</v>
      </c>
      <c r="AF466">
        <v>0</v>
      </c>
      <c r="AG466">
        <v>0</v>
      </c>
      <c r="AH466">
        <v>0</v>
      </c>
      <c r="AI466">
        <v>5.37</v>
      </c>
      <c r="AJ466">
        <v>1</v>
      </c>
      <c r="AK466">
        <v>1</v>
      </c>
      <c r="AL466">
        <v>1</v>
      </c>
      <c r="AN466">
        <v>0</v>
      </c>
      <c r="AO466">
        <v>1</v>
      </c>
      <c r="AP466">
        <v>0</v>
      </c>
      <c r="AQ466">
        <v>0</v>
      </c>
      <c r="AR466">
        <v>0</v>
      </c>
      <c r="AS466" t="s">
        <v>3</v>
      </c>
      <c r="AT466">
        <v>2.9999999999999997E-4</v>
      </c>
      <c r="AU466" t="s">
        <v>3</v>
      </c>
      <c r="AV466">
        <v>0</v>
      </c>
      <c r="AW466">
        <v>2</v>
      </c>
      <c r="AX466">
        <v>68992298</v>
      </c>
      <c r="AY466">
        <v>1</v>
      </c>
      <c r="AZ466">
        <v>0</v>
      </c>
      <c r="BA466">
        <v>457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Y466*Source!I153</f>
        <v>8.9999999999999985E-6</v>
      </c>
      <c r="CY466">
        <f t="shared" si="92"/>
        <v>66749.100000000006</v>
      </c>
      <c r="CZ466">
        <f t="shared" si="93"/>
        <v>12430</v>
      </c>
      <c r="DA466">
        <f t="shared" si="94"/>
        <v>5.37</v>
      </c>
      <c r="DB466">
        <f t="shared" si="95"/>
        <v>3.73</v>
      </c>
      <c r="DC466">
        <f t="shared" si="96"/>
        <v>0</v>
      </c>
    </row>
    <row r="467" spans="1:107" x14ac:dyDescent="0.2">
      <c r="A467">
        <f>ROW(Source!A153)</f>
        <v>153</v>
      </c>
      <c r="B467">
        <v>68990560</v>
      </c>
      <c r="C467">
        <v>68992280</v>
      </c>
      <c r="D467">
        <v>53952174</v>
      </c>
      <c r="E467">
        <v>1</v>
      </c>
      <c r="F467">
        <v>1</v>
      </c>
      <c r="G467">
        <v>1</v>
      </c>
      <c r="H467">
        <v>3</v>
      </c>
      <c r="I467" t="s">
        <v>530</v>
      </c>
      <c r="J467" t="s">
        <v>532</v>
      </c>
      <c r="K467" t="s">
        <v>531</v>
      </c>
      <c r="L467">
        <v>1371</v>
      </c>
      <c r="N467">
        <v>1013</v>
      </c>
      <c r="O467" t="s">
        <v>29</v>
      </c>
      <c r="P467" t="s">
        <v>29</v>
      </c>
      <c r="Q467">
        <v>1</v>
      </c>
      <c r="W467">
        <v>0</v>
      </c>
      <c r="X467">
        <v>1028657543</v>
      </c>
      <c r="Y467">
        <v>100</v>
      </c>
      <c r="AA467">
        <v>347.65</v>
      </c>
      <c r="AB467">
        <v>0</v>
      </c>
      <c r="AC467">
        <v>0</v>
      </c>
      <c r="AD467">
        <v>0</v>
      </c>
      <c r="AE467">
        <v>51.2</v>
      </c>
      <c r="AF467">
        <v>0</v>
      </c>
      <c r="AG467">
        <v>0</v>
      </c>
      <c r="AH467">
        <v>0</v>
      </c>
      <c r="AI467">
        <v>6.79</v>
      </c>
      <c r="AJ467">
        <v>1</v>
      </c>
      <c r="AK467">
        <v>1</v>
      </c>
      <c r="AL467">
        <v>1</v>
      </c>
      <c r="AN467">
        <v>0</v>
      </c>
      <c r="AO467">
        <v>0</v>
      </c>
      <c r="AP467">
        <v>0</v>
      </c>
      <c r="AQ467">
        <v>0</v>
      </c>
      <c r="AR467">
        <v>0</v>
      </c>
      <c r="AS467" t="s">
        <v>3</v>
      </c>
      <c r="AT467">
        <v>100</v>
      </c>
      <c r="AU467" t="s">
        <v>3</v>
      </c>
      <c r="AV467">
        <v>0</v>
      </c>
      <c r="AW467">
        <v>1</v>
      </c>
      <c r="AX467">
        <v>-1</v>
      </c>
      <c r="AY467">
        <v>0</v>
      </c>
      <c r="AZ467">
        <v>0</v>
      </c>
      <c r="BA467" t="s">
        <v>3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Y467*Source!I153</f>
        <v>3</v>
      </c>
      <c r="CY467">
        <f t="shared" si="92"/>
        <v>347.65</v>
      </c>
      <c r="CZ467">
        <f t="shared" si="93"/>
        <v>51.2</v>
      </c>
      <c r="DA467">
        <f t="shared" si="94"/>
        <v>6.79</v>
      </c>
      <c r="DB467">
        <f t="shared" si="95"/>
        <v>5120</v>
      </c>
      <c r="DC467">
        <f t="shared" si="96"/>
        <v>0</v>
      </c>
    </row>
    <row r="468" spans="1:107" x14ac:dyDescent="0.2">
      <c r="A468">
        <f>ROW(Source!A153)</f>
        <v>153</v>
      </c>
      <c r="B468">
        <v>68990560</v>
      </c>
      <c r="C468">
        <v>68992280</v>
      </c>
      <c r="D468">
        <v>64245580</v>
      </c>
      <c r="E468">
        <v>56</v>
      </c>
      <c r="F468">
        <v>1</v>
      </c>
      <c r="G468">
        <v>1</v>
      </c>
      <c r="H468">
        <v>3</v>
      </c>
      <c r="I468" t="s">
        <v>837</v>
      </c>
      <c r="J468" t="s">
        <v>3</v>
      </c>
      <c r="K468" t="s">
        <v>838</v>
      </c>
      <c r="L468">
        <v>1374</v>
      </c>
      <c r="N468">
        <v>1013</v>
      </c>
      <c r="O468" t="s">
        <v>839</v>
      </c>
      <c r="P468" t="s">
        <v>839</v>
      </c>
      <c r="Q468">
        <v>1</v>
      </c>
      <c r="W468">
        <v>0</v>
      </c>
      <c r="X468">
        <v>-1731369543</v>
      </c>
      <c r="Y468">
        <v>6.27</v>
      </c>
      <c r="AA468">
        <v>1</v>
      </c>
      <c r="AB468">
        <v>0</v>
      </c>
      <c r="AC468">
        <v>0</v>
      </c>
      <c r="AD468">
        <v>0</v>
      </c>
      <c r="AE468">
        <v>1</v>
      </c>
      <c r="AF468">
        <v>0</v>
      </c>
      <c r="AG468">
        <v>0</v>
      </c>
      <c r="AH468">
        <v>0</v>
      </c>
      <c r="AI468">
        <v>1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0</v>
      </c>
      <c r="AQ468">
        <v>0</v>
      </c>
      <c r="AR468">
        <v>0</v>
      </c>
      <c r="AS468" t="s">
        <v>3</v>
      </c>
      <c r="AT468">
        <v>6.27</v>
      </c>
      <c r="AU468" t="s">
        <v>3</v>
      </c>
      <c r="AV468">
        <v>0</v>
      </c>
      <c r="AW468">
        <v>2</v>
      </c>
      <c r="AX468">
        <v>68992299</v>
      </c>
      <c r="AY468">
        <v>1</v>
      </c>
      <c r="AZ468">
        <v>0</v>
      </c>
      <c r="BA468">
        <v>458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Y468*Source!I153</f>
        <v>0.18809999999999999</v>
      </c>
      <c r="CY468">
        <f t="shared" si="92"/>
        <v>1</v>
      </c>
      <c r="CZ468">
        <f t="shared" si="93"/>
        <v>1</v>
      </c>
      <c r="DA468">
        <f t="shared" si="94"/>
        <v>1</v>
      </c>
      <c r="DB468">
        <f t="shared" si="95"/>
        <v>6.27</v>
      </c>
      <c r="DC468">
        <f t="shared" si="96"/>
        <v>0</v>
      </c>
    </row>
    <row r="469" spans="1:107" x14ac:dyDescent="0.2">
      <c r="A469">
        <f>ROW(Source!A155)</f>
        <v>155</v>
      </c>
      <c r="B469">
        <v>68990560</v>
      </c>
      <c r="C469">
        <v>68992301</v>
      </c>
      <c r="D469">
        <v>37080781</v>
      </c>
      <c r="E469">
        <v>56</v>
      </c>
      <c r="F469">
        <v>1</v>
      </c>
      <c r="G469">
        <v>1</v>
      </c>
      <c r="H469">
        <v>1</v>
      </c>
      <c r="I469" t="s">
        <v>816</v>
      </c>
      <c r="J469" t="s">
        <v>3</v>
      </c>
      <c r="K469" t="s">
        <v>817</v>
      </c>
      <c r="L469">
        <v>1191</v>
      </c>
      <c r="N469">
        <v>1013</v>
      </c>
      <c r="O469" t="s">
        <v>818</v>
      </c>
      <c r="P469" t="s">
        <v>818</v>
      </c>
      <c r="Q469">
        <v>1</v>
      </c>
      <c r="W469">
        <v>0</v>
      </c>
      <c r="X469">
        <v>912892513</v>
      </c>
      <c r="Y469">
        <v>1.3365</v>
      </c>
      <c r="AA469">
        <v>0</v>
      </c>
      <c r="AB469">
        <v>0</v>
      </c>
      <c r="AC469">
        <v>0</v>
      </c>
      <c r="AD469">
        <v>9.92</v>
      </c>
      <c r="AE469">
        <v>0</v>
      </c>
      <c r="AF469">
        <v>0</v>
      </c>
      <c r="AG469">
        <v>0</v>
      </c>
      <c r="AH469">
        <v>9.92</v>
      </c>
      <c r="AI469">
        <v>1</v>
      </c>
      <c r="AJ469">
        <v>1</v>
      </c>
      <c r="AK469">
        <v>1</v>
      </c>
      <c r="AL469">
        <v>1</v>
      </c>
      <c r="AN469">
        <v>0</v>
      </c>
      <c r="AO469">
        <v>1</v>
      </c>
      <c r="AP469">
        <v>1</v>
      </c>
      <c r="AQ469">
        <v>0</v>
      </c>
      <c r="AR469">
        <v>0</v>
      </c>
      <c r="AS469" t="s">
        <v>3</v>
      </c>
      <c r="AT469">
        <v>0.99</v>
      </c>
      <c r="AU469" t="s">
        <v>200</v>
      </c>
      <c r="AV469">
        <v>1</v>
      </c>
      <c r="AW469">
        <v>2</v>
      </c>
      <c r="AX469">
        <v>68992309</v>
      </c>
      <c r="AY469">
        <v>1</v>
      </c>
      <c r="AZ469">
        <v>0</v>
      </c>
      <c r="BA469">
        <v>459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Y469*Source!I155</f>
        <v>1.3365</v>
      </c>
      <c r="CY469">
        <f>AD469</f>
        <v>9.92</v>
      </c>
      <c r="CZ469">
        <f>AH469</f>
        <v>9.92</v>
      </c>
      <c r="DA469">
        <f>AL469</f>
        <v>1</v>
      </c>
      <c r="DB469">
        <f>ROUND((ROUND(AT469*CZ469,2)*1.35),2)</f>
        <v>13.26</v>
      </c>
      <c r="DC469">
        <f>ROUND((ROUND(AT469*AG469,2)*1.35),2)</f>
        <v>0</v>
      </c>
    </row>
    <row r="470" spans="1:107" x14ac:dyDescent="0.2">
      <c r="A470">
        <f>ROW(Source!A155)</f>
        <v>155</v>
      </c>
      <c r="B470">
        <v>68990560</v>
      </c>
      <c r="C470">
        <v>68992301</v>
      </c>
      <c r="D470">
        <v>37064876</v>
      </c>
      <c r="E470">
        <v>56</v>
      </c>
      <c r="F470">
        <v>1</v>
      </c>
      <c r="G470">
        <v>1</v>
      </c>
      <c r="H470">
        <v>1</v>
      </c>
      <c r="I470" t="s">
        <v>819</v>
      </c>
      <c r="J470" t="s">
        <v>3</v>
      </c>
      <c r="K470" t="s">
        <v>820</v>
      </c>
      <c r="L470">
        <v>1191</v>
      </c>
      <c r="N470">
        <v>1013</v>
      </c>
      <c r="O470" t="s">
        <v>818</v>
      </c>
      <c r="P470" t="s">
        <v>818</v>
      </c>
      <c r="Q470">
        <v>1</v>
      </c>
      <c r="W470">
        <v>0</v>
      </c>
      <c r="X470">
        <v>-1417349443</v>
      </c>
      <c r="Y470">
        <v>0.13500000000000001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1</v>
      </c>
      <c r="AJ470">
        <v>1</v>
      </c>
      <c r="AK470">
        <v>1</v>
      </c>
      <c r="AL470">
        <v>1</v>
      </c>
      <c r="AN470">
        <v>0</v>
      </c>
      <c r="AO470">
        <v>1</v>
      </c>
      <c r="AP470">
        <v>1</v>
      </c>
      <c r="AQ470">
        <v>0</v>
      </c>
      <c r="AR470">
        <v>0</v>
      </c>
      <c r="AS470" t="s">
        <v>3</v>
      </c>
      <c r="AT470">
        <v>0.1</v>
      </c>
      <c r="AU470" t="s">
        <v>200</v>
      </c>
      <c r="AV470">
        <v>2</v>
      </c>
      <c r="AW470">
        <v>2</v>
      </c>
      <c r="AX470">
        <v>68992310</v>
      </c>
      <c r="AY470">
        <v>1</v>
      </c>
      <c r="AZ470">
        <v>0</v>
      </c>
      <c r="BA470">
        <v>460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Y470*Source!I155</f>
        <v>0.13500000000000001</v>
      </c>
      <c r="CY470">
        <f>AD470</f>
        <v>0</v>
      </c>
      <c r="CZ470">
        <f>AH470</f>
        <v>0</v>
      </c>
      <c r="DA470">
        <f>AL470</f>
        <v>1</v>
      </c>
      <c r="DB470">
        <f>ROUND((ROUND(AT470*CZ470,2)*1.35),2)</f>
        <v>0</v>
      </c>
      <c r="DC470">
        <f>ROUND((ROUND(AT470*AG470,2)*1.35),2)</f>
        <v>0</v>
      </c>
    </row>
    <row r="471" spans="1:107" x14ac:dyDescent="0.2">
      <c r="A471">
        <f>ROW(Source!A155)</f>
        <v>155</v>
      </c>
      <c r="B471">
        <v>68990560</v>
      </c>
      <c r="C471">
        <v>68992301</v>
      </c>
      <c r="D471">
        <v>64401763</v>
      </c>
      <c r="E471">
        <v>1</v>
      </c>
      <c r="F471">
        <v>1</v>
      </c>
      <c r="G471">
        <v>1</v>
      </c>
      <c r="H471">
        <v>2</v>
      </c>
      <c r="I471" t="s">
        <v>821</v>
      </c>
      <c r="J471" t="s">
        <v>822</v>
      </c>
      <c r="K471" t="s">
        <v>823</v>
      </c>
      <c r="L471">
        <v>1368</v>
      </c>
      <c r="N471">
        <v>1011</v>
      </c>
      <c r="O471" t="s">
        <v>824</v>
      </c>
      <c r="P471" t="s">
        <v>824</v>
      </c>
      <c r="Q471">
        <v>1</v>
      </c>
      <c r="W471">
        <v>0</v>
      </c>
      <c r="X471">
        <v>-1346461524</v>
      </c>
      <c r="Y471">
        <v>6.7500000000000004E-2</v>
      </c>
      <c r="AA471">
        <v>0</v>
      </c>
      <c r="AB471">
        <v>1074.3699999999999</v>
      </c>
      <c r="AC471">
        <v>454.28</v>
      </c>
      <c r="AD471">
        <v>0</v>
      </c>
      <c r="AE471">
        <v>0</v>
      </c>
      <c r="AF471">
        <v>115.4</v>
      </c>
      <c r="AG471">
        <v>13.5</v>
      </c>
      <c r="AH471">
        <v>0</v>
      </c>
      <c r="AI471">
        <v>1</v>
      </c>
      <c r="AJ471">
        <v>9.31</v>
      </c>
      <c r="AK471">
        <v>33.65</v>
      </c>
      <c r="AL471">
        <v>1</v>
      </c>
      <c r="AN471">
        <v>0</v>
      </c>
      <c r="AO471">
        <v>1</v>
      </c>
      <c r="AP471">
        <v>1</v>
      </c>
      <c r="AQ471">
        <v>0</v>
      </c>
      <c r="AR471">
        <v>0</v>
      </c>
      <c r="AS471" t="s">
        <v>3</v>
      </c>
      <c r="AT471">
        <v>0.05</v>
      </c>
      <c r="AU471" t="s">
        <v>200</v>
      </c>
      <c r="AV471">
        <v>0</v>
      </c>
      <c r="AW471">
        <v>2</v>
      </c>
      <c r="AX471">
        <v>68992311</v>
      </c>
      <c r="AY471">
        <v>1</v>
      </c>
      <c r="AZ471">
        <v>0</v>
      </c>
      <c r="BA471">
        <v>461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Y471*Source!I155</f>
        <v>6.7500000000000004E-2</v>
      </c>
      <c r="CY471">
        <f>AB471</f>
        <v>1074.3699999999999</v>
      </c>
      <c r="CZ471">
        <f>AF471</f>
        <v>115.4</v>
      </c>
      <c r="DA471">
        <f>AJ471</f>
        <v>9.31</v>
      </c>
      <c r="DB471">
        <f>ROUND((ROUND(AT471*CZ471,2)*1.35),2)</f>
        <v>7.79</v>
      </c>
      <c r="DC471">
        <f>ROUND((ROUND(AT471*AG471,2)*1.35),2)</f>
        <v>0.92</v>
      </c>
    </row>
    <row r="472" spans="1:107" x14ac:dyDescent="0.2">
      <c r="A472">
        <f>ROW(Source!A155)</f>
        <v>155</v>
      </c>
      <c r="B472">
        <v>68990560</v>
      </c>
      <c r="C472">
        <v>68992301</v>
      </c>
      <c r="D472">
        <v>64402691</v>
      </c>
      <c r="E472">
        <v>1</v>
      </c>
      <c r="F472">
        <v>1</v>
      </c>
      <c r="G472">
        <v>1</v>
      </c>
      <c r="H472">
        <v>2</v>
      </c>
      <c r="I472" t="s">
        <v>825</v>
      </c>
      <c r="J472" t="s">
        <v>826</v>
      </c>
      <c r="K472" t="s">
        <v>827</v>
      </c>
      <c r="L472">
        <v>1368</v>
      </c>
      <c r="N472">
        <v>1011</v>
      </c>
      <c r="O472" t="s">
        <v>824</v>
      </c>
      <c r="P472" t="s">
        <v>824</v>
      </c>
      <c r="Q472">
        <v>1</v>
      </c>
      <c r="W472">
        <v>0</v>
      </c>
      <c r="X472">
        <v>-841254546</v>
      </c>
      <c r="Y472">
        <v>6.7500000000000004E-2</v>
      </c>
      <c r="AA472">
        <v>0</v>
      </c>
      <c r="AB472">
        <v>776.04</v>
      </c>
      <c r="AC472">
        <v>390.34</v>
      </c>
      <c r="AD472">
        <v>0</v>
      </c>
      <c r="AE472">
        <v>0</v>
      </c>
      <c r="AF472">
        <v>65.709999999999994</v>
      </c>
      <c r="AG472">
        <v>11.6</v>
      </c>
      <c r="AH472">
        <v>0</v>
      </c>
      <c r="AI472">
        <v>1</v>
      </c>
      <c r="AJ472">
        <v>11.81</v>
      </c>
      <c r="AK472">
        <v>33.65</v>
      </c>
      <c r="AL472">
        <v>1</v>
      </c>
      <c r="AN472">
        <v>0</v>
      </c>
      <c r="AO472">
        <v>1</v>
      </c>
      <c r="AP472">
        <v>1</v>
      </c>
      <c r="AQ472">
        <v>0</v>
      </c>
      <c r="AR472">
        <v>0</v>
      </c>
      <c r="AS472" t="s">
        <v>3</v>
      </c>
      <c r="AT472">
        <v>0.05</v>
      </c>
      <c r="AU472" t="s">
        <v>200</v>
      </c>
      <c r="AV472">
        <v>0</v>
      </c>
      <c r="AW472">
        <v>2</v>
      </c>
      <c r="AX472">
        <v>68992312</v>
      </c>
      <c r="AY472">
        <v>1</v>
      </c>
      <c r="AZ472">
        <v>0</v>
      </c>
      <c r="BA472">
        <v>462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Y472*Source!I155</f>
        <v>6.7500000000000004E-2</v>
      </c>
      <c r="CY472">
        <f>AB472</f>
        <v>776.04</v>
      </c>
      <c r="CZ472">
        <f>AF472</f>
        <v>65.709999999999994</v>
      </c>
      <c r="DA472">
        <f>AJ472</f>
        <v>11.81</v>
      </c>
      <c r="DB472">
        <f>ROUND((ROUND(AT472*CZ472,2)*1.35),2)</f>
        <v>4.4400000000000004</v>
      </c>
      <c r="DC472">
        <f>ROUND((ROUND(AT472*AG472,2)*1.35),2)</f>
        <v>0.78</v>
      </c>
    </row>
    <row r="473" spans="1:107" x14ac:dyDescent="0.2">
      <c r="A473">
        <f>ROW(Source!A155)</f>
        <v>155</v>
      </c>
      <c r="B473">
        <v>68990560</v>
      </c>
      <c r="C473">
        <v>68992301</v>
      </c>
      <c r="D473">
        <v>64253038</v>
      </c>
      <c r="E473">
        <v>1</v>
      </c>
      <c r="F473">
        <v>1</v>
      </c>
      <c r="G473">
        <v>1</v>
      </c>
      <c r="H473">
        <v>3</v>
      </c>
      <c r="I473" t="s">
        <v>828</v>
      </c>
      <c r="J473" t="s">
        <v>829</v>
      </c>
      <c r="K473" t="s">
        <v>830</v>
      </c>
      <c r="L473">
        <v>1346</v>
      </c>
      <c r="N473">
        <v>1009</v>
      </c>
      <c r="O473" t="s">
        <v>170</v>
      </c>
      <c r="P473" t="s">
        <v>170</v>
      </c>
      <c r="Q473">
        <v>1</v>
      </c>
      <c r="W473">
        <v>0</v>
      </c>
      <c r="X473">
        <v>456480056</v>
      </c>
      <c r="Y473">
        <v>0.02</v>
      </c>
      <c r="AA473">
        <v>240.77</v>
      </c>
      <c r="AB473">
        <v>0</v>
      </c>
      <c r="AC473">
        <v>0</v>
      </c>
      <c r="AD473">
        <v>0</v>
      </c>
      <c r="AE473">
        <v>30.4</v>
      </c>
      <c r="AF473">
        <v>0</v>
      </c>
      <c r="AG473">
        <v>0</v>
      </c>
      <c r="AH473">
        <v>0</v>
      </c>
      <c r="AI473">
        <v>7.92</v>
      </c>
      <c r="AJ473">
        <v>1</v>
      </c>
      <c r="AK473">
        <v>1</v>
      </c>
      <c r="AL473">
        <v>1</v>
      </c>
      <c r="AN473">
        <v>0</v>
      </c>
      <c r="AO473">
        <v>1</v>
      </c>
      <c r="AP473">
        <v>0</v>
      </c>
      <c r="AQ473">
        <v>0</v>
      </c>
      <c r="AR473">
        <v>0</v>
      </c>
      <c r="AS473" t="s">
        <v>3</v>
      </c>
      <c r="AT473">
        <v>0.02</v>
      </c>
      <c r="AU473" t="s">
        <v>3</v>
      </c>
      <c r="AV473">
        <v>0</v>
      </c>
      <c r="AW473">
        <v>2</v>
      </c>
      <c r="AX473">
        <v>68992313</v>
      </c>
      <c r="AY473">
        <v>1</v>
      </c>
      <c r="AZ473">
        <v>0</v>
      </c>
      <c r="BA473">
        <v>463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Y473*Source!I155</f>
        <v>0.02</v>
      </c>
      <c r="CY473">
        <f>AA473</f>
        <v>240.77</v>
      </c>
      <c r="CZ473">
        <f>AE473</f>
        <v>30.4</v>
      </c>
      <c r="DA473">
        <f>AI473</f>
        <v>7.92</v>
      </c>
      <c r="DB473">
        <f>ROUND(ROUND(AT473*CZ473,2),2)</f>
        <v>0.61</v>
      </c>
      <c r="DC473">
        <f>ROUND(ROUND(AT473*AG473,2),2)</f>
        <v>0</v>
      </c>
    </row>
    <row r="474" spans="1:107" x14ac:dyDescent="0.2">
      <c r="A474">
        <f>ROW(Source!A155)</f>
        <v>155</v>
      </c>
      <c r="B474">
        <v>68990560</v>
      </c>
      <c r="C474">
        <v>68992301</v>
      </c>
      <c r="D474">
        <v>53844155</v>
      </c>
      <c r="E474">
        <v>1</v>
      </c>
      <c r="F474">
        <v>1</v>
      </c>
      <c r="G474">
        <v>1</v>
      </c>
      <c r="H474">
        <v>3</v>
      </c>
      <c r="I474" t="s">
        <v>538</v>
      </c>
      <c r="J474" t="s">
        <v>540</v>
      </c>
      <c r="K474" t="s">
        <v>539</v>
      </c>
      <c r="L474">
        <v>1371</v>
      </c>
      <c r="N474">
        <v>1013</v>
      </c>
      <c r="O474" t="s">
        <v>29</v>
      </c>
      <c r="P474" t="s">
        <v>29</v>
      </c>
      <c r="Q474">
        <v>1</v>
      </c>
      <c r="W474">
        <v>0</v>
      </c>
      <c r="X474">
        <v>1697853901</v>
      </c>
      <c r="Y474">
        <v>1</v>
      </c>
      <c r="AA474">
        <v>10855.38</v>
      </c>
      <c r="AB474">
        <v>0</v>
      </c>
      <c r="AC474">
        <v>0</v>
      </c>
      <c r="AD474">
        <v>0</v>
      </c>
      <c r="AE474">
        <v>1855.62</v>
      </c>
      <c r="AF474">
        <v>0</v>
      </c>
      <c r="AG474">
        <v>0</v>
      </c>
      <c r="AH474">
        <v>0</v>
      </c>
      <c r="AI474">
        <v>5.85</v>
      </c>
      <c r="AJ474">
        <v>1</v>
      </c>
      <c r="AK474">
        <v>1</v>
      </c>
      <c r="AL474">
        <v>1</v>
      </c>
      <c r="AN474">
        <v>0</v>
      </c>
      <c r="AO474">
        <v>0</v>
      </c>
      <c r="AP474">
        <v>0</v>
      </c>
      <c r="AQ474">
        <v>0</v>
      </c>
      <c r="AR474">
        <v>0</v>
      </c>
      <c r="AS474" t="s">
        <v>3</v>
      </c>
      <c r="AT474">
        <v>1</v>
      </c>
      <c r="AU474" t="s">
        <v>3</v>
      </c>
      <c r="AV474">
        <v>0</v>
      </c>
      <c r="AW474">
        <v>1</v>
      </c>
      <c r="AX474">
        <v>-1</v>
      </c>
      <c r="AY474">
        <v>0</v>
      </c>
      <c r="AZ474">
        <v>0</v>
      </c>
      <c r="BA474" t="s">
        <v>3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Y474*Source!I155</f>
        <v>1</v>
      </c>
      <c r="CY474">
        <f>AA474</f>
        <v>10855.38</v>
      </c>
      <c r="CZ474">
        <f>AE474</f>
        <v>1855.62</v>
      </c>
      <c r="DA474">
        <f>AI474</f>
        <v>5.85</v>
      </c>
      <c r="DB474">
        <f>ROUND(ROUND(AT474*CZ474,2),2)</f>
        <v>1855.62</v>
      </c>
      <c r="DC474">
        <f>ROUND(ROUND(AT474*AG474,2),2)</f>
        <v>0</v>
      </c>
    </row>
    <row r="475" spans="1:107" x14ac:dyDescent="0.2">
      <c r="A475">
        <f>ROW(Source!A155)</f>
        <v>155</v>
      </c>
      <c r="B475">
        <v>68990560</v>
      </c>
      <c r="C475">
        <v>68992301</v>
      </c>
      <c r="D475">
        <v>64245580</v>
      </c>
      <c r="E475">
        <v>56</v>
      </c>
      <c r="F475">
        <v>1</v>
      </c>
      <c r="G475">
        <v>1</v>
      </c>
      <c r="H475">
        <v>3</v>
      </c>
      <c r="I475" t="s">
        <v>837</v>
      </c>
      <c r="J475" t="s">
        <v>3</v>
      </c>
      <c r="K475" t="s">
        <v>838</v>
      </c>
      <c r="L475">
        <v>1374</v>
      </c>
      <c r="N475">
        <v>1013</v>
      </c>
      <c r="O475" t="s">
        <v>839</v>
      </c>
      <c r="P475" t="s">
        <v>839</v>
      </c>
      <c r="Q475">
        <v>1</v>
      </c>
      <c r="W475">
        <v>0</v>
      </c>
      <c r="X475">
        <v>-1731369543</v>
      </c>
      <c r="Y475">
        <v>0.2</v>
      </c>
      <c r="AA475">
        <v>1</v>
      </c>
      <c r="AB475">
        <v>0</v>
      </c>
      <c r="AC475">
        <v>0</v>
      </c>
      <c r="AD475">
        <v>0</v>
      </c>
      <c r="AE475">
        <v>1</v>
      </c>
      <c r="AF475">
        <v>0</v>
      </c>
      <c r="AG475">
        <v>0</v>
      </c>
      <c r="AH475">
        <v>0</v>
      </c>
      <c r="AI475">
        <v>1</v>
      </c>
      <c r="AJ475">
        <v>1</v>
      </c>
      <c r="AK475">
        <v>1</v>
      </c>
      <c r="AL475">
        <v>1</v>
      </c>
      <c r="AN475">
        <v>0</v>
      </c>
      <c r="AO475">
        <v>1</v>
      </c>
      <c r="AP475">
        <v>0</v>
      </c>
      <c r="AQ475">
        <v>0</v>
      </c>
      <c r="AR475">
        <v>0</v>
      </c>
      <c r="AS475" t="s">
        <v>3</v>
      </c>
      <c r="AT475">
        <v>0.2</v>
      </c>
      <c r="AU475" t="s">
        <v>3</v>
      </c>
      <c r="AV475">
        <v>0</v>
      </c>
      <c r="AW475">
        <v>2</v>
      </c>
      <c r="AX475">
        <v>68992314</v>
      </c>
      <c r="AY475">
        <v>1</v>
      </c>
      <c r="AZ475">
        <v>0</v>
      </c>
      <c r="BA475">
        <v>464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Y475*Source!I155</f>
        <v>0.2</v>
      </c>
      <c r="CY475">
        <f>AA475</f>
        <v>1</v>
      </c>
      <c r="CZ475">
        <f>AE475</f>
        <v>1</v>
      </c>
      <c r="DA475">
        <f>AI475</f>
        <v>1</v>
      </c>
      <c r="DB475">
        <f>ROUND(ROUND(AT475*CZ475,2),2)</f>
        <v>0.2</v>
      </c>
      <c r="DC475">
        <f>ROUND(ROUND(AT475*AG475,2),2)</f>
        <v>0</v>
      </c>
    </row>
    <row r="476" spans="1:107" x14ac:dyDescent="0.2">
      <c r="A476">
        <f>ROW(Source!A157)</f>
        <v>157</v>
      </c>
      <c r="B476">
        <v>68990560</v>
      </c>
      <c r="C476">
        <v>68992316</v>
      </c>
      <c r="D476">
        <v>37072767</v>
      </c>
      <c r="E476">
        <v>56</v>
      </c>
      <c r="F476">
        <v>1</v>
      </c>
      <c r="G476">
        <v>1</v>
      </c>
      <c r="H476">
        <v>1</v>
      </c>
      <c r="I476" t="s">
        <v>874</v>
      </c>
      <c r="J476" t="s">
        <v>3</v>
      </c>
      <c r="K476" t="s">
        <v>875</v>
      </c>
      <c r="L476">
        <v>1191</v>
      </c>
      <c r="N476">
        <v>1013</v>
      </c>
      <c r="O476" t="s">
        <v>818</v>
      </c>
      <c r="P476" t="s">
        <v>818</v>
      </c>
      <c r="Q476">
        <v>1</v>
      </c>
      <c r="W476">
        <v>0</v>
      </c>
      <c r="X476">
        <v>-1027537862</v>
      </c>
      <c r="Y476">
        <v>20.52</v>
      </c>
      <c r="AA476">
        <v>0</v>
      </c>
      <c r="AB476">
        <v>0</v>
      </c>
      <c r="AC476">
        <v>0</v>
      </c>
      <c r="AD476">
        <v>9.18</v>
      </c>
      <c r="AE476">
        <v>0</v>
      </c>
      <c r="AF476">
        <v>0</v>
      </c>
      <c r="AG476">
        <v>0</v>
      </c>
      <c r="AH476">
        <v>9.18</v>
      </c>
      <c r="AI476">
        <v>1</v>
      </c>
      <c r="AJ476">
        <v>1</v>
      </c>
      <c r="AK476">
        <v>1</v>
      </c>
      <c r="AL476">
        <v>1</v>
      </c>
      <c r="AN476">
        <v>0</v>
      </c>
      <c r="AO476">
        <v>1</v>
      </c>
      <c r="AP476">
        <v>1</v>
      </c>
      <c r="AQ476">
        <v>0</v>
      </c>
      <c r="AR476">
        <v>0</v>
      </c>
      <c r="AS476" t="s">
        <v>3</v>
      </c>
      <c r="AT476">
        <v>15.2</v>
      </c>
      <c r="AU476" t="s">
        <v>200</v>
      </c>
      <c r="AV476">
        <v>1</v>
      </c>
      <c r="AW476">
        <v>2</v>
      </c>
      <c r="AX476">
        <v>68992322</v>
      </c>
      <c r="AY476">
        <v>1</v>
      </c>
      <c r="AZ476">
        <v>0</v>
      </c>
      <c r="BA476">
        <v>465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Y476*Source!I157</f>
        <v>25.034399999999998</v>
      </c>
      <c r="CY476">
        <f>AD476</f>
        <v>9.18</v>
      </c>
      <c r="CZ476">
        <f>AH476</f>
        <v>9.18</v>
      </c>
      <c r="DA476">
        <f>AL476</f>
        <v>1</v>
      </c>
      <c r="DB476">
        <f>ROUND((ROUND(AT476*CZ476,2)*1.35),2)</f>
        <v>188.38</v>
      </c>
      <c r="DC476">
        <f>ROUND((ROUND(AT476*AG476,2)*1.35),2)</f>
        <v>0</v>
      </c>
    </row>
    <row r="477" spans="1:107" x14ac:dyDescent="0.2">
      <c r="A477">
        <f>ROW(Source!A157)</f>
        <v>157</v>
      </c>
      <c r="B477">
        <v>68990560</v>
      </c>
      <c r="C477">
        <v>68992316</v>
      </c>
      <c r="D477">
        <v>64255223</v>
      </c>
      <c r="E477">
        <v>1</v>
      </c>
      <c r="F477">
        <v>1</v>
      </c>
      <c r="G477">
        <v>1</v>
      </c>
      <c r="H477">
        <v>3</v>
      </c>
      <c r="I477" t="s">
        <v>1000</v>
      </c>
      <c r="J477" t="s">
        <v>1001</v>
      </c>
      <c r="K477" t="s">
        <v>1002</v>
      </c>
      <c r="L477">
        <v>1425</v>
      </c>
      <c r="N477">
        <v>1013</v>
      </c>
      <c r="O477" t="s">
        <v>18</v>
      </c>
      <c r="P477" t="s">
        <v>18</v>
      </c>
      <c r="Q477">
        <v>1</v>
      </c>
      <c r="W477">
        <v>0</v>
      </c>
      <c r="X477">
        <v>1110583994</v>
      </c>
      <c r="Y477">
        <v>1.75</v>
      </c>
      <c r="AA477">
        <v>104</v>
      </c>
      <c r="AB477">
        <v>0</v>
      </c>
      <c r="AC477">
        <v>0</v>
      </c>
      <c r="AD477">
        <v>0</v>
      </c>
      <c r="AE477">
        <v>8</v>
      </c>
      <c r="AF477">
        <v>0</v>
      </c>
      <c r="AG477">
        <v>0</v>
      </c>
      <c r="AH477">
        <v>0</v>
      </c>
      <c r="AI477">
        <v>13</v>
      </c>
      <c r="AJ477">
        <v>1</v>
      </c>
      <c r="AK477">
        <v>1</v>
      </c>
      <c r="AL477">
        <v>1</v>
      </c>
      <c r="AN477">
        <v>0</v>
      </c>
      <c r="AO477">
        <v>1</v>
      </c>
      <c r="AP477">
        <v>0</v>
      </c>
      <c r="AQ477">
        <v>0</v>
      </c>
      <c r="AR477">
        <v>0</v>
      </c>
      <c r="AS477" t="s">
        <v>3</v>
      </c>
      <c r="AT477">
        <v>1.75</v>
      </c>
      <c r="AU477" t="s">
        <v>3</v>
      </c>
      <c r="AV477">
        <v>0</v>
      </c>
      <c r="AW477">
        <v>2</v>
      </c>
      <c r="AX477">
        <v>68992323</v>
      </c>
      <c r="AY477">
        <v>1</v>
      </c>
      <c r="AZ477">
        <v>0</v>
      </c>
      <c r="BA477">
        <v>466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Y477*Source!I157</f>
        <v>2.1349999999999998</v>
      </c>
      <c r="CY477">
        <f>AA477</f>
        <v>104</v>
      </c>
      <c r="CZ477">
        <f>AE477</f>
        <v>8</v>
      </c>
      <c r="DA477">
        <f>AI477</f>
        <v>13</v>
      </c>
      <c r="DB477">
        <f>ROUND(ROUND(AT477*CZ477,2),2)</f>
        <v>14</v>
      </c>
      <c r="DC477">
        <f>ROUND(ROUND(AT477*AG477,2),2)</f>
        <v>0</v>
      </c>
    </row>
    <row r="478" spans="1:107" x14ac:dyDescent="0.2">
      <c r="A478">
        <f>ROW(Source!A157)</f>
        <v>157</v>
      </c>
      <c r="B478">
        <v>68990560</v>
      </c>
      <c r="C478">
        <v>68992316</v>
      </c>
      <c r="D478">
        <v>64298459</v>
      </c>
      <c r="E478">
        <v>1</v>
      </c>
      <c r="F478">
        <v>1</v>
      </c>
      <c r="G478">
        <v>1</v>
      </c>
      <c r="H478">
        <v>3</v>
      </c>
      <c r="I478" t="s">
        <v>546</v>
      </c>
      <c r="J478" t="s">
        <v>548</v>
      </c>
      <c r="K478" t="s">
        <v>547</v>
      </c>
      <c r="L478">
        <v>1425</v>
      </c>
      <c r="N478">
        <v>1013</v>
      </c>
      <c r="O478" t="s">
        <v>18</v>
      </c>
      <c r="P478" t="s">
        <v>18</v>
      </c>
      <c r="Q478">
        <v>1</v>
      </c>
      <c r="W478">
        <v>0</v>
      </c>
      <c r="X478">
        <v>1862872504</v>
      </c>
      <c r="Y478">
        <v>1</v>
      </c>
      <c r="AA478">
        <v>422.94</v>
      </c>
      <c r="AB478">
        <v>0</v>
      </c>
      <c r="AC478">
        <v>0</v>
      </c>
      <c r="AD478">
        <v>0</v>
      </c>
      <c r="AE478">
        <v>38</v>
      </c>
      <c r="AF478">
        <v>0</v>
      </c>
      <c r="AG478">
        <v>0</v>
      </c>
      <c r="AH478">
        <v>0</v>
      </c>
      <c r="AI478">
        <v>11.13</v>
      </c>
      <c r="AJ478">
        <v>1</v>
      </c>
      <c r="AK478">
        <v>1</v>
      </c>
      <c r="AL478">
        <v>1</v>
      </c>
      <c r="AN478">
        <v>0</v>
      </c>
      <c r="AO478">
        <v>0</v>
      </c>
      <c r="AP478">
        <v>0</v>
      </c>
      <c r="AQ478">
        <v>0</v>
      </c>
      <c r="AR478">
        <v>0</v>
      </c>
      <c r="AS478" t="s">
        <v>3</v>
      </c>
      <c r="AT478">
        <v>1</v>
      </c>
      <c r="AU478" t="s">
        <v>3</v>
      </c>
      <c r="AV478">
        <v>0</v>
      </c>
      <c r="AW478">
        <v>1</v>
      </c>
      <c r="AX478">
        <v>-1</v>
      </c>
      <c r="AY478">
        <v>0</v>
      </c>
      <c r="AZ478">
        <v>0</v>
      </c>
      <c r="BA478" t="s">
        <v>3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Y478*Source!I157</f>
        <v>1.22</v>
      </c>
      <c r="CY478">
        <f>AA478</f>
        <v>422.94</v>
      </c>
      <c r="CZ478">
        <f>AE478</f>
        <v>38</v>
      </c>
      <c r="DA478">
        <f>AI478</f>
        <v>11.13</v>
      </c>
      <c r="DB478">
        <f>ROUND(ROUND(AT478*CZ478,2),2)</f>
        <v>38</v>
      </c>
      <c r="DC478">
        <f>ROUND(ROUND(AT478*AG478,2),2)</f>
        <v>0</v>
      </c>
    </row>
    <row r="479" spans="1:107" x14ac:dyDescent="0.2">
      <c r="A479">
        <f>ROW(Source!A157)</f>
        <v>157</v>
      </c>
      <c r="B479">
        <v>68990560</v>
      </c>
      <c r="C479">
        <v>68992316</v>
      </c>
      <c r="D479">
        <v>53930209</v>
      </c>
      <c r="E479">
        <v>1</v>
      </c>
      <c r="F479">
        <v>1</v>
      </c>
      <c r="G479">
        <v>1</v>
      </c>
      <c r="H479">
        <v>3</v>
      </c>
      <c r="I479" t="s">
        <v>550</v>
      </c>
      <c r="J479" t="s">
        <v>552</v>
      </c>
      <c r="K479" t="s">
        <v>551</v>
      </c>
      <c r="L479">
        <v>1301</v>
      </c>
      <c r="N479">
        <v>1003</v>
      </c>
      <c r="O479" t="s">
        <v>379</v>
      </c>
      <c r="P479" t="s">
        <v>379</v>
      </c>
      <c r="Q479">
        <v>1</v>
      </c>
      <c r="W479">
        <v>0</v>
      </c>
      <c r="X479">
        <v>559914826</v>
      </c>
      <c r="Y479">
        <v>100</v>
      </c>
      <c r="AA479">
        <v>9.9600000000000009</v>
      </c>
      <c r="AB479">
        <v>0</v>
      </c>
      <c r="AC479">
        <v>0</v>
      </c>
      <c r="AD479">
        <v>0</v>
      </c>
      <c r="AE479">
        <v>1.24</v>
      </c>
      <c r="AF479">
        <v>0</v>
      </c>
      <c r="AG479">
        <v>0</v>
      </c>
      <c r="AH479">
        <v>0</v>
      </c>
      <c r="AI479">
        <v>8.0299999999999994</v>
      </c>
      <c r="AJ479">
        <v>1</v>
      </c>
      <c r="AK479">
        <v>1</v>
      </c>
      <c r="AL479">
        <v>1</v>
      </c>
      <c r="AN479">
        <v>0</v>
      </c>
      <c r="AO479">
        <v>0</v>
      </c>
      <c r="AP479">
        <v>0</v>
      </c>
      <c r="AQ479">
        <v>0</v>
      </c>
      <c r="AR479">
        <v>0</v>
      </c>
      <c r="AS479" t="s">
        <v>3</v>
      </c>
      <c r="AT479">
        <v>100</v>
      </c>
      <c r="AU479" t="s">
        <v>3</v>
      </c>
      <c r="AV479">
        <v>0</v>
      </c>
      <c r="AW479">
        <v>1</v>
      </c>
      <c r="AX479">
        <v>-1</v>
      </c>
      <c r="AY479">
        <v>0</v>
      </c>
      <c r="AZ479">
        <v>0</v>
      </c>
      <c r="BA479" t="s">
        <v>3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Y479*Source!I157</f>
        <v>122</v>
      </c>
      <c r="CY479">
        <f>AA479</f>
        <v>9.9600000000000009</v>
      </c>
      <c r="CZ479">
        <f>AE479</f>
        <v>1.24</v>
      </c>
      <c r="DA479">
        <f>AI479</f>
        <v>8.0299999999999994</v>
      </c>
      <c r="DB479">
        <f>ROUND(ROUND(AT479*CZ479,2),2)</f>
        <v>124</v>
      </c>
      <c r="DC479">
        <f>ROUND(ROUND(AT479*AG479,2),2)</f>
        <v>0</v>
      </c>
    </row>
    <row r="480" spans="1:107" x14ac:dyDescent="0.2">
      <c r="A480">
        <f>ROW(Source!A157)</f>
        <v>157</v>
      </c>
      <c r="B480">
        <v>68990560</v>
      </c>
      <c r="C480">
        <v>68992316</v>
      </c>
      <c r="D480">
        <v>64245580</v>
      </c>
      <c r="E480">
        <v>56</v>
      </c>
      <c r="F480">
        <v>1</v>
      </c>
      <c r="G480">
        <v>1</v>
      </c>
      <c r="H480">
        <v>3</v>
      </c>
      <c r="I480" t="s">
        <v>837</v>
      </c>
      <c r="J480" t="s">
        <v>3</v>
      </c>
      <c r="K480" t="s">
        <v>838</v>
      </c>
      <c r="L480">
        <v>1374</v>
      </c>
      <c r="N480">
        <v>1013</v>
      </c>
      <c r="O480" t="s">
        <v>839</v>
      </c>
      <c r="P480" t="s">
        <v>839</v>
      </c>
      <c r="Q480">
        <v>1</v>
      </c>
      <c r="W480">
        <v>0</v>
      </c>
      <c r="X480">
        <v>-1731369543</v>
      </c>
      <c r="Y480">
        <v>2.79</v>
      </c>
      <c r="AA480">
        <v>1</v>
      </c>
      <c r="AB480">
        <v>0</v>
      </c>
      <c r="AC480">
        <v>0</v>
      </c>
      <c r="AD480">
        <v>0</v>
      </c>
      <c r="AE480">
        <v>1</v>
      </c>
      <c r="AF480">
        <v>0</v>
      </c>
      <c r="AG480">
        <v>0</v>
      </c>
      <c r="AH480">
        <v>0</v>
      </c>
      <c r="AI480">
        <v>1</v>
      </c>
      <c r="AJ480">
        <v>1</v>
      </c>
      <c r="AK480">
        <v>1</v>
      </c>
      <c r="AL480">
        <v>1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3</v>
      </c>
      <c r="AT480">
        <v>2.79</v>
      </c>
      <c r="AU480" t="s">
        <v>3</v>
      </c>
      <c r="AV480">
        <v>0</v>
      </c>
      <c r="AW480">
        <v>2</v>
      </c>
      <c r="AX480">
        <v>68992324</v>
      </c>
      <c r="AY480">
        <v>1</v>
      </c>
      <c r="AZ480">
        <v>0</v>
      </c>
      <c r="BA480">
        <v>467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Y480*Source!I157</f>
        <v>3.4037999999999999</v>
      </c>
      <c r="CY480">
        <f>AA480</f>
        <v>1</v>
      </c>
      <c r="CZ480">
        <f>AE480</f>
        <v>1</v>
      </c>
      <c r="DA480">
        <f>AI480</f>
        <v>1</v>
      </c>
      <c r="DB480">
        <f>ROUND(ROUND(AT480*CZ480,2),2)</f>
        <v>2.79</v>
      </c>
      <c r="DC480">
        <f>ROUND(ROUND(AT480*AG480,2),2)</f>
        <v>0</v>
      </c>
    </row>
    <row r="481" spans="1:107" x14ac:dyDescent="0.2">
      <c r="A481">
        <f>ROW(Source!A160)</f>
        <v>160</v>
      </c>
      <c r="B481">
        <v>68990560</v>
      </c>
      <c r="C481">
        <v>68992350</v>
      </c>
      <c r="D481">
        <v>64241007</v>
      </c>
      <c r="E481">
        <v>56</v>
      </c>
      <c r="F481">
        <v>1</v>
      </c>
      <c r="G481">
        <v>1</v>
      </c>
      <c r="H481">
        <v>1</v>
      </c>
      <c r="I481" t="s">
        <v>955</v>
      </c>
      <c r="J481" t="s">
        <v>3</v>
      </c>
      <c r="K481" t="s">
        <v>956</v>
      </c>
      <c r="L481">
        <v>1191</v>
      </c>
      <c r="N481">
        <v>1013</v>
      </c>
      <c r="O481" t="s">
        <v>818</v>
      </c>
      <c r="P481" t="s">
        <v>818</v>
      </c>
      <c r="Q481">
        <v>1</v>
      </c>
      <c r="W481">
        <v>0</v>
      </c>
      <c r="X481">
        <v>-1081351934</v>
      </c>
      <c r="Y481">
        <v>8.4915000000000003</v>
      </c>
      <c r="AA481">
        <v>0</v>
      </c>
      <c r="AB481">
        <v>0</v>
      </c>
      <c r="AC481">
        <v>0</v>
      </c>
      <c r="AD481">
        <v>9.4</v>
      </c>
      <c r="AE481">
        <v>0</v>
      </c>
      <c r="AF481">
        <v>0</v>
      </c>
      <c r="AG481">
        <v>0</v>
      </c>
      <c r="AH481">
        <v>9.4</v>
      </c>
      <c r="AI481">
        <v>1</v>
      </c>
      <c r="AJ481">
        <v>1</v>
      </c>
      <c r="AK481">
        <v>1</v>
      </c>
      <c r="AL481">
        <v>1</v>
      </c>
      <c r="AN481">
        <v>0</v>
      </c>
      <c r="AO481">
        <v>1</v>
      </c>
      <c r="AP481">
        <v>1</v>
      </c>
      <c r="AQ481">
        <v>0</v>
      </c>
      <c r="AR481">
        <v>0</v>
      </c>
      <c r="AS481" t="s">
        <v>3</v>
      </c>
      <c r="AT481">
        <v>6.29</v>
      </c>
      <c r="AU481" t="s">
        <v>200</v>
      </c>
      <c r="AV481">
        <v>1</v>
      </c>
      <c r="AW481">
        <v>2</v>
      </c>
      <c r="AX481">
        <v>68992351</v>
      </c>
      <c r="AY481">
        <v>1</v>
      </c>
      <c r="AZ481">
        <v>0</v>
      </c>
      <c r="BA481">
        <v>468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Y481*Source!I160</f>
        <v>10.359629999999999</v>
      </c>
      <c r="CY481">
        <f>AD481</f>
        <v>9.4</v>
      </c>
      <c r="CZ481">
        <f>AH481</f>
        <v>9.4</v>
      </c>
      <c r="DA481">
        <f>AL481</f>
        <v>1</v>
      </c>
      <c r="DB481">
        <f>ROUND((ROUND(AT481*CZ481,2)*1.35),2)</f>
        <v>79.83</v>
      </c>
      <c r="DC481">
        <f>ROUND((ROUND(AT481*AG481,2)*1.35),2)</f>
        <v>0</v>
      </c>
    </row>
    <row r="482" spans="1:107" x14ac:dyDescent="0.2">
      <c r="A482">
        <f>ROW(Source!A160)</f>
        <v>160</v>
      </c>
      <c r="B482">
        <v>68990560</v>
      </c>
      <c r="C482">
        <v>68992350</v>
      </c>
      <c r="D482">
        <v>64241154</v>
      </c>
      <c r="E482">
        <v>56</v>
      </c>
      <c r="F482">
        <v>1</v>
      </c>
      <c r="G482">
        <v>1</v>
      </c>
      <c r="H482">
        <v>1</v>
      </c>
      <c r="I482" t="s">
        <v>819</v>
      </c>
      <c r="J482" t="s">
        <v>3</v>
      </c>
      <c r="K482" t="s">
        <v>820</v>
      </c>
      <c r="L482">
        <v>1191</v>
      </c>
      <c r="N482">
        <v>1013</v>
      </c>
      <c r="O482" t="s">
        <v>818</v>
      </c>
      <c r="P482" t="s">
        <v>818</v>
      </c>
      <c r="Q482">
        <v>1</v>
      </c>
      <c r="W482">
        <v>0</v>
      </c>
      <c r="X482">
        <v>-1417349443</v>
      </c>
      <c r="Y482">
        <v>8.1000000000000003E-2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1</v>
      </c>
      <c r="AJ482">
        <v>1</v>
      </c>
      <c r="AK482">
        <v>1</v>
      </c>
      <c r="AL482">
        <v>1</v>
      </c>
      <c r="AN482">
        <v>0</v>
      </c>
      <c r="AO482">
        <v>1</v>
      </c>
      <c r="AP482">
        <v>1</v>
      </c>
      <c r="AQ482">
        <v>0</v>
      </c>
      <c r="AR482">
        <v>0</v>
      </c>
      <c r="AS482" t="s">
        <v>3</v>
      </c>
      <c r="AT482">
        <v>0.06</v>
      </c>
      <c r="AU482" t="s">
        <v>200</v>
      </c>
      <c r="AV482">
        <v>2</v>
      </c>
      <c r="AW482">
        <v>2</v>
      </c>
      <c r="AX482">
        <v>68992352</v>
      </c>
      <c r="AY482">
        <v>1</v>
      </c>
      <c r="AZ482">
        <v>0</v>
      </c>
      <c r="BA482">
        <v>469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Y482*Source!I160</f>
        <v>9.8820000000000005E-2</v>
      </c>
      <c r="CY482">
        <f>AD482</f>
        <v>0</v>
      </c>
      <c r="CZ482">
        <f>AH482</f>
        <v>0</v>
      </c>
      <c r="DA482">
        <f>AL482</f>
        <v>1</v>
      </c>
      <c r="DB482">
        <f>ROUND((ROUND(AT482*CZ482,2)*1.35),2)</f>
        <v>0</v>
      </c>
      <c r="DC482">
        <f>ROUND((ROUND(AT482*AG482,2)*1.35),2)</f>
        <v>0</v>
      </c>
    </row>
    <row r="483" spans="1:107" x14ac:dyDescent="0.2">
      <c r="A483">
        <f>ROW(Source!A160)</f>
        <v>160</v>
      </c>
      <c r="B483">
        <v>68990560</v>
      </c>
      <c r="C483">
        <v>68992350</v>
      </c>
      <c r="D483">
        <v>64401763</v>
      </c>
      <c r="E483">
        <v>1</v>
      </c>
      <c r="F483">
        <v>1</v>
      </c>
      <c r="G483">
        <v>1</v>
      </c>
      <c r="H483">
        <v>2</v>
      </c>
      <c r="I483" t="s">
        <v>821</v>
      </c>
      <c r="J483" t="s">
        <v>822</v>
      </c>
      <c r="K483" t="s">
        <v>823</v>
      </c>
      <c r="L483">
        <v>1368</v>
      </c>
      <c r="N483">
        <v>1011</v>
      </c>
      <c r="O483" t="s">
        <v>824</v>
      </c>
      <c r="P483" t="s">
        <v>824</v>
      </c>
      <c r="Q483">
        <v>1</v>
      </c>
      <c r="W483">
        <v>0</v>
      </c>
      <c r="X483">
        <v>-1346461524</v>
      </c>
      <c r="Y483">
        <v>4.0500000000000001E-2</v>
      </c>
      <c r="AA483">
        <v>0</v>
      </c>
      <c r="AB483">
        <v>1074.3699999999999</v>
      </c>
      <c r="AC483">
        <v>454.28</v>
      </c>
      <c r="AD483">
        <v>0</v>
      </c>
      <c r="AE483">
        <v>0</v>
      </c>
      <c r="AF483">
        <v>115.4</v>
      </c>
      <c r="AG483">
        <v>13.5</v>
      </c>
      <c r="AH483">
        <v>0</v>
      </c>
      <c r="AI483">
        <v>1</v>
      </c>
      <c r="AJ483">
        <v>9.31</v>
      </c>
      <c r="AK483">
        <v>33.65</v>
      </c>
      <c r="AL483">
        <v>1</v>
      </c>
      <c r="AN483">
        <v>0</v>
      </c>
      <c r="AO483">
        <v>1</v>
      </c>
      <c r="AP483">
        <v>1</v>
      </c>
      <c r="AQ483">
        <v>0</v>
      </c>
      <c r="AR483">
        <v>0</v>
      </c>
      <c r="AS483" t="s">
        <v>3</v>
      </c>
      <c r="AT483">
        <v>0.03</v>
      </c>
      <c r="AU483" t="s">
        <v>200</v>
      </c>
      <c r="AV483">
        <v>0</v>
      </c>
      <c r="AW483">
        <v>2</v>
      </c>
      <c r="AX483">
        <v>68992353</v>
      </c>
      <c r="AY483">
        <v>1</v>
      </c>
      <c r="AZ483">
        <v>0</v>
      </c>
      <c r="BA483">
        <v>470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Y483*Source!I160</f>
        <v>4.9410000000000003E-2</v>
      </c>
      <c r="CY483">
        <f>AB483</f>
        <v>1074.3699999999999</v>
      </c>
      <c r="CZ483">
        <f>AF483</f>
        <v>115.4</v>
      </c>
      <c r="DA483">
        <f>AJ483</f>
        <v>9.31</v>
      </c>
      <c r="DB483">
        <f>ROUND((ROUND(AT483*CZ483,2)*1.35),2)</f>
        <v>4.67</v>
      </c>
      <c r="DC483">
        <f>ROUND((ROUND(AT483*AG483,2)*1.35),2)</f>
        <v>0.55000000000000004</v>
      </c>
    </row>
    <row r="484" spans="1:107" x14ac:dyDescent="0.2">
      <c r="A484">
        <f>ROW(Source!A160)</f>
        <v>160</v>
      </c>
      <c r="B484">
        <v>68990560</v>
      </c>
      <c r="C484">
        <v>68992350</v>
      </c>
      <c r="D484">
        <v>64402691</v>
      </c>
      <c r="E484">
        <v>1</v>
      </c>
      <c r="F484">
        <v>1</v>
      </c>
      <c r="G484">
        <v>1</v>
      </c>
      <c r="H484">
        <v>2</v>
      </c>
      <c r="I484" t="s">
        <v>825</v>
      </c>
      <c r="J484" t="s">
        <v>826</v>
      </c>
      <c r="K484" t="s">
        <v>827</v>
      </c>
      <c r="L484">
        <v>1368</v>
      </c>
      <c r="N484">
        <v>1011</v>
      </c>
      <c r="O484" t="s">
        <v>824</v>
      </c>
      <c r="P484" t="s">
        <v>824</v>
      </c>
      <c r="Q484">
        <v>1</v>
      </c>
      <c r="W484">
        <v>0</v>
      </c>
      <c r="X484">
        <v>-841254546</v>
      </c>
      <c r="Y484">
        <v>4.0500000000000001E-2</v>
      </c>
      <c r="AA484">
        <v>0</v>
      </c>
      <c r="AB484">
        <v>776.04</v>
      </c>
      <c r="AC484">
        <v>390.34</v>
      </c>
      <c r="AD484">
        <v>0</v>
      </c>
      <c r="AE484">
        <v>0</v>
      </c>
      <c r="AF484">
        <v>65.709999999999994</v>
      </c>
      <c r="AG484">
        <v>11.6</v>
      </c>
      <c r="AH484">
        <v>0</v>
      </c>
      <c r="AI484">
        <v>1</v>
      </c>
      <c r="AJ484">
        <v>11.81</v>
      </c>
      <c r="AK484">
        <v>33.65</v>
      </c>
      <c r="AL484">
        <v>1</v>
      </c>
      <c r="AN484">
        <v>0</v>
      </c>
      <c r="AO484">
        <v>1</v>
      </c>
      <c r="AP484">
        <v>1</v>
      </c>
      <c r="AQ484">
        <v>0</v>
      </c>
      <c r="AR484">
        <v>0</v>
      </c>
      <c r="AS484" t="s">
        <v>3</v>
      </c>
      <c r="AT484">
        <v>0.03</v>
      </c>
      <c r="AU484" t="s">
        <v>200</v>
      </c>
      <c r="AV484">
        <v>0</v>
      </c>
      <c r="AW484">
        <v>2</v>
      </c>
      <c r="AX484">
        <v>68992354</v>
      </c>
      <c r="AY484">
        <v>1</v>
      </c>
      <c r="AZ484">
        <v>0</v>
      </c>
      <c r="BA484">
        <v>471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Y484*Source!I160</f>
        <v>4.9410000000000003E-2</v>
      </c>
      <c r="CY484">
        <f>AB484</f>
        <v>776.04</v>
      </c>
      <c r="CZ484">
        <f>AF484</f>
        <v>65.709999999999994</v>
      </c>
      <c r="DA484">
        <f>AJ484</f>
        <v>11.81</v>
      </c>
      <c r="DB484">
        <f>ROUND((ROUND(AT484*CZ484,2)*1.35),2)</f>
        <v>2.66</v>
      </c>
      <c r="DC484">
        <f>ROUND((ROUND(AT484*AG484,2)*1.35),2)</f>
        <v>0.47</v>
      </c>
    </row>
    <row r="485" spans="1:107" x14ac:dyDescent="0.2">
      <c r="A485">
        <f>ROW(Source!A160)</f>
        <v>160</v>
      </c>
      <c r="B485">
        <v>68990560</v>
      </c>
      <c r="C485">
        <v>68992350</v>
      </c>
      <c r="D485">
        <v>64253038</v>
      </c>
      <c r="E485">
        <v>1</v>
      </c>
      <c r="F485">
        <v>1</v>
      </c>
      <c r="G485">
        <v>1</v>
      </c>
      <c r="H485">
        <v>3</v>
      </c>
      <c r="I485" t="s">
        <v>828</v>
      </c>
      <c r="J485" t="s">
        <v>829</v>
      </c>
      <c r="K485" t="s">
        <v>830</v>
      </c>
      <c r="L485">
        <v>1346</v>
      </c>
      <c r="N485">
        <v>1009</v>
      </c>
      <c r="O485" t="s">
        <v>170</v>
      </c>
      <c r="P485" t="s">
        <v>170</v>
      </c>
      <c r="Q485">
        <v>1</v>
      </c>
      <c r="W485">
        <v>0</v>
      </c>
      <c r="X485">
        <v>456480056</v>
      </c>
      <c r="Y485">
        <v>0.32</v>
      </c>
      <c r="AA485">
        <v>240.77</v>
      </c>
      <c r="AB485">
        <v>0</v>
      </c>
      <c r="AC485">
        <v>0</v>
      </c>
      <c r="AD485">
        <v>0</v>
      </c>
      <c r="AE485">
        <v>30.4</v>
      </c>
      <c r="AF485">
        <v>0</v>
      </c>
      <c r="AG485">
        <v>0</v>
      </c>
      <c r="AH485">
        <v>0</v>
      </c>
      <c r="AI485">
        <v>7.92</v>
      </c>
      <c r="AJ485">
        <v>1</v>
      </c>
      <c r="AK485">
        <v>1</v>
      </c>
      <c r="AL485">
        <v>1</v>
      </c>
      <c r="AN485">
        <v>0</v>
      </c>
      <c r="AO485">
        <v>1</v>
      </c>
      <c r="AP485">
        <v>0</v>
      </c>
      <c r="AQ485">
        <v>0</v>
      </c>
      <c r="AR485">
        <v>0</v>
      </c>
      <c r="AS485" t="s">
        <v>3</v>
      </c>
      <c r="AT485">
        <v>0.32</v>
      </c>
      <c r="AU485" t="s">
        <v>3</v>
      </c>
      <c r="AV485">
        <v>0</v>
      </c>
      <c r="AW485">
        <v>2</v>
      </c>
      <c r="AX485">
        <v>68992355</v>
      </c>
      <c r="AY485">
        <v>1</v>
      </c>
      <c r="AZ485">
        <v>0</v>
      </c>
      <c r="BA485">
        <v>472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Y485*Source!I160</f>
        <v>0.39040000000000002</v>
      </c>
      <c r="CY485">
        <f t="shared" ref="CY485:CY491" si="97">AA485</f>
        <v>240.77</v>
      </c>
      <c r="CZ485">
        <f t="shared" ref="CZ485:CZ491" si="98">AE485</f>
        <v>30.4</v>
      </c>
      <c r="DA485">
        <f t="shared" ref="DA485:DA491" si="99">AI485</f>
        <v>7.92</v>
      </c>
      <c r="DB485">
        <f t="shared" ref="DB485:DB491" si="100">ROUND(ROUND(AT485*CZ485,2),2)</f>
        <v>9.73</v>
      </c>
      <c r="DC485">
        <f t="shared" ref="DC485:DC491" si="101">ROUND(ROUND(AT485*AG485,2),2)</f>
        <v>0</v>
      </c>
    </row>
    <row r="486" spans="1:107" x14ac:dyDescent="0.2">
      <c r="A486">
        <f>ROW(Source!A160)</f>
        <v>160</v>
      </c>
      <c r="B486">
        <v>68990560</v>
      </c>
      <c r="C486">
        <v>68992350</v>
      </c>
      <c r="D486">
        <v>64253321</v>
      </c>
      <c r="E486">
        <v>1</v>
      </c>
      <c r="F486">
        <v>1</v>
      </c>
      <c r="G486">
        <v>1</v>
      </c>
      <c r="H486">
        <v>3</v>
      </c>
      <c r="I486" t="s">
        <v>1222</v>
      </c>
      <c r="J486" t="s">
        <v>1223</v>
      </c>
      <c r="K486" t="s">
        <v>1224</v>
      </c>
      <c r="L486">
        <v>1348</v>
      </c>
      <c r="N486">
        <v>1009</v>
      </c>
      <c r="O486" t="s">
        <v>71</v>
      </c>
      <c r="P486" t="s">
        <v>71</v>
      </c>
      <c r="Q486">
        <v>1000</v>
      </c>
      <c r="W486">
        <v>0</v>
      </c>
      <c r="X486">
        <v>803804222</v>
      </c>
      <c r="Y486">
        <v>1.0499999999999999E-3</v>
      </c>
      <c r="AA486">
        <v>12812.8</v>
      </c>
      <c r="AB486">
        <v>0</v>
      </c>
      <c r="AC486">
        <v>0</v>
      </c>
      <c r="AD486">
        <v>0</v>
      </c>
      <c r="AE486">
        <v>1820</v>
      </c>
      <c r="AF486">
        <v>0</v>
      </c>
      <c r="AG486">
        <v>0</v>
      </c>
      <c r="AH486">
        <v>0</v>
      </c>
      <c r="AI486">
        <v>7.04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0</v>
      </c>
      <c r="AQ486">
        <v>0</v>
      </c>
      <c r="AR486">
        <v>0</v>
      </c>
      <c r="AS486" t="s">
        <v>3</v>
      </c>
      <c r="AT486">
        <v>1.0499999999999999E-3</v>
      </c>
      <c r="AU486" t="s">
        <v>3</v>
      </c>
      <c r="AV486">
        <v>0</v>
      </c>
      <c r="AW486">
        <v>2</v>
      </c>
      <c r="AX486">
        <v>68992356</v>
      </c>
      <c r="AY486">
        <v>1</v>
      </c>
      <c r="AZ486">
        <v>0</v>
      </c>
      <c r="BA486">
        <v>473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Y486*Source!I160</f>
        <v>1.2809999999999998E-3</v>
      </c>
      <c r="CY486">
        <f t="shared" si="97"/>
        <v>12812.8</v>
      </c>
      <c r="CZ486">
        <f t="shared" si="98"/>
        <v>1820</v>
      </c>
      <c r="DA486">
        <f t="shared" si="99"/>
        <v>7.04</v>
      </c>
      <c r="DB486">
        <f t="shared" si="100"/>
        <v>1.91</v>
      </c>
      <c r="DC486">
        <f t="shared" si="101"/>
        <v>0</v>
      </c>
    </row>
    <row r="487" spans="1:107" x14ac:dyDescent="0.2">
      <c r="A487">
        <f>ROW(Source!A160)</f>
        <v>160</v>
      </c>
      <c r="B487">
        <v>68990560</v>
      </c>
      <c r="C487">
        <v>68992350</v>
      </c>
      <c r="D487">
        <v>64284267</v>
      </c>
      <c r="E487">
        <v>1</v>
      </c>
      <c r="F487">
        <v>1</v>
      </c>
      <c r="G487">
        <v>1</v>
      </c>
      <c r="H487">
        <v>3</v>
      </c>
      <c r="I487" t="s">
        <v>1225</v>
      </c>
      <c r="J487" t="s">
        <v>1226</v>
      </c>
      <c r="K487" t="s">
        <v>1227</v>
      </c>
      <c r="L487">
        <v>1346</v>
      </c>
      <c r="N487">
        <v>1009</v>
      </c>
      <c r="O487" t="s">
        <v>170</v>
      </c>
      <c r="P487" t="s">
        <v>170</v>
      </c>
      <c r="Q487">
        <v>1</v>
      </c>
      <c r="W487">
        <v>0</v>
      </c>
      <c r="X487">
        <v>654902681</v>
      </c>
      <c r="Y487">
        <v>0.02</v>
      </c>
      <c r="AA487">
        <v>125.27</v>
      </c>
      <c r="AB487">
        <v>0</v>
      </c>
      <c r="AC487">
        <v>0</v>
      </c>
      <c r="AD487">
        <v>0</v>
      </c>
      <c r="AE487">
        <v>28.6</v>
      </c>
      <c r="AF487">
        <v>0</v>
      </c>
      <c r="AG487">
        <v>0</v>
      </c>
      <c r="AH487">
        <v>0</v>
      </c>
      <c r="AI487">
        <v>4.38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0</v>
      </c>
      <c r="AQ487">
        <v>0</v>
      </c>
      <c r="AR487">
        <v>0</v>
      </c>
      <c r="AS487" t="s">
        <v>3</v>
      </c>
      <c r="AT487">
        <v>0.02</v>
      </c>
      <c r="AU487" t="s">
        <v>3</v>
      </c>
      <c r="AV487">
        <v>0</v>
      </c>
      <c r="AW487">
        <v>2</v>
      </c>
      <c r="AX487">
        <v>68992357</v>
      </c>
      <c r="AY487">
        <v>1</v>
      </c>
      <c r="AZ487">
        <v>0</v>
      </c>
      <c r="BA487">
        <v>474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Y487*Source!I160</f>
        <v>2.4400000000000002E-2</v>
      </c>
      <c r="CY487">
        <f t="shared" si="97"/>
        <v>125.27</v>
      </c>
      <c r="CZ487">
        <f t="shared" si="98"/>
        <v>28.6</v>
      </c>
      <c r="DA487">
        <f t="shared" si="99"/>
        <v>4.38</v>
      </c>
      <c r="DB487">
        <f t="shared" si="100"/>
        <v>0.56999999999999995</v>
      </c>
      <c r="DC487">
        <f t="shared" si="101"/>
        <v>0</v>
      </c>
    </row>
    <row r="488" spans="1:107" x14ac:dyDescent="0.2">
      <c r="A488">
        <f>ROW(Source!A160)</f>
        <v>160</v>
      </c>
      <c r="B488">
        <v>68990560</v>
      </c>
      <c r="C488">
        <v>68992350</v>
      </c>
      <c r="D488">
        <v>64297625</v>
      </c>
      <c r="E488">
        <v>1</v>
      </c>
      <c r="F488">
        <v>1</v>
      </c>
      <c r="G488">
        <v>1</v>
      </c>
      <c r="H488">
        <v>3</v>
      </c>
      <c r="I488" t="s">
        <v>1228</v>
      </c>
      <c r="J488" t="s">
        <v>1229</v>
      </c>
      <c r="K488" t="s">
        <v>1230</v>
      </c>
      <c r="L488">
        <v>1425</v>
      </c>
      <c r="N488">
        <v>1013</v>
      </c>
      <c r="O488" t="s">
        <v>18</v>
      </c>
      <c r="P488" t="s">
        <v>18</v>
      </c>
      <c r="Q488">
        <v>1</v>
      </c>
      <c r="W488">
        <v>0</v>
      </c>
      <c r="X488">
        <v>2034836529</v>
      </c>
      <c r="Y488">
        <v>0.05</v>
      </c>
      <c r="AA488">
        <v>1288.43</v>
      </c>
      <c r="AB488">
        <v>0</v>
      </c>
      <c r="AC488">
        <v>0</v>
      </c>
      <c r="AD488">
        <v>0</v>
      </c>
      <c r="AE488">
        <v>143</v>
      </c>
      <c r="AF488">
        <v>0</v>
      </c>
      <c r="AG488">
        <v>0</v>
      </c>
      <c r="AH488">
        <v>0</v>
      </c>
      <c r="AI488">
        <v>9.01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3</v>
      </c>
      <c r="AT488">
        <v>0.05</v>
      </c>
      <c r="AU488" t="s">
        <v>3</v>
      </c>
      <c r="AV488">
        <v>0</v>
      </c>
      <c r="AW488">
        <v>2</v>
      </c>
      <c r="AX488">
        <v>68992358</v>
      </c>
      <c r="AY488">
        <v>1</v>
      </c>
      <c r="AZ488">
        <v>0</v>
      </c>
      <c r="BA488">
        <v>475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Y488*Source!I160</f>
        <v>6.0999999999999999E-2</v>
      </c>
      <c r="CY488">
        <f t="shared" si="97"/>
        <v>1288.43</v>
      </c>
      <c r="CZ488">
        <f t="shared" si="98"/>
        <v>143</v>
      </c>
      <c r="DA488">
        <f t="shared" si="99"/>
        <v>9.01</v>
      </c>
      <c r="DB488">
        <f t="shared" si="100"/>
        <v>7.15</v>
      </c>
      <c r="DC488">
        <f t="shared" si="101"/>
        <v>0</v>
      </c>
    </row>
    <row r="489" spans="1:107" x14ac:dyDescent="0.2">
      <c r="A489">
        <f>ROW(Source!A160)</f>
        <v>160</v>
      </c>
      <c r="B489">
        <v>68990560</v>
      </c>
      <c r="C489">
        <v>68992350</v>
      </c>
      <c r="D489">
        <v>64297675</v>
      </c>
      <c r="E489">
        <v>1</v>
      </c>
      <c r="F489">
        <v>1</v>
      </c>
      <c r="G489">
        <v>1</v>
      </c>
      <c r="H489">
        <v>3</v>
      </c>
      <c r="I489" t="s">
        <v>1231</v>
      </c>
      <c r="J489" t="s">
        <v>1232</v>
      </c>
      <c r="K489" t="s">
        <v>1233</v>
      </c>
      <c r="L489">
        <v>1407</v>
      </c>
      <c r="N489">
        <v>1013</v>
      </c>
      <c r="O489" t="s">
        <v>1171</v>
      </c>
      <c r="P489" t="s">
        <v>1171</v>
      </c>
      <c r="Q489">
        <v>1</v>
      </c>
      <c r="W489">
        <v>0</v>
      </c>
      <c r="X489">
        <v>-1536397252</v>
      </c>
      <c r="Y489">
        <v>1.2200000000000001E-2</v>
      </c>
      <c r="AA489">
        <v>1238.76</v>
      </c>
      <c r="AB489">
        <v>0</v>
      </c>
      <c r="AC489">
        <v>0</v>
      </c>
      <c r="AD489">
        <v>0</v>
      </c>
      <c r="AE489">
        <v>176.21</v>
      </c>
      <c r="AF489">
        <v>0</v>
      </c>
      <c r="AG489">
        <v>0</v>
      </c>
      <c r="AH489">
        <v>0</v>
      </c>
      <c r="AI489">
        <v>7.03</v>
      </c>
      <c r="AJ489">
        <v>1</v>
      </c>
      <c r="AK489">
        <v>1</v>
      </c>
      <c r="AL489">
        <v>1</v>
      </c>
      <c r="AN489">
        <v>0</v>
      </c>
      <c r="AO489">
        <v>1</v>
      </c>
      <c r="AP489">
        <v>0</v>
      </c>
      <c r="AQ489">
        <v>0</v>
      </c>
      <c r="AR489">
        <v>0</v>
      </c>
      <c r="AS489" t="s">
        <v>3</v>
      </c>
      <c r="AT489">
        <v>1.2200000000000001E-2</v>
      </c>
      <c r="AU489" t="s">
        <v>3</v>
      </c>
      <c r="AV489">
        <v>0</v>
      </c>
      <c r="AW489">
        <v>2</v>
      </c>
      <c r="AX489">
        <v>68992359</v>
      </c>
      <c r="AY489">
        <v>1</v>
      </c>
      <c r="AZ489">
        <v>0</v>
      </c>
      <c r="BA489">
        <v>476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Y489*Source!I160</f>
        <v>1.4884000000000001E-2</v>
      </c>
      <c r="CY489">
        <f t="shared" si="97"/>
        <v>1238.76</v>
      </c>
      <c r="CZ489">
        <f t="shared" si="98"/>
        <v>176.21</v>
      </c>
      <c r="DA489">
        <f t="shared" si="99"/>
        <v>7.03</v>
      </c>
      <c r="DB489">
        <f t="shared" si="100"/>
        <v>2.15</v>
      </c>
      <c r="DC489">
        <f t="shared" si="101"/>
        <v>0</v>
      </c>
    </row>
    <row r="490" spans="1:107" x14ac:dyDescent="0.2">
      <c r="A490">
        <f>ROW(Source!A160)</f>
        <v>160</v>
      </c>
      <c r="B490">
        <v>68990560</v>
      </c>
      <c r="C490">
        <v>68992350</v>
      </c>
      <c r="D490">
        <v>53886796</v>
      </c>
      <c r="E490">
        <v>1</v>
      </c>
      <c r="F490">
        <v>1</v>
      </c>
      <c r="G490">
        <v>1</v>
      </c>
      <c r="H490">
        <v>3</v>
      </c>
      <c r="I490" t="s">
        <v>558</v>
      </c>
      <c r="J490" t="s">
        <v>561</v>
      </c>
      <c r="K490" t="s">
        <v>559</v>
      </c>
      <c r="L490">
        <v>1477</v>
      </c>
      <c r="N490">
        <v>1013</v>
      </c>
      <c r="O490" t="s">
        <v>560</v>
      </c>
      <c r="P490" t="s">
        <v>562</v>
      </c>
      <c r="Q490">
        <v>1</v>
      </c>
      <c r="W490">
        <v>0</v>
      </c>
      <c r="X490">
        <v>-757961288</v>
      </c>
      <c r="Y490">
        <v>0.1</v>
      </c>
      <c r="AA490">
        <v>95404.61</v>
      </c>
      <c r="AB490">
        <v>0</v>
      </c>
      <c r="AC490">
        <v>0</v>
      </c>
      <c r="AD490">
        <v>0</v>
      </c>
      <c r="AE490">
        <v>11836.8</v>
      </c>
      <c r="AF490">
        <v>0</v>
      </c>
      <c r="AG490">
        <v>0</v>
      </c>
      <c r="AH490">
        <v>0</v>
      </c>
      <c r="AI490">
        <v>8.06</v>
      </c>
      <c r="AJ490">
        <v>1</v>
      </c>
      <c r="AK490">
        <v>1</v>
      </c>
      <c r="AL490">
        <v>1</v>
      </c>
      <c r="AN490">
        <v>0</v>
      </c>
      <c r="AO490">
        <v>0</v>
      </c>
      <c r="AP490">
        <v>0</v>
      </c>
      <c r="AQ490">
        <v>0</v>
      </c>
      <c r="AR490">
        <v>0</v>
      </c>
      <c r="AS490" t="s">
        <v>3</v>
      </c>
      <c r="AT490">
        <v>0.1</v>
      </c>
      <c r="AU490" t="s">
        <v>3</v>
      </c>
      <c r="AV490">
        <v>0</v>
      </c>
      <c r="AW490">
        <v>1</v>
      </c>
      <c r="AX490">
        <v>-1</v>
      </c>
      <c r="AY490">
        <v>0</v>
      </c>
      <c r="AZ490">
        <v>0</v>
      </c>
      <c r="BA490" t="s">
        <v>3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Y490*Source!I160</f>
        <v>0.122</v>
      </c>
      <c r="CY490">
        <f t="shared" si="97"/>
        <v>95404.61</v>
      </c>
      <c r="CZ490">
        <f t="shared" si="98"/>
        <v>11836.8</v>
      </c>
      <c r="DA490">
        <f t="shared" si="99"/>
        <v>8.06</v>
      </c>
      <c r="DB490">
        <f t="shared" si="100"/>
        <v>1183.68</v>
      </c>
      <c r="DC490">
        <f t="shared" si="101"/>
        <v>0</v>
      </c>
    </row>
    <row r="491" spans="1:107" x14ac:dyDescent="0.2">
      <c r="A491">
        <f>ROW(Source!A160)</f>
        <v>160</v>
      </c>
      <c r="B491">
        <v>68990560</v>
      </c>
      <c r="C491">
        <v>68992350</v>
      </c>
      <c r="D491">
        <v>64245580</v>
      </c>
      <c r="E491">
        <v>56</v>
      </c>
      <c r="F491">
        <v>1</v>
      </c>
      <c r="G491">
        <v>1</v>
      </c>
      <c r="H491">
        <v>3</v>
      </c>
      <c r="I491" t="s">
        <v>837</v>
      </c>
      <c r="J491" t="s">
        <v>3</v>
      </c>
      <c r="K491" t="s">
        <v>838</v>
      </c>
      <c r="L491">
        <v>1374</v>
      </c>
      <c r="N491">
        <v>1013</v>
      </c>
      <c r="O491" t="s">
        <v>839</v>
      </c>
      <c r="P491" t="s">
        <v>839</v>
      </c>
      <c r="Q491">
        <v>1</v>
      </c>
      <c r="W491">
        <v>0</v>
      </c>
      <c r="X491">
        <v>-1731369543</v>
      </c>
      <c r="Y491">
        <v>1.18</v>
      </c>
      <c r="AA491">
        <v>1</v>
      </c>
      <c r="AB491">
        <v>0</v>
      </c>
      <c r="AC491">
        <v>0</v>
      </c>
      <c r="AD491">
        <v>0</v>
      </c>
      <c r="AE491">
        <v>1</v>
      </c>
      <c r="AF491">
        <v>0</v>
      </c>
      <c r="AG491">
        <v>0</v>
      </c>
      <c r="AH491">
        <v>0</v>
      </c>
      <c r="AI491">
        <v>1</v>
      </c>
      <c r="AJ491">
        <v>1</v>
      </c>
      <c r="AK491">
        <v>1</v>
      </c>
      <c r="AL491">
        <v>1</v>
      </c>
      <c r="AN491">
        <v>0</v>
      </c>
      <c r="AO491">
        <v>1</v>
      </c>
      <c r="AP491">
        <v>0</v>
      </c>
      <c r="AQ491">
        <v>0</v>
      </c>
      <c r="AR491">
        <v>0</v>
      </c>
      <c r="AS491" t="s">
        <v>3</v>
      </c>
      <c r="AT491">
        <v>1.18</v>
      </c>
      <c r="AU491" t="s">
        <v>3</v>
      </c>
      <c r="AV491">
        <v>0</v>
      </c>
      <c r="AW491">
        <v>2</v>
      </c>
      <c r="AX491">
        <v>68992360</v>
      </c>
      <c r="AY491">
        <v>1</v>
      </c>
      <c r="AZ491">
        <v>0</v>
      </c>
      <c r="BA491">
        <v>477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Y491*Source!I160</f>
        <v>1.4396</v>
      </c>
      <c r="CY491">
        <f t="shared" si="97"/>
        <v>1</v>
      </c>
      <c r="CZ491">
        <f t="shared" si="98"/>
        <v>1</v>
      </c>
      <c r="DA491">
        <f t="shared" si="99"/>
        <v>1</v>
      </c>
      <c r="DB491">
        <f t="shared" si="100"/>
        <v>1.18</v>
      </c>
      <c r="DC491">
        <f t="shared" si="101"/>
        <v>0</v>
      </c>
    </row>
    <row r="492" spans="1:107" x14ac:dyDescent="0.2">
      <c r="A492">
        <f>ROW(Source!A162)</f>
        <v>162</v>
      </c>
      <c r="B492">
        <v>68990560</v>
      </c>
      <c r="C492">
        <v>68992387</v>
      </c>
      <c r="D492">
        <v>64241025</v>
      </c>
      <c r="E492">
        <v>56</v>
      </c>
      <c r="F492">
        <v>1</v>
      </c>
      <c r="G492">
        <v>1</v>
      </c>
      <c r="H492">
        <v>1</v>
      </c>
      <c r="I492" t="s">
        <v>816</v>
      </c>
      <c r="J492" t="s">
        <v>3</v>
      </c>
      <c r="K492" t="s">
        <v>817</v>
      </c>
      <c r="L492">
        <v>1191</v>
      </c>
      <c r="N492">
        <v>1013</v>
      </c>
      <c r="O492" t="s">
        <v>818</v>
      </c>
      <c r="P492" t="s">
        <v>818</v>
      </c>
      <c r="Q492">
        <v>1</v>
      </c>
      <c r="W492">
        <v>0</v>
      </c>
      <c r="X492">
        <v>912892513</v>
      </c>
      <c r="Y492">
        <v>1.3905000000000001</v>
      </c>
      <c r="AA492">
        <v>0</v>
      </c>
      <c r="AB492">
        <v>0</v>
      </c>
      <c r="AC492">
        <v>0</v>
      </c>
      <c r="AD492">
        <v>9.92</v>
      </c>
      <c r="AE492">
        <v>0</v>
      </c>
      <c r="AF492">
        <v>0</v>
      </c>
      <c r="AG492">
        <v>0</v>
      </c>
      <c r="AH492">
        <v>9.92</v>
      </c>
      <c r="AI492">
        <v>1</v>
      </c>
      <c r="AJ492">
        <v>1</v>
      </c>
      <c r="AK492">
        <v>1</v>
      </c>
      <c r="AL492">
        <v>1</v>
      </c>
      <c r="AN492">
        <v>0</v>
      </c>
      <c r="AO492">
        <v>1</v>
      </c>
      <c r="AP492">
        <v>1</v>
      </c>
      <c r="AQ492">
        <v>0</v>
      </c>
      <c r="AR492">
        <v>0</v>
      </c>
      <c r="AS492" t="s">
        <v>3</v>
      </c>
      <c r="AT492">
        <v>1.03</v>
      </c>
      <c r="AU492" t="s">
        <v>200</v>
      </c>
      <c r="AV492">
        <v>1</v>
      </c>
      <c r="AW492">
        <v>2</v>
      </c>
      <c r="AX492">
        <v>68992398</v>
      </c>
      <c r="AY492">
        <v>1</v>
      </c>
      <c r="AZ492">
        <v>0</v>
      </c>
      <c r="BA492">
        <v>478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Y492*Source!I162</f>
        <v>1.3905000000000001</v>
      </c>
      <c r="CY492">
        <f>AD492</f>
        <v>9.92</v>
      </c>
      <c r="CZ492">
        <f>AH492</f>
        <v>9.92</v>
      </c>
      <c r="DA492">
        <f>AL492</f>
        <v>1</v>
      </c>
      <c r="DB492">
        <f>ROUND((ROUND(AT492*CZ492,2)*1.35),2)</f>
        <v>13.8</v>
      </c>
      <c r="DC492">
        <f>ROUND((ROUND(AT492*AG492,2)*1.35),2)</f>
        <v>0</v>
      </c>
    </row>
    <row r="493" spans="1:107" x14ac:dyDescent="0.2">
      <c r="A493">
        <f>ROW(Source!A162)</f>
        <v>162</v>
      </c>
      <c r="B493">
        <v>68990560</v>
      </c>
      <c r="C493">
        <v>68992387</v>
      </c>
      <c r="D493">
        <v>64255009</v>
      </c>
      <c r="E493">
        <v>1</v>
      </c>
      <c r="F493">
        <v>1</v>
      </c>
      <c r="G493">
        <v>1</v>
      </c>
      <c r="H493">
        <v>3</v>
      </c>
      <c r="I493" t="s">
        <v>963</v>
      </c>
      <c r="J493" t="s">
        <v>964</v>
      </c>
      <c r="K493" t="s">
        <v>965</v>
      </c>
      <c r="L493">
        <v>1346</v>
      </c>
      <c r="N493">
        <v>1009</v>
      </c>
      <c r="O493" t="s">
        <v>170</v>
      </c>
      <c r="P493" t="s">
        <v>170</v>
      </c>
      <c r="Q493">
        <v>1</v>
      </c>
      <c r="W493">
        <v>0</v>
      </c>
      <c r="X493">
        <v>-584220791</v>
      </c>
      <c r="Y493">
        <v>0.02</v>
      </c>
      <c r="AA493">
        <v>93.93</v>
      </c>
      <c r="AB493">
        <v>0</v>
      </c>
      <c r="AC493">
        <v>0</v>
      </c>
      <c r="AD493">
        <v>0</v>
      </c>
      <c r="AE493">
        <v>9.0399999999999991</v>
      </c>
      <c r="AF493">
        <v>0</v>
      </c>
      <c r="AG493">
        <v>0</v>
      </c>
      <c r="AH493">
        <v>0</v>
      </c>
      <c r="AI493">
        <v>10.39</v>
      </c>
      <c r="AJ493">
        <v>1</v>
      </c>
      <c r="AK493">
        <v>1</v>
      </c>
      <c r="AL493">
        <v>1</v>
      </c>
      <c r="AN493">
        <v>0</v>
      </c>
      <c r="AO493">
        <v>1</v>
      </c>
      <c r="AP493">
        <v>0</v>
      </c>
      <c r="AQ493">
        <v>0</v>
      </c>
      <c r="AR493">
        <v>0</v>
      </c>
      <c r="AS493" t="s">
        <v>3</v>
      </c>
      <c r="AT493">
        <v>0.02</v>
      </c>
      <c r="AU493" t="s">
        <v>3</v>
      </c>
      <c r="AV493">
        <v>0</v>
      </c>
      <c r="AW493">
        <v>2</v>
      </c>
      <c r="AX493">
        <v>68992399</v>
      </c>
      <c r="AY493">
        <v>1</v>
      </c>
      <c r="AZ493">
        <v>0</v>
      </c>
      <c r="BA493">
        <v>479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Y493*Source!I162</f>
        <v>0.02</v>
      </c>
      <c r="CY493">
        <f>AA493</f>
        <v>93.93</v>
      </c>
      <c r="CZ493">
        <f>AE493</f>
        <v>9.0399999999999991</v>
      </c>
      <c r="DA493">
        <f>AI493</f>
        <v>10.39</v>
      </c>
      <c r="DB493">
        <f>ROUND(ROUND(AT493*CZ493,2),2)</f>
        <v>0.18</v>
      </c>
      <c r="DC493">
        <f>ROUND(ROUND(AT493*AG493,2),2)</f>
        <v>0</v>
      </c>
    </row>
    <row r="494" spans="1:107" x14ac:dyDescent="0.2">
      <c r="A494">
        <f>ROW(Source!A162)</f>
        <v>162</v>
      </c>
      <c r="B494">
        <v>68990560</v>
      </c>
      <c r="C494">
        <v>68992387</v>
      </c>
      <c r="D494">
        <v>53946376</v>
      </c>
      <c r="E494">
        <v>1</v>
      </c>
      <c r="F494">
        <v>1</v>
      </c>
      <c r="G494">
        <v>1</v>
      </c>
      <c r="H494">
        <v>3</v>
      </c>
      <c r="I494" t="s">
        <v>568</v>
      </c>
      <c r="J494" t="s">
        <v>570</v>
      </c>
      <c r="K494" t="s">
        <v>569</v>
      </c>
      <c r="L494">
        <v>1371</v>
      </c>
      <c r="N494">
        <v>1013</v>
      </c>
      <c r="O494" t="s">
        <v>29</v>
      </c>
      <c r="P494" t="s">
        <v>29</v>
      </c>
      <c r="Q494">
        <v>1</v>
      </c>
      <c r="W494">
        <v>0</v>
      </c>
      <c r="X494">
        <v>1148322818</v>
      </c>
      <c r="Y494">
        <v>1</v>
      </c>
      <c r="AA494">
        <v>4613.95</v>
      </c>
      <c r="AB494">
        <v>0</v>
      </c>
      <c r="AC494">
        <v>0</v>
      </c>
      <c r="AD494">
        <v>0</v>
      </c>
      <c r="AE494">
        <v>922.79</v>
      </c>
      <c r="AF494">
        <v>0</v>
      </c>
      <c r="AG494">
        <v>0</v>
      </c>
      <c r="AH494">
        <v>0</v>
      </c>
      <c r="AI494">
        <v>5</v>
      </c>
      <c r="AJ494">
        <v>1</v>
      </c>
      <c r="AK494">
        <v>1</v>
      </c>
      <c r="AL494">
        <v>1</v>
      </c>
      <c r="AN494">
        <v>0</v>
      </c>
      <c r="AO494">
        <v>0</v>
      </c>
      <c r="AP494">
        <v>0</v>
      </c>
      <c r="AQ494">
        <v>0</v>
      </c>
      <c r="AR494">
        <v>0</v>
      </c>
      <c r="AS494" t="s">
        <v>3</v>
      </c>
      <c r="AT494">
        <v>1</v>
      </c>
      <c r="AU494" t="s">
        <v>3</v>
      </c>
      <c r="AV494">
        <v>0</v>
      </c>
      <c r="AW494">
        <v>1</v>
      </c>
      <c r="AX494">
        <v>-1</v>
      </c>
      <c r="AY494">
        <v>0</v>
      </c>
      <c r="AZ494">
        <v>0</v>
      </c>
      <c r="BA494" t="s">
        <v>3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Y494*Source!I162</f>
        <v>1</v>
      </c>
      <c r="CY494">
        <f>AA494</f>
        <v>4613.95</v>
      </c>
      <c r="CZ494">
        <f>AE494</f>
        <v>922.79</v>
      </c>
      <c r="DA494">
        <f>AI494</f>
        <v>5</v>
      </c>
      <c r="DB494">
        <f>ROUND(ROUND(AT494*CZ494,2),2)</f>
        <v>922.79</v>
      </c>
      <c r="DC494">
        <f>ROUND(ROUND(AT494*AG494,2),2)</f>
        <v>0</v>
      </c>
    </row>
    <row r="495" spans="1:107" x14ac:dyDescent="0.2">
      <c r="A495">
        <f>ROW(Source!A162)</f>
        <v>162</v>
      </c>
      <c r="B495">
        <v>68990560</v>
      </c>
      <c r="C495">
        <v>68992387</v>
      </c>
      <c r="D495">
        <v>64245580</v>
      </c>
      <c r="E495">
        <v>56</v>
      </c>
      <c r="F495">
        <v>1</v>
      </c>
      <c r="G495">
        <v>1</v>
      </c>
      <c r="H495">
        <v>3</v>
      </c>
      <c r="I495" t="s">
        <v>837</v>
      </c>
      <c r="J495" t="s">
        <v>3</v>
      </c>
      <c r="K495" t="s">
        <v>838</v>
      </c>
      <c r="L495">
        <v>1374</v>
      </c>
      <c r="N495">
        <v>1013</v>
      </c>
      <c r="O495" t="s">
        <v>839</v>
      </c>
      <c r="P495" t="s">
        <v>839</v>
      </c>
      <c r="Q495">
        <v>1</v>
      </c>
      <c r="W495">
        <v>0</v>
      </c>
      <c r="X495">
        <v>-1731369543</v>
      </c>
      <c r="Y495">
        <v>0.2</v>
      </c>
      <c r="AA495">
        <v>1</v>
      </c>
      <c r="AB495">
        <v>0</v>
      </c>
      <c r="AC495">
        <v>0</v>
      </c>
      <c r="AD495">
        <v>0</v>
      </c>
      <c r="AE495">
        <v>1</v>
      </c>
      <c r="AF495">
        <v>0</v>
      </c>
      <c r="AG495">
        <v>0</v>
      </c>
      <c r="AH495">
        <v>0</v>
      </c>
      <c r="AI495">
        <v>1</v>
      </c>
      <c r="AJ495">
        <v>1</v>
      </c>
      <c r="AK495">
        <v>1</v>
      </c>
      <c r="AL495">
        <v>1</v>
      </c>
      <c r="AN495">
        <v>0</v>
      </c>
      <c r="AO495">
        <v>1</v>
      </c>
      <c r="AP495">
        <v>0</v>
      </c>
      <c r="AQ495">
        <v>0</v>
      </c>
      <c r="AR495">
        <v>0</v>
      </c>
      <c r="AS495" t="s">
        <v>3</v>
      </c>
      <c r="AT495">
        <v>0.2</v>
      </c>
      <c r="AU495" t="s">
        <v>3</v>
      </c>
      <c r="AV495">
        <v>0</v>
      </c>
      <c r="AW495">
        <v>2</v>
      </c>
      <c r="AX495">
        <v>68992400</v>
      </c>
      <c r="AY495">
        <v>1</v>
      </c>
      <c r="AZ495">
        <v>0</v>
      </c>
      <c r="BA495">
        <v>480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Y495*Source!I162</f>
        <v>0.2</v>
      </c>
      <c r="CY495">
        <f>AA495</f>
        <v>1</v>
      </c>
      <c r="CZ495">
        <f>AE495</f>
        <v>1</v>
      </c>
      <c r="DA495">
        <f>AI495</f>
        <v>1</v>
      </c>
      <c r="DB495">
        <f>ROUND(ROUND(AT495*CZ495,2),2)</f>
        <v>0.2</v>
      </c>
      <c r="DC495">
        <f>ROUND(ROUND(AT495*AG495,2),2)</f>
        <v>0</v>
      </c>
    </row>
    <row r="496" spans="1:107" x14ac:dyDescent="0.2">
      <c r="A496">
        <f>ROW(Source!A164)</f>
        <v>164</v>
      </c>
      <c r="B496">
        <v>68990560</v>
      </c>
      <c r="C496">
        <v>68992415</v>
      </c>
      <c r="D496">
        <v>37072767</v>
      </c>
      <c r="E496">
        <v>56</v>
      </c>
      <c r="F496">
        <v>1</v>
      </c>
      <c r="G496">
        <v>1</v>
      </c>
      <c r="H496">
        <v>1</v>
      </c>
      <c r="I496" t="s">
        <v>874</v>
      </c>
      <c r="J496" t="s">
        <v>3</v>
      </c>
      <c r="K496" t="s">
        <v>875</v>
      </c>
      <c r="L496">
        <v>1191</v>
      </c>
      <c r="N496">
        <v>1013</v>
      </c>
      <c r="O496" t="s">
        <v>818</v>
      </c>
      <c r="P496" t="s">
        <v>818</v>
      </c>
      <c r="Q496">
        <v>1</v>
      </c>
      <c r="W496">
        <v>0</v>
      </c>
      <c r="X496">
        <v>-1027537862</v>
      </c>
      <c r="Y496">
        <v>20.52</v>
      </c>
      <c r="AA496">
        <v>0</v>
      </c>
      <c r="AB496">
        <v>0</v>
      </c>
      <c r="AC496">
        <v>0</v>
      </c>
      <c r="AD496">
        <v>9.18</v>
      </c>
      <c r="AE496">
        <v>0</v>
      </c>
      <c r="AF496">
        <v>0</v>
      </c>
      <c r="AG496">
        <v>0</v>
      </c>
      <c r="AH496">
        <v>9.18</v>
      </c>
      <c r="AI496">
        <v>1</v>
      </c>
      <c r="AJ496">
        <v>1</v>
      </c>
      <c r="AK496">
        <v>1</v>
      </c>
      <c r="AL496">
        <v>1</v>
      </c>
      <c r="AN496">
        <v>0</v>
      </c>
      <c r="AO496">
        <v>1</v>
      </c>
      <c r="AP496">
        <v>1</v>
      </c>
      <c r="AQ496">
        <v>0</v>
      </c>
      <c r="AR496">
        <v>0</v>
      </c>
      <c r="AS496" t="s">
        <v>3</v>
      </c>
      <c r="AT496">
        <v>15.2</v>
      </c>
      <c r="AU496" t="s">
        <v>200</v>
      </c>
      <c r="AV496">
        <v>1</v>
      </c>
      <c r="AW496">
        <v>2</v>
      </c>
      <c r="AX496">
        <v>68992421</v>
      </c>
      <c r="AY496">
        <v>1</v>
      </c>
      <c r="AZ496">
        <v>0</v>
      </c>
      <c r="BA496">
        <v>481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Y496*Source!I164</f>
        <v>2.052</v>
      </c>
      <c r="CY496">
        <f>AD496</f>
        <v>9.18</v>
      </c>
      <c r="CZ496">
        <f>AH496</f>
        <v>9.18</v>
      </c>
      <c r="DA496">
        <f>AL496</f>
        <v>1</v>
      </c>
      <c r="DB496">
        <f>ROUND((ROUND(AT496*CZ496,2)*1.35),2)</f>
        <v>188.38</v>
      </c>
      <c r="DC496">
        <f>ROUND((ROUND(AT496*AG496,2)*1.35),2)</f>
        <v>0</v>
      </c>
    </row>
    <row r="497" spans="1:107" x14ac:dyDescent="0.2">
      <c r="A497">
        <f>ROW(Source!A164)</f>
        <v>164</v>
      </c>
      <c r="B497">
        <v>68990560</v>
      </c>
      <c r="C497">
        <v>68992415</v>
      </c>
      <c r="D497">
        <v>64255223</v>
      </c>
      <c r="E497">
        <v>1</v>
      </c>
      <c r="F497">
        <v>1</v>
      </c>
      <c r="G497">
        <v>1</v>
      </c>
      <c r="H497">
        <v>3</v>
      </c>
      <c r="I497" t="s">
        <v>1000</v>
      </c>
      <c r="J497" t="s">
        <v>1001</v>
      </c>
      <c r="K497" t="s">
        <v>1002</v>
      </c>
      <c r="L497">
        <v>1425</v>
      </c>
      <c r="N497">
        <v>1013</v>
      </c>
      <c r="O497" t="s">
        <v>18</v>
      </c>
      <c r="P497" t="s">
        <v>18</v>
      </c>
      <c r="Q497">
        <v>1</v>
      </c>
      <c r="W497">
        <v>0</v>
      </c>
      <c r="X497">
        <v>1110583994</v>
      </c>
      <c r="Y497">
        <v>1.75</v>
      </c>
      <c r="AA497">
        <v>104</v>
      </c>
      <c r="AB497">
        <v>0</v>
      </c>
      <c r="AC497">
        <v>0</v>
      </c>
      <c r="AD497">
        <v>0</v>
      </c>
      <c r="AE497">
        <v>8</v>
      </c>
      <c r="AF497">
        <v>0</v>
      </c>
      <c r="AG497">
        <v>0</v>
      </c>
      <c r="AH497">
        <v>0</v>
      </c>
      <c r="AI497">
        <v>13</v>
      </c>
      <c r="AJ497">
        <v>1</v>
      </c>
      <c r="AK497">
        <v>1</v>
      </c>
      <c r="AL497">
        <v>1</v>
      </c>
      <c r="AN497">
        <v>0</v>
      </c>
      <c r="AO497">
        <v>1</v>
      </c>
      <c r="AP497">
        <v>0</v>
      </c>
      <c r="AQ497">
        <v>0</v>
      </c>
      <c r="AR497">
        <v>0</v>
      </c>
      <c r="AS497" t="s">
        <v>3</v>
      </c>
      <c r="AT497">
        <v>1.75</v>
      </c>
      <c r="AU497" t="s">
        <v>3</v>
      </c>
      <c r="AV497">
        <v>0</v>
      </c>
      <c r="AW497">
        <v>2</v>
      </c>
      <c r="AX497">
        <v>68992422</v>
      </c>
      <c r="AY497">
        <v>1</v>
      </c>
      <c r="AZ497">
        <v>0</v>
      </c>
      <c r="BA497">
        <v>482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Y497*Source!I164</f>
        <v>0.17500000000000002</v>
      </c>
      <c r="CY497">
        <f>AA497</f>
        <v>104</v>
      </c>
      <c r="CZ497">
        <f>AE497</f>
        <v>8</v>
      </c>
      <c r="DA497">
        <f>AI497</f>
        <v>13</v>
      </c>
      <c r="DB497">
        <f>ROUND(ROUND(AT497*CZ497,2),2)</f>
        <v>14</v>
      </c>
      <c r="DC497">
        <f>ROUND(ROUND(AT497*AG497,2),2)</f>
        <v>0</v>
      </c>
    </row>
    <row r="498" spans="1:107" x14ac:dyDescent="0.2">
      <c r="A498">
        <f>ROW(Source!A164)</f>
        <v>164</v>
      </c>
      <c r="B498">
        <v>68990560</v>
      </c>
      <c r="C498">
        <v>68992415</v>
      </c>
      <c r="D498">
        <v>64298459</v>
      </c>
      <c r="E498">
        <v>1</v>
      </c>
      <c r="F498">
        <v>1</v>
      </c>
      <c r="G498">
        <v>1</v>
      </c>
      <c r="H498">
        <v>3</v>
      </c>
      <c r="I498" t="s">
        <v>546</v>
      </c>
      <c r="J498" t="s">
        <v>548</v>
      </c>
      <c r="K498" t="s">
        <v>547</v>
      </c>
      <c r="L498">
        <v>1425</v>
      </c>
      <c r="N498">
        <v>1013</v>
      </c>
      <c r="O498" t="s">
        <v>18</v>
      </c>
      <c r="P498" t="s">
        <v>18</v>
      </c>
      <c r="Q498">
        <v>1</v>
      </c>
      <c r="W498">
        <v>0</v>
      </c>
      <c r="X498">
        <v>1862872504</v>
      </c>
      <c r="Y498">
        <v>1</v>
      </c>
      <c r="AA498">
        <v>422.94</v>
      </c>
      <c r="AB498">
        <v>0</v>
      </c>
      <c r="AC498">
        <v>0</v>
      </c>
      <c r="AD498">
        <v>0</v>
      </c>
      <c r="AE498">
        <v>38</v>
      </c>
      <c r="AF498">
        <v>0</v>
      </c>
      <c r="AG498">
        <v>0</v>
      </c>
      <c r="AH498">
        <v>0</v>
      </c>
      <c r="AI498">
        <v>11.13</v>
      </c>
      <c r="AJ498">
        <v>1</v>
      </c>
      <c r="AK498">
        <v>1</v>
      </c>
      <c r="AL498">
        <v>1</v>
      </c>
      <c r="AN498">
        <v>0</v>
      </c>
      <c r="AO498">
        <v>0</v>
      </c>
      <c r="AP498">
        <v>0</v>
      </c>
      <c r="AQ498">
        <v>0</v>
      </c>
      <c r="AR498">
        <v>0</v>
      </c>
      <c r="AS498" t="s">
        <v>3</v>
      </c>
      <c r="AT498">
        <v>1</v>
      </c>
      <c r="AU498" t="s">
        <v>3</v>
      </c>
      <c r="AV498">
        <v>0</v>
      </c>
      <c r="AW498">
        <v>1</v>
      </c>
      <c r="AX498">
        <v>-1</v>
      </c>
      <c r="AY498">
        <v>0</v>
      </c>
      <c r="AZ498">
        <v>0</v>
      </c>
      <c r="BA498" t="s">
        <v>3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Y498*Source!I164</f>
        <v>0.1</v>
      </c>
      <c r="CY498">
        <f>AA498</f>
        <v>422.94</v>
      </c>
      <c r="CZ498">
        <f>AE498</f>
        <v>38</v>
      </c>
      <c r="DA498">
        <f>AI498</f>
        <v>11.13</v>
      </c>
      <c r="DB498">
        <f>ROUND(ROUND(AT498*CZ498,2),2)</f>
        <v>38</v>
      </c>
      <c r="DC498">
        <f>ROUND(ROUND(AT498*AG498,2),2)</f>
        <v>0</v>
      </c>
    </row>
    <row r="499" spans="1:107" x14ac:dyDescent="0.2">
      <c r="A499">
        <f>ROW(Source!A164)</f>
        <v>164</v>
      </c>
      <c r="B499">
        <v>68990560</v>
      </c>
      <c r="C499">
        <v>68992415</v>
      </c>
      <c r="D499">
        <v>53930209</v>
      </c>
      <c r="E499">
        <v>1</v>
      </c>
      <c r="F499">
        <v>1</v>
      </c>
      <c r="G499">
        <v>1</v>
      </c>
      <c r="H499">
        <v>3</v>
      </c>
      <c r="I499" t="s">
        <v>550</v>
      </c>
      <c r="J499" t="s">
        <v>552</v>
      </c>
      <c r="K499" t="s">
        <v>551</v>
      </c>
      <c r="L499">
        <v>1301</v>
      </c>
      <c r="N499">
        <v>1003</v>
      </c>
      <c r="O499" t="s">
        <v>379</v>
      </c>
      <c r="P499" t="s">
        <v>379</v>
      </c>
      <c r="Q499">
        <v>1</v>
      </c>
      <c r="W499">
        <v>0</v>
      </c>
      <c r="X499">
        <v>559914826</v>
      </c>
      <c r="Y499">
        <v>100</v>
      </c>
      <c r="AA499">
        <v>9.9600000000000009</v>
      </c>
      <c r="AB499">
        <v>0</v>
      </c>
      <c r="AC499">
        <v>0</v>
      </c>
      <c r="AD499">
        <v>0</v>
      </c>
      <c r="AE499">
        <v>1.24</v>
      </c>
      <c r="AF499">
        <v>0</v>
      </c>
      <c r="AG499">
        <v>0</v>
      </c>
      <c r="AH499">
        <v>0</v>
      </c>
      <c r="AI499">
        <v>8.0299999999999994</v>
      </c>
      <c r="AJ499">
        <v>1</v>
      </c>
      <c r="AK499">
        <v>1</v>
      </c>
      <c r="AL499">
        <v>1</v>
      </c>
      <c r="AN499">
        <v>0</v>
      </c>
      <c r="AO499">
        <v>0</v>
      </c>
      <c r="AP499">
        <v>0</v>
      </c>
      <c r="AQ499">
        <v>0</v>
      </c>
      <c r="AR499">
        <v>0</v>
      </c>
      <c r="AS499" t="s">
        <v>3</v>
      </c>
      <c r="AT499">
        <v>100</v>
      </c>
      <c r="AU499" t="s">
        <v>3</v>
      </c>
      <c r="AV499">
        <v>0</v>
      </c>
      <c r="AW499">
        <v>1</v>
      </c>
      <c r="AX499">
        <v>-1</v>
      </c>
      <c r="AY499">
        <v>0</v>
      </c>
      <c r="AZ499">
        <v>0</v>
      </c>
      <c r="BA499" t="s">
        <v>3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Y499*Source!I164</f>
        <v>10</v>
      </c>
      <c r="CY499">
        <f>AA499</f>
        <v>9.9600000000000009</v>
      </c>
      <c r="CZ499">
        <f>AE499</f>
        <v>1.24</v>
      </c>
      <c r="DA499">
        <f>AI499</f>
        <v>8.0299999999999994</v>
      </c>
      <c r="DB499">
        <f>ROUND(ROUND(AT499*CZ499,2),2)</f>
        <v>124</v>
      </c>
      <c r="DC499">
        <f>ROUND(ROUND(AT499*AG499,2),2)</f>
        <v>0</v>
      </c>
    </row>
    <row r="500" spans="1:107" x14ac:dyDescent="0.2">
      <c r="A500">
        <f>ROW(Source!A164)</f>
        <v>164</v>
      </c>
      <c r="B500">
        <v>68990560</v>
      </c>
      <c r="C500">
        <v>68992415</v>
      </c>
      <c r="D500">
        <v>64245580</v>
      </c>
      <c r="E500">
        <v>56</v>
      </c>
      <c r="F500">
        <v>1</v>
      </c>
      <c r="G500">
        <v>1</v>
      </c>
      <c r="H500">
        <v>3</v>
      </c>
      <c r="I500" t="s">
        <v>837</v>
      </c>
      <c r="J500" t="s">
        <v>3</v>
      </c>
      <c r="K500" t="s">
        <v>838</v>
      </c>
      <c r="L500">
        <v>1374</v>
      </c>
      <c r="N500">
        <v>1013</v>
      </c>
      <c r="O500" t="s">
        <v>839</v>
      </c>
      <c r="P500" t="s">
        <v>839</v>
      </c>
      <c r="Q500">
        <v>1</v>
      </c>
      <c r="W500">
        <v>0</v>
      </c>
      <c r="X500">
        <v>-1731369543</v>
      </c>
      <c r="Y500">
        <v>2.79</v>
      </c>
      <c r="AA500">
        <v>1</v>
      </c>
      <c r="AB500">
        <v>0</v>
      </c>
      <c r="AC500">
        <v>0</v>
      </c>
      <c r="AD500">
        <v>0</v>
      </c>
      <c r="AE500">
        <v>1</v>
      </c>
      <c r="AF500">
        <v>0</v>
      </c>
      <c r="AG500">
        <v>0</v>
      </c>
      <c r="AH500">
        <v>0</v>
      </c>
      <c r="AI500">
        <v>1</v>
      </c>
      <c r="AJ500">
        <v>1</v>
      </c>
      <c r="AK500">
        <v>1</v>
      </c>
      <c r="AL500">
        <v>1</v>
      </c>
      <c r="AN500">
        <v>0</v>
      </c>
      <c r="AO500">
        <v>1</v>
      </c>
      <c r="AP500">
        <v>0</v>
      </c>
      <c r="AQ500">
        <v>0</v>
      </c>
      <c r="AR500">
        <v>0</v>
      </c>
      <c r="AS500" t="s">
        <v>3</v>
      </c>
      <c r="AT500">
        <v>2.79</v>
      </c>
      <c r="AU500" t="s">
        <v>3</v>
      </c>
      <c r="AV500">
        <v>0</v>
      </c>
      <c r="AW500">
        <v>2</v>
      </c>
      <c r="AX500">
        <v>68992423</v>
      </c>
      <c r="AY500">
        <v>1</v>
      </c>
      <c r="AZ500">
        <v>0</v>
      </c>
      <c r="BA500">
        <v>483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Y500*Source!I164</f>
        <v>0.27900000000000003</v>
      </c>
      <c r="CY500">
        <f>AA500</f>
        <v>1</v>
      </c>
      <c r="CZ500">
        <f>AE500</f>
        <v>1</v>
      </c>
      <c r="DA500">
        <f>AI500</f>
        <v>1</v>
      </c>
      <c r="DB500">
        <f>ROUND(ROUND(AT500*CZ500,2),2)</f>
        <v>2.79</v>
      </c>
      <c r="DC500">
        <f>ROUND(ROUND(AT500*AG500,2),2)</f>
        <v>0</v>
      </c>
    </row>
    <row r="501" spans="1:107" x14ac:dyDescent="0.2">
      <c r="A501">
        <f>ROW(Source!A167)</f>
        <v>167</v>
      </c>
      <c r="B501">
        <v>68990560</v>
      </c>
      <c r="C501">
        <v>68992426</v>
      </c>
      <c r="D501">
        <v>37064878</v>
      </c>
      <c r="E501">
        <v>56</v>
      </c>
      <c r="F501">
        <v>1</v>
      </c>
      <c r="G501">
        <v>1</v>
      </c>
      <c r="H501">
        <v>1</v>
      </c>
      <c r="I501" t="s">
        <v>955</v>
      </c>
      <c r="J501" t="s">
        <v>3</v>
      </c>
      <c r="K501" t="s">
        <v>956</v>
      </c>
      <c r="L501">
        <v>1191</v>
      </c>
      <c r="N501">
        <v>1013</v>
      </c>
      <c r="O501" t="s">
        <v>818</v>
      </c>
      <c r="P501" t="s">
        <v>818</v>
      </c>
      <c r="Q501">
        <v>1</v>
      </c>
      <c r="W501">
        <v>0</v>
      </c>
      <c r="X501">
        <v>-1081351934</v>
      </c>
      <c r="Y501">
        <v>7.2765000000000004</v>
      </c>
      <c r="AA501">
        <v>0</v>
      </c>
      <c r="AB501">
        <v>0</v>
      </c>
      <c r="AC501">
        <v>0</v>
      </c>
      <c r="AD501">
        <v>9.4</v>
      </c>
      <c r="AE501">
        <v>0</v>
      </c>
      <c r="AF501">
        <v>0</v>
      </c>
      <c r="AG501">
        <v>0</v>
      </c>
      <c r="AH501">
        <v>9.4</v>
      </c>
      <c r="AI501">
        <v>1</v>
      </c>
      <c r="AJ501">
        <v>1</v>
      </c>
      <c r="AK501">
        <v>1</v>
      </c>
      <c r="AL501">
        <v>1</v>
      </c>
      <c r="AN501">
        <v>0</v>
      </c>
      <c r="AO501">
        <v>1</v>
      </c>
      <c r="AP501">
        <v>1</v>
      </c>
      <c r="AQ501">
        <v>0</v>
      </c>
      <c r="AR501">
        <v>0</v>
      </c>
      <c r="AS501" t="s">
        <v>3</v>
      </c>
      <c r="AT501">
        <v>5.39</v>
      </c>
      <c r="AU501" t="s">
        <v>200</v>
      </c>
      <c r="AV501">
        <v>1</v>
      </c>
      <c r="AW501">
        <v>2</v>
      </c>
      <c r="AX501">
        <v>68992438</v>
      </c>
      <c r="AY501">
        <v>1</v>
      </c>
      <c r="AZ501">
        <v>0</v>
      </c>
      <c r="BA501">
        <v>484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Y501*Source!I167</f>
        <v>0.72765000000000013</v>
      </c>
      <c r="CY501">
        <f>AD501</f>
        <v>9.4</v>
      </c>
      <c r="CZ501">
        <f>AH501</f>
        <v>9.4</v>
      </c>
      <c r="DA501">
        <f>AL501</f>
        <v>1</v>
      </c>
      <c r="DB501">
        <f>ROUND((ROUND(AT501*CZ501,2)*1.35),2)</f>
        <v>68.400000000000006</v>
      </c>
      <c r="DC501">
        <f>ROUND((ROUND(AT501*AG501,2)*1.35),2)</f>
        <v>0</v>
      </c>
    </row>
    <row r="502" spans="1:107" x14ac:dyDescent="0.2">
      <c r="A502">
        <f>ROW(Source!A167)</f>
        <v>167</v>
      </c>
      <c r="B502">
        <v>68990560</v>
      </c>
      <c r="C502">
        <v>68992426</v>
      </c>
      <c r="D502">
        <v>37064876</v>
      </c>
      <c r="E502">
        <v>56</v>
      </c>
      <c r="F502">
        <v>1</v>
      </c>
      <c r="G502">
        <v>1</v>
      </c>
      <c r="H502">
        <v>1</v>
      </c>
      <c r="I502" t="s">
        <v>819</v>
      </c>
      <c r="J502" t="s">
        <v>3</v>
      </c>
      <c r="K502" t="s">
        <v>820</v>
      </c>
      <c r="L502">
        <v>1191</v>
      </c>
      <c r="N502">
        <v>1013</v>
      </c>
      <c r="O502" t="s">
        <v>818</v>
      </c>
      <c r="P502" t="s">
        <v>818</v>
      </c>
      <c r="Q502">
        <v>1</v>
      </c>
      <c r="W502">
        <v>0</v>
      </c>
      <c r="X502">
        <v>-1417349443</v>
      </c>
      <c r="Y502">
        <v>5.4000000000000006E-2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1</v>
      </c>
      <c r="AJ502">
        <v>1</v>
      </c>
      <c r="AK502">
        <v>1</v>
      </c>
      <c r="AL502">
        <v>1</v>
      </c>
      <c r="AN502">
        <v>0</v>
      </c>
      <c r="AO502">
        <v>1</v>
      </c>
      <c r="AP502">
        <v>1</v>
      </c>
      <c r="AQ502">
        <v>0</v>
      </c>
      <c r="AR502">
        <v>0</v>
      </c>
      <c r="AS502" t="s">
        <v>3</v>
      </c>
      <c r="AT502">
        <v>0.04</v>
      </c>
      <c r="AU502" t="s">
        <v>200</v>
      </c>
      <c r="AV502">
        <v>2</v>
      </c>
      <c r="AW502">
        <v>2</v>
      </c>
      <c r="AX502">
        <v>68992439</v>
      </c>
      <c r="AY502">
        <v>1</v>
      </c>
      <c r="AZ502">
        <v>0</v>
      </c>
      <c r="BA502">
        <v>485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Y502*Source!I167</f>
        <v>5.4000000000000012E-3</v>
      </c>
      <c r="CY502">
        <f>AD502</f>
        <v>0</v>
      </c>
      <c r="CZ502">
        <f>AH502</f>
        <v>0</v>
      </c>
      <c r="DA502">
        <f>AL502</f>
        <v>1</v>
      </c>
      <c r="DB502">
        <f>ROUND((ROUND(AT502*CZ502,2)*1.35),2)</f>
        <v>0</v>
      </c>
      <c r="DC502">
        <f>ROUND((ROUND(AT502*AG502,2)*1.35),2)</f>
        <v>0</v>
      </c>
    </row>
    <row r="503" spans="1:107" x14ac:dyDescent="0.2">
      <c r="A503">
        <f>ROW(Source!A167)</f>
        <v>167</v>
      </c>
      <c r="B503">
        <v>68990560</v>
      </c>
      <c r="C503">
        <v>68992426</v>
      </c>
      <c r="D503">
        <v>64401763</v>
      </c>
      <c r="E503">
        <v>1</v>
      </c>
      <c r="F503">
        <v>1</v>
      </c>
      <c r="G503">
        <v>1</v>
      </c>
      <c r="H503">
        <v>2</v>
      </c>
      <c r="I503" t="s">
        <v>821</v>
      </c>
      <c r="J503" t="s">
        <v>822</v>
      </c>
      <c r="K503" t="s">
        <v>823</v>
      </c>
      <c r="L503">
        <v>1368</v>
      </c>
      <c r="N503">
        <v>1011</v>
      </c>
      <c r="O503" t="s">
        <v>824</v>
      </c>
      <c r="P503" t="s">
        <v>824</v>
      </c>
      <c r="Q503">
        <v>1</v>
      </c>
      <c r="W503">
        <v>0</v>
      </c>
      <c r="X503">
        <v>-1346461524</v>
      </c>
      <c r="Y503">
        <v>2.7000000000000003E-2</v>
      </c>
      <c r="AA503">
        <v>0</v>
      </c>
      <c r="AB503">
        <v>1074.3699999999999</v>
      </c>
      <c r="AC503">
        <v>454.28</v>
      </c>
      <c r="AD503">
        <v>0</v>
      </c>
      <c r="AE503">
        <v>0</v>
      </c>
      <c r="AF503">
        <v>115.4</v>
      </c>
      <c r="AG503">
        <v>13.5</v>
      </c>
      <c r="AH503">
        <v>0</v>
      </c>
      <c r="AI503">
        <v>1</v>
      </c>
      <c r="AJ503">
        <v>9.31</v>
      </c>
      <c r="AK503">
        <v>33.65</v>
      </c>
      <c r="AL503">
        <v>1</v>
      </c>
      <c r="AN503">
        <v>0</v>
      </c>
      <c r="AO503">
        <v>1</v>
      </c>
      <c r="AP503">
        <v>1</v>
      </c>
      <c r="AQ503">
        <v>0</v>
      </c>
      <c r="AR503">
        <v>0</v>
      </c>
      <c r="AS503" t="s">
        <v>3</v>
      </c>
      <c r="AT503">
        <v>0.02</v>
      </c>
      <c r="AU503" t="s">
        <v>200</v>
      </c>
      <c r="AV503">
        <v>0</v>
      </c>
      <c r="AW503">
        <v>2</v>
      </c>
      <c r="AX503">
        <v>68992440</v>
      </c>
      <c r="AY503">
        <v>1</v>
      </c>
      <c r="AZ503">
        <v>0</v>
      </c>
      <c r="BA503">
        <v>486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Y503*Source!I167</f>
        <v>2.7000000000000006E-3</v>
      </c>
      <c r="CY503">
        <f>AB503</f>
        <v>1074.3699999999999</v>
      </c>
      <c r="CZ503">
        <f>AF503</f>
        <v>115.4</v>
      </c>
      <c r="DA503">
        <f>AJ503</f>
        <v>9.31</v>
      </c>
      <c r="DB503">
        <f>ROUND((ROUND(AT503*CZ503,2)*1.35),2)</f>
        <v>3.12</v>
      </c>
      <c r="DC503">
        <f>ROUND((ROUND(AT503*AG503,2)*1.35),2)</f>
        <v>0.36</v>
      </c>
    </row>
    <row r="504" spans="1:107" x14ac:dyDescent="0.2">
      <c r="A504">
        <f>ROW(Source!A167)</f>
        <v>167</v>
      </c>
      <c r="B504">
        <v>68990560</v>
      </c>
      <c r="C504">
        <v>68992426</v>
      </c>
      <c r="D504">
        <v>64402691</v>
      </c>
      <c r="E504">
        <v>1</v>
      </c>
      <c r="F504">
        <v>1</v>
      </c>
      <c r="G504">
        <v>1</v>
      </c>
      <c r="H504">
        <v>2</v>
      </c>
      <c r="I504" t="s">
        <v>825</v>
      </c>
      <c r="J504" t="s">
        <v>826</v>
      </c>
      <c r="K504" t="s">
        <v>827</v>
      </c>
      <c r="L504">
        <v>1368</v>
      </c>
      <c r="N504">
        <v>1011</v>
      </c>
      <c r="O504" t="s">
        <v>824</v>
      </c>
      <c r="P504" t="s">
        <v>824</v>
      </c>
      <c r="Q504">
        <v>1</v>
      </c>
      <c r="W504">
        <v>0</v>
      </c>
      <c r="X504">
        <v>-841254546</v>
      </c>
      <c r="Y504">
        <v>2.7000000000000003E-2</v>
      </c>
      <c r="AA504">
        <v>0</v>
      </c>
      <c r="AB504">
        <v>776.04</v>
      </c>
      <c r="AC504">
        <v>390.34</v>
      </c>
      <c r="AD504">
        <v>0</v>
      </c>
      <c r="AE504">
        <v>0</v>
      </c>
      <c r="AF504">
        <v>65.709999999999994</v>
      </c>
      <c r="AG504">
        <v>11.6</v>
      </c>
      <c r="AH504">
        <v>0</v>
      </c>
      <c r="AI504">
        <v>1</v>
      </c>
      <c r="AJ504">
        <v>11.81</v>
      </c>
      <c r="AK504">
        <v>33.65</v>
      </c>
      <c r="AL504">
        <v>1</v>
      </c>
      <c r="AN504">
        <v>0</v>
      </c>
      <c r="AO504">
        <v>1</v>
      </c>
      <c r="AP504">
        <v>1</v>
      </c>
      <c r="AQ504">
        <v>0</v>
      </c>
      <c r="AR504">
        <v>0</v>
      </c>
      <c r="AS504" t="s">
        <v>3</v>
      </c>
      <c r="AT504">
        <v>0.02</v>
      </c>
      <c r="AU504" t="s">
        <v>200</v>
      </c>
      <c r="AV504">
        <v>0</v>
      </c>
      <c r="AW504">
        <v>2</v>
      </c>
      <c r="AX504">
        <v>68992441</v>
      </c>
      <c r="AY504">
        <v>1</v>
      </c>
      <c r="AZ504">
        <v>0</v>
      </c>
      <c r="BA504">
        <v>487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Y504*Source!I167</f>
        <v>2.7000000000000006E-3</v>
      </c>
      <c r="CY504">
        <f>AB504</f>
        <v>776.04</v>
      </c>
      <c r="CZ504">
        <f>AF504</f>
        <v>65.709999999999994</v>
      </c>
      <c r="DA504">
        <f>AJ504</f>
        <v>11.81</v>
      </c>
      <c r="DB504">
        <f>ROUND((ROUND(AT504*CZ504,2)*1.35),2)</f>
        <v>1.77</v>
      </c>
      <c r="DC504">
        <f>ROUND((ROUND(AT504*AG504,2)*1.35),2)</f>
        <v>0.31</v>
      </c>
    </row>
    <row r="505" spans="1:107" x14ac:dyDescent="0.2">
      <c r="A505">
        <f>ROW(Source!A167)</f>
        <v>167</v>
      </c>
      <c r="B505">
        <v>68990560</v>
      </c>
      <c r="C505">
        <v>68992426</v>
      </c>
      <c r="D505">
        <v>64253038</v>
      </c>
      <c r="E505">
        <v>1</v>
      </c>
      <c r="F505">
        <v>1</v>
      </c>
      <c r="G505">
        <v>1</v>
      </c>
      <c r="H505">
        <v>3</v>
      </c>
      <c r="I505" t="s">
        <v>828</v>
      </c>
      <c r="J505" t="s">
        <v>829</v>
      </c>
      <c r="K505" t="s">
        <v>830</v>
      </c>
      <c r="L505">
        <v>1346</v>
      </c>
      <c r="N505">
        <v>1009</v>
      </c>
      <c r="O505" t="s">
        <v>170</v>
      </c>
      <c r="P505" t="s">
        <v>170</v>
      </c>
      <c r="Q505">
        <v>1</v>
      </c>
      <c r="W505">
        <v>0</v>
      </c>
      <c r="X505">
        <v>456480056</v>
      </c>
      <c r="Y505">
        <v>0.16</v>
      </c>
      <c r="AA505">
        <v>240.77</v>
      </c>
      <c r="AB505">
        <v>0</v>
      </c>
      <c r="AC505">
        <v>0</v>
      </c>
      <c r="AD505">
        <v>0</v>
      </c>
      <c r="AE505">
        <v>30.4</v>
      </c>
      <c r="AF505">
        <v>0</v>
      </c>
      <c r="AG505">
        <v>0</v>
      </c>
      <c r="AH505">
        <v>0</v>
      </c>
      <c r="AI505">
        <v>7.92</v>
      </c>
      <c r="AJ505">
        <v>1</v>
      </c>
      <c r="AK505">
        <v>1</v>
      </c>
      <c r="AL505">
        <v>1</v>
      </c>
      <c r="AN505">
        <v>0</v>
      </c>
      <c r="AO505">
        <v>1</v>
      </c>
      <c r="AP505">
        <v>0</v>
      </c>
      <c r="AQ505">
        <v>0</v>
      </c>
      <c r="AR505">
        <v>0</v>
      </c>
      <c r="AS505" t="s">
        <v>3</v>
      </c>
      <c r="AT505">
        <v>0.16</v>
      </c>
      <c r="AU505" t="s">
        <v>3</v>
      </c>
      <c r="AV505">
        <v>0</v>
      </c>
      <c r="AW505">
        <v>2</v>
      </c>
      <c r="AX505">
        <v>68992442</v>
      </c>
      <c r="AY505">
        <v>1</v>
      </c>
      <c r="AZ505">
        <v>0</v>
      </c>
      <c r="BA505">
        <v>488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Y505*Source!I167</f>
        <v>1.6E-2</v>
      </c>
      <c r="CY505">
        <f t="shared" ref="CY505:CY511" si="102">AA505</f>
        <v>240.77</v>
      </c>
      <c r="CZ505">
        <f t="shared" ref="CZ505:CZ511" si="103">AE505</f>
        <v>30.4</v>
      </c>
      <c r="DA505">
        <f t="shared" ref="DA505:DA511" si="104">AI505</f>
        <v>7.92</v>
      </c>
      <c r="DB505">
        <f t="shared" ref="DB505:DB511" si="105">ROUND(ROUND(AT505*CZ505,2),2)</f>
        <v>4.8600000000000003</v>
      </c>
      <c r="DC505">
        <f t="shared" ref="DC505:DC511" si="106">ROUND(ROUND(AT505*AG505,2),2)</f>
        <v>0</v>
      </c>
    </row>
    <row r="506" spans="1:107" x14ac:dyDescent="0.2">
      <c r="A506">
        <f>ROW(Source!A167)</f>
        <v>167</v>
      </c>
      <c r="B506">
        <v>68990560</v>
      </c>
      <c r="C506">
        <v>68992426</v>
      </c>
      <c r="D506">
        <v>64253321</v>
      </c>
      <c r="E506">
        <v>1</v>
      </c>
      <c r="F506">
        <v>1</v>
      </c>
      <c r="G506">
        <v>1</v>
      </c>
      <c r="H506">
        <v>3</v>
      </c>
      <c r="I506" t="s">
        <v>1222</v>
      </c>
      <c r="J506" t="s">
        <v>1223</v>
      </c>
      <c r="K506" t="s">
        <v>1224</v>
      </c>
      <c r="L506">
        <v>1348</v>
      </c>
      <c r="N506">
        <v>1009</v>
      </c>
      <c r="O506" t="s">
        <v>71</v>
      </c>
      <c r="P506" t="s">
        <v>71</v>
      </c>
      <c r="Q506">
        <v>1000</v>
      </c>
      <c r="W506">
        <v>0</v>
      </c>
      <c r="X506">
        <v>803804222</v>
      </c>
      <c r="Y506">
        <v>5.9999999999999995E-4</v>
      </c>
      <c r="AA506">
        <v>12812.8</v>
      </c>
      <c r="AB506">
        <v>0</v>
      </c>
      <c r="AC506">
        <v>0</v>
      </c>
      <c r="AD506">
        <v>0</v>
      </c>
      <c r="AE506">
        <v>1820</v>
      </c>
      <c r="AF506">
        <v>0</v>
      </c>
      <c r="AG506">
        <v>0</v>
      </c>
      <c r="AH506">
        <v>0</v>
      </c>
      <c r="AI506">
        <v>7.04</v>
      </c>
      <c r="AJ506">
        <v>1</v>
      </c>
      <c r="AK506">
        <v>1</v>
      </c>
      <c r="AL506">
        <v>1</v>
      </c>
      <c r="AN506">
        <v>0</v>
      </c>
      <c r="AO506">
        <v>1</v>
      </c>
      <c r="AP506">
        <v>0</v>
      </c>
      <c r="AQ506">
        <v>0</v>
      </c>
      <c r="AR506">
        <v>0</v>
      </c>
      <c r="AS506" t="s">
        <v>3</v>
      </c>
      <c r="AT506">
        <v>5.9999999999999995E-4</v>
      </c>
      <c r="AU506" t="s">
        <v>3</v>
      </c>
      <c r="AV506">
        <v>0</v>
      </c>
      <c r="AW506">
        <v>2</v>
      </c>
      <c r="AX506">
        <v>68992443</v>
      </c>
      <c r="AY506">
        <v>1</v>
      </c>
      <c r="AZ506">
        <v>0</v>
      </c>
      <c r="BA506">
        <v>489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Y506*Source!I167</f>
        <v>5.9999999999999995E-5</v>
      </c>
      <c r="CY506">
        <f t="shared" si="102"/>
        <v>12812.8</v>
      </c>
      <c r="CZ506">
        <f t="shared" si="103"/>
        <v>1820</v>
      </c>
      <c r="DA506">
        <f t="shared" si="104"/>
        <v>7.04</v>
      </c>
      <c r="DB506">
        <f t="shared" si="105"/>
        <v>1.0900000000000001</v>
      </c>
      <c r="DC506">
        <f t="shared" si="106"/>
        <v>0</v>
      </c>
    </row>
    <row r="507" spans="1:107" x14ac:dyDescent="0.2">
      <c r="A507">
        <f>ROW(Source!A167)</f>
        <v>167</v>
      </c>
      <c r="B507">
        <v>68990560</v>
      </c>
      <c r="C507">
        <v>68992426</v>
      </c>
      <c r="D507">
        <v>64284267</v>
      </c>
      <c r="E507">
        <v>1</v>
      </c>
      <c r="F507">
        <v>1</v>
      </c>
      <c r="G507">
        <v>1</v>
      </c>
      <c r="H507">
        <v>3</v>
      </c>
      <c r="I507" t="s">
        <v>1225</v>
      </c>
      <c r="J507" t="s">
        <v>1226</v>
      </c>
      <c r="K507" t="s">
        <v>1227</v>
      </c>
      <c r="L507">
        <v>1346</v>
      </c>
      <c r="N507">
        <v>1009</v>
      </c>
      <c r="O507" t="s">
        <v>170</v>
      </c>
      <c r="P507" t="s">
        <v>170</v>
      </c>
      <c r="Q507">
        <v>1</v>
      </c>
      <c r="W507">
        <v>0</v>
      </c>
      <c r="X507">
        <v>654902681</v>
      </c>
      <c r="Y507">
        <v>0.02</v>
      </c>
      <c r="AA507">
        <v>125.27</v>
      </c>
      <c r="AB507">
        <v>0</v>
      </c>
      <c r="AC507">
        <v>0</v>
      </c>
      <c r="AD507">
        <v>0</v>
      </c>
      <c r="AE507">
        <v>28.6</v>
      </c>
      <c r="AF507">
        <v>0</v>
      </c>
      <c r="AG507">
        <v>0</v>
      </c>
      <c r="AH507">
        <v>0</v>
      </c>
      <c r="AI507">
        <v>4.38</v>
      </c>
      <c r="AJ507">
        <v>1</v>
      </c>
      <c r="AK507">
        <v>1</v>
      </c>
      <c r="AL507">
        <v>1</v>
      </c>
      <c r="AN507">
        <v>0</v>
      </c>
      <c r="AO507">
        <v>1</v>
      </c>
      <c r="AP507">
        <v>0</v>
      </c>
      <c r="AQ507">
        <v>0</v>
      </c>
      <c r="AR507">
        <v>0</v>
      </c>
      <c r="AS507" t="s">
        <v>3</v>
      </c>
      <c r="AT507">
        <v>0.02</v>
      </c>
      <c r="AU507" t="s">
        <v>3</v>
      </c>
      <c r="AV507">
        <v>0</v>
      </c>
      <c r="AW507">
        <v>2</v>
      </c>
      <c r="AX507">
        <v>68992444</v>
      </c>
      <c r="AY507">
        <v>1</v>
      </c>
      <c r="AZ507">
        <v>0</v>
      </c>
      <c r="BA507">
        <v>490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Y507*Source!I167</f>
        <v>2E-3</v>
      </c>
      <c r="CY507">
        <f t="shared" si="102"/>
        <v>125.27</v>
      </c>
      <c r="CZ507">
        <f t="shared" si="103"/>
        <v>28.6</v>
      </c>
      <c r="DA507">
        <f t="shared" si="104"/>
        <v>4.38</v>
      </c>
      <c r="DB507">
        <f t="shared" si="105"/>
        <v>0.56999999999999995</v>
      </c>
      <c r="DC507">
        <f t="shared" si="106"/>
        <v>0</v>
      </c>
    </row>
    <row r="508" spans="1:107" x14ac:dyDescent="0.2">
      <c r="A508">
        <f>ROW(Source!A167)</f>
        <v>167</v>
      </c>
      <c r="B508">
        <v>68990560</v>
      </c>
      <c r="C508">
        <v>68992426</v>
      </c>
      <c r="D508">
        <v>64297623</v>
      </c>
      <c r="E508">
        <v>1</v>
      </c>
      <c r="F508">
        <v>1</v>
      </c>
      <c r="G508">
        <v>1</v>
      </c>
      <c r="H508">
        <v>3</v>
      </c>
      <c r="I508" t="s">
        <v>1234</v>
      </c>
      <c r="J508" t="s">
        <v>1235</v>
      </c>
      <c r="K508" t="s">
        <v>1236</v>
      </c>
      <c r="L508">
        <v>1425</v>
      </c>
      <c r="N508">
        <v>1013</v>
      </c>
      <c r="O508" t="s">
        <v>18</v>
      </c>
      <c r="P508" t="s">
        <v>18</v>
      </c>
      <c r="Q508">
        <v>1</v>
      </c>
      <c r="W508">
        <v>0</v>
      </c>
      <c r="X508">
        <v>-627387212</v>
      </c>
      <c r="Y508">
        <v>0.05</v>
      </c>
      <c r="AA508">
        <v>704</v>
      </c>
      <c r="AB508">
        <v>0</v>
      </c>
      <c r="AC508">
        <v>0</v>
      </c>
      <c r="AD508">
        <v>0</v>
      </c>
      <c r="AE508">
        <v>110</v>
      </c>
      <c r="AF508">
        <v>0</v>
      </c>
      <c r="AG508">
        <v>0</v>
      </c>
      <c r="AH508">
        <v>0</v>
      </c>
      <c r="AI508">
        <v>6.4</v>
      </c>
      <c r="AJ508">
        <v>1</v>
      </c>
      <c r="AK508">
        <v>1</v>
      </c>
      <c r="AL508">
        <v>1</v>
      </c>
      <c r="AN508">
        <v>0</v>
      </c>
      <c r="AO508">
        <v>1</v>
      </c>
      <c r="AP508">
        <v>0</v>
      </c>
      <c r="AQ508">
        <v>0</v>
      </c>
      <c r="AR508">
        <v>0</v>
      </c>
      <c r="AS508" t="s">
        <v>3</v>
      </c>
      <c r="AT508">
        <v>0.05</v>
      </c>
      <c r="AU508" t="s">
        <v>3</v>
      </c>
      <c r="AV508">
        <v>0</v>
      </c>
      <c r="AW508">
        <v>2</v>
      </c>
      <c r="AX508">
        <v>68992445</v>
      </c>
      <c r="AY508">
        <v>1</v>
      </c>
      <c r="AZ508">
        <v>0</v>
      </c>
      <c r="BA508">
        <v>491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Y508*Source!I167</f>
        <v>5.000000000000001E-3</v>
      </c>
      <c r="CY508">
        <f t="shared" si="102"/>
        <v>704</v>
      </c>
      <c r="CZ508">
        <f t="shared" si="103"/>
        <v>110</v>
      </c>
      <c r="DA508">
        <f t="shared" si="104"/>
        <v>6.4</v>
      </c>
      <c r="DB508">
        <f t="shared" si="105"/>
        <v>5.5</v>
      </c>
      <c r="DC508">
        <f t="shared" si="106"/>
        <v>0</v>
      </c>
    </row>
    <row r="509" spans="1:107" x14ac:dyDescent="0.2">
      <c r="A509">
        <f>ROW(Source!A167)</f>
        <v>167</v>
      </c>
      <c r="B509">
        <v>68990560</v>
      </c>
      <c r="C509">
        <v>68992426</v>
      </c>
      <c r="D509">
        <v>64297674</v>
      </c>
      <c r="E509">
        <v>1</v>
      </c>
      <c r="F509">
        <v>1</v>
      </c>
      <c r="G509">
        <v>1</v>
      </c>
      <c r="H509">
        <v>3</v>
      </c>
      <c r="I509" t="s">
        <v>1237</v>
      </c>
      <c r="J509" t="s">
        <v>1238</v>
      </c>
      <c r="K509" t="s">
        <v>1239</v>
      </c>
      <c r="L509">
        <v>1407</v>
      </c>
      <c r="N509">
        <v>1013</v>
      </c>
      <c r="O509" t="s">
        <v>1171</v>
      </c>
      <c r="P509" t="s">
        <v>1171</v>
      </c>
      <c r="Q509">
        <v>1</v>
      </c>
      <c r="W509">
        <v>0</v>
      </c>
      <c r="X509">
        <v>-2090374150</v>
      </c>
      <c r="Y509">
        <v>1.2200000000000001E-2</v>
      </c>
      <c r="AA509">
        <v>499.8</v>
      </c>
      <c r="AB509">
        <v>0</v>
      </c>
      <c r="AC509">
        <v>0</v>
      </c>
      <c r="AD509">
        <v>0</v>
      </c>
      <c r="AE509">
        <v>119</v>
      </c>
      <c r="AF509">
        <v>0</v>
      </c>
      <c r="AG509">
        <v>0</v>
      </c>
      <c r="AH509">
        <v>0</v>
      </c>
      <c r="AI509">
        <v>4.2</v>
      </c>
      <c r="AJ509">
        <v>1</v>
      </c>
      <c r="AK509">
        <v>1</v>
      </c>
      <c r="AL509">
        <v>1</v>
      </c>
      <c r="AN509">
        <v>0</v>
      </c>
      <c r="AO509">
        <v>1</v>
      </c>
      <c r="AP509">
        <v>0</v>
      </c>
      <c r="AQ509">
        <v>0</v>
      </c>
      <c r="AR509">
        <v>0</v>
      </c>
      <c r="AS509" t="s">
        <v>3</v>
      </c>
      <c r="AT509">
        <v>1.2200000000000001E-2</v>
      </c>
      <c r="AU509" t="s">
        <v>3</v>
      </c>
      <c r="AV509">
        <v>0</v>
      </c>
      <c r="AW509">
        <v>2</v>
      </c>
      <c r="AX509">
        <v>68992446</v>
      </c>
      <c r="AY509">
        <v>1</v>
      </c>
      <c r="AZ509">
        <v>0</v>
      </c>
      <c r="BA509">
        <v>492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Y509*Source!I167</f>
        <v>1.2200000000000002E-3</v>
      </c>
      <c r="CY509">
        <f t="shared" si="102"/>
        <v>499.8</v>
      </c>
      <c r="CZ509">
        <f t="shared" si="103"/>
        <v>119</v>
      </c>
      <c r="DA509">
        <f t="shared" si="104"/>
        <v>4.2</v>
      </c>
      <c r="DB509">
        <f t="shared" si="105"/>
        <v>1.45</v>
      </c>
      <c r="DC509">
        <f t="shared" si="106"/>
        <v>0</v>
      </c>
    </row>
    <row r="510" spans="1:107" x14ac:dyDescent="0.2">
      <c r="A510">
        <f>ROW(Source!A167)</f>
        <v>167</v>
      </c>
      <c r="B510">
        <v>68990560</v>
      </c>
      <c r="C510">
        <v>68992426</v>
      </c>
      <c r="D510">
        <v>53886739</v>
      </c>
      <c r="E510">
        <v>1</v>
      </c>
      <c r="F510">
        <v>1</v>
      </c>
      <c r="G510">
        <v>1</v>
      </c>
      <c r="H510">
        <v>3</v>
      </c>
      <c r="I510" t="s">
        <v>579</v>
      </c>
      <c r="J510" t="s">
        <v>581</v>
      </c>
      <c r="K510" t="s">
        <v>580</v>
      </c>
      <c r="L510">
        <v>1477</v>
      </c>
      <c r="N510">
        <v>1013</v>
      </c>
      <c r="O510" t="s">
        <v>560</v>
      </c>
      <c r="P510" t="s">
        <v>562</v>
      </c>
      <c r="Q510">
        <v>1</v>
      </c>
      <c r="W510">
        <v>0</v>
      </c>
      <c r="X510">
        <v>-1990471262</v>
      </c>
      <c r="Y510">
        <v>0.1</v>
      </c>
      <c r="AA510">
        <v>48659.45</v>
      </c>
      <c r="AB510">
        <v>0</v>
      </c>
      <c r="AC510">
        <v>0</v>
      </c>
      <c r="AD510">
        <v>0</v>
      </c>
      <c r="AE510">
        <v>4832.12</v>
      </c>
      <c r="AF510">
        <v>0</v>
      </c>
      <c r="AG510">
        <v>0</v>
      </c>
      <c r="AH510">
        <v>0</v>
      </c>
      <c r="AI510">
        <v>10.07</v>
      </c>
      <c r="AJ510">
        <v>1</v>
      </c>
      <c r="AK510">
        <v>1</v>
      </c>
      <c r="AL510">
        <v>1</v>
      </c>
      <c r="AN510">
        <v>0</v>
      </c>
      <c r="AO510">
        <v>0</v>
      </c>
      <c r="AP510">
        <v>0</v>
      </c>
      <c r="AQ510">
        <v>0</v>
      </c>
      <c r="AR510">
        <v>0</v>
      </c>
      <c r="AS510" t="s">
        <v>3</v>
      </c>
      <c r="AT510">
        <v>0.1</v>
      </c>
      <c r="AU510" t="s">
        <v>3</v>
      </c>
      <c r="AV510">
        <v>0</v>
      </c>
      <c r="AW510">
        <v>1</v>
      </c>
      <c r="AX510">
        <v>-1</v>
      </c>
      <c r="AY510">
        <v>0</v>
      </c>
      <c r="AZ510">
        <v>0</v>
      </c>
      <c r="BA510" t="s">
        <v>3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Y510*Source!I167</f>
        <v>1.0000000000000002E-2</v>
      </c>
      <c r="CY510">
        <f t="shared" si="102"/>
        <v>48659.45</v>
      </c>
      <c r="CZ510">
        <f t="shared" si="103"/>
        <v>4832.12</v>
      </c>
      <c r="DA510">
        <f t="shared" si="104"/>
        <v>10.07</v>
      </c>
      <c r="DB510">
        <f t="shared" si="105"/>
        <v>483.21</v>
      </c>
      <c r="DC510">
        <f t="shared" si="106"/>
        <v>0</v>
      </c>
    </row>
    <row r="511" spans="1:107" x14ac:dyDescent="0.2">
      <c r="A511">
        <f>ROW(Source!A167)</f>
        <v>167</v>
      </c>
      <c r="B511">
        <v>68990560</v>
      </c>
      <c r="C511">
        <v>68992426</v>
      </c>
      <c r="D511">
        <v>64245580</v>
      </c>
      <c r="E511">
        <v>56</v>
      </c>
      <c r="F511">
        <v>1</v>
      </c>
      <c r="G511">
        <v>1</v>
      </c>
      <c r="H511">
        <v>3</v>
      </c>
      <c r="I511" t="s">
        <v>837</v>
      </c>
      <c r="J511" t="s">
        <v>3</v>
      </c>
      <c r="K511" t="s">
        <v>838</v>
      </c>
      <c r="L511">
        <v>1374</v>
      </c>
      <c r="N511">
        <v>1013</v>
      </c>
      <c r="O511" t="s">
        <v>839</v>
      </c>
      <c r="P511" t="s">
        <v>839</v>
      </c>
      <c r="Q511">
        <v>1</v>
      </c>
      <c r="W511">
        <v>0</v>
      </c>
      <c r="X511">
        <v>-1731369543</v>
      </c>
      <c r="Y511">
        <v>1.01</v>
      </c>
      <c r="AA511">
        <v>1</v>
      </c>
      <c r="AB511">
        <v>0</v>
      </c>
      <c r="AC511">
        <v>0</v>
      </c>
      <c r="AD511">
        <v>0</v>
      </c>
      <c r="AE511">
        <v>1</v>
      </c>
      <c r="AF511">
        <v>0</v>
      </c>
      <c r="AG511">
        <v>0</v>
      </c>
      <c r="AH511">
        <v>0</v>
      </c>
      <c r="AI511">
        <v>1</v>
      </c>
      <c r="AJ511">
        <v>1</v>
      </c>
      <c r="AK511">
        <v>1</v>
      </c>
      <c r="AL511">
        <v>1</v>
      </c>
      <c r="AN511">
        <v>0</v>
      </c>
      <c r="AO511">
        <v>1</v>
      </c>
      <c r="AP511">
        <v>0</v>
      </c>
      <c r="AQ511">
        <v>0</v>
      </c>
      <c r="AR511">
        <v>0</v>
      </c>
      <c r="AS511" t="s">
        <v>3</v>
      </c>
      <c r="AT511">
        <v>1.01</v>
      </c>
      <c r="AU511" t="s">
        <v>3</v>
      </c>
      <c r="AV511">
        <v>0</v>
      </c>
      <c r="AW511">
        <v>2</v>
      </c>
      <c r="AX511">
        <v>68992447</v>
      </c>
      <c r="AY511">
        <v>1</v>
      </c>
      <c r="AZ511">
        <v>0</v>
      </c>
      <c r="BA511">
        <v>493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Y511*Source!I167</f>
        <v>0.10100000000000001</v>
      </c>
      <c r="CY511">
        <f t="shared" si="102"/>
        <v>1</v>
      </c>
      <c r="CZ511">
        <f t="shared" si="103"/>
        <v>1</v>
      </c>
      <c r="DA511">
        <f t="shared" si="104"/>
        <v>1</v>
      </c>
      <c r="DB511">
        <f t="shared" si="105"/>
        <v>1.01</v>
      </c>
      <c r="DC511">
        <f t="shared" si="106"/>
        <v>0</v>
      </c>
    </row>
    <row r="512" spans="1:107" x14ac:dyDescent="0.2">
      <c r="A512">
        <f>ROW(Source!A169)</f>
        <v>169</v>
      </c>
      <c r="B512">
        <v>68990560</v>
      </c>
      <c r="C512">
        <v>68992449</v>
      </c>
      <c r="D512">
        <v>37070202</v>
      </c>
      <c r="E512">
        <v>56</v>
      </c>
      <c r="F512">
        <v>1</v>
      </c>
      <c r="G512">
        <v>1</v>
      </c>
      <c r="H512">
        <v>1</v>
      </c>
      <c r="I512" t="s">
        <v>1240</v>
      </c>
      <c r="J512" t="s">
        <v>3</v>
      </c>
      <c r="K512" t="s">
        <v>1241</v>
      </c>
      <c r="L512">
        <v>1191</v>
      </c>
      <c r="N512">
        <v>1013</v>
      </c>
      <c r="O512" t="s">
        <v>818</v>
      </c>
      <c r="P512" t="s">
        <v>818</v>
      </c>
      <c r="Q512">
        <v>1</v>
      </c>
      <c r="W512">
        <v>0</v>
      </c>
      <c r="X512">
        <v>1983201532</v>
      </c>
      <c r="Y512">
        <v>21.991500000000002</v>
      </c>
      <c r="AA512">
        <v>0</v>
      </c>
      <c r="AB512">
        <v>0</v>
      </c>
      <c r="AC512">
        <v>0</v>
      </c>
      <c r="AD512">
        <v>9.51</v>
      </c>
      <c r="AE512">
        <v>0</v>
      </c>
      <c r="AF512">
        <v>0</v>
      </c>
      <c r="AG512">
        <v>0</v>
      </c>
      <c r="AH512">
        <v>9.51</v>
      </c>
      <c r="AI512">
        <v>1</v>
      </c>
      <c r="AJ512">
        <v>1</v>
      </c>
      <c r="AK512">
        <v>1</v>
      </c>
      <c r="AL512">
        <v>1</v>
      </c>
      <c r="AN512">
        <v>0</v>
      </c>
      <c r="AO512">
        <v>1</v>
      </c>
      <c r="AP512">
        <v>1</v>
      </c>
      <c r="AQ512">
        <v>0</v>
      </c>
      <c r="AR512">
        <v>0</v>
      </c>
      <c r="AS512" t="s">
        <v>3</v>
      </c>
      <c r="AT512">
        <v>16.29</v>
      </c>
      <c r="AU512" t="s">
        <v>200</v>
      </c>
      <c r="AV512">
        <v>1</v>
      </c>
      <c r="AW512">
        <v>2</v>
      </c>
      <c r="AX512">
        <v>68992457</v>
      </c>
      <c r="AY512">
        <v>1</v>
      </c>
      <c r="AZ512">
        <v>0</v>
      </c>
      <c r="BA512">
        <v>494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Y512*Source!I169</f>
        <v>15.833880000000001</v>
      </c>
      <c r="CY512">
        <f>AD512</f>
        <v>9.51</v>
      </c>
      <c r="CZ512">
        <f>AH512</f>
        <v>9.51</v>
      </c>
      <c r="DA512">
        <f>AL512</f>
        <v>1</v>
      </c>
      <c r="DB512">
        <f>ROUND((ROUND(AT512*CZ512,2)*1.35),2)</f>
        <v>209.14</v>
      </c>
      <c r="DC512">
        <f>ROUND((ROUND(AT512*AG512,2)*1.35),2)</f>
        <v>0</v>
      </c>
    </row>
    <row r="513" spans="1:107" x14ac:dyDescent="0.2">
      <c r="A513">
        <f>ROW(Source!A169)</f>
        <v>169</v>
      </c>
      <c r="B513">
        <v>68990560</v>
      </c>
      <c r="C513">
        <v>68992449</v>
      </c>
      <c r="D513">
        <v>37064876</v>
      </c>
      <c r="E513">
        <v>56</v>
      </c>
      <c r="F513">
        <v>1</v>
      </c>
      <c r="G513">
        <v>1</v>
      </c>
      <c r="H513">
        <v>1</v>
      </c>
      <c r="I513" t="s">
        <v>819</v>
      </c>
      <c r="J513" t="s">
        <v>3</v>
      </c>
      <c r="K513" t="s">
        <v>820</v>
      </c>
      <c r="L513">
        <v>1191</v>
      </c>
      <c r="N513">
        <v>1013</v>
      </c>
      <c r="O513" t="s">
        <v>818</v>
      </c>
      <c r="P513" t="s">
        <v>818</v>
      </c>
      <c r="Q513">
        <v>1</v>
      </c>
      <c r="W513">
        <v>0</v>
      </c>
      <c r="X513">
        <v>-1417349443</v>
      </c>
      <c r="Y513">
        <v>1.3500000000000002E-2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1</v>
      </c>
      <c r="AJ513">
        <v>1</v>
      </c>
      <c r="AK513">
        <v>1</v>
      </c>
      <c r="AL513">
        <v>1</v>
      </c>
      <c r="AN513">
        <v>0</v>
      </c>
      <c r="AO513">
        <v>1</v>
      </c>
      <c r="AP513">
        <v>1</v>
      </c>
      <c r="AQ513">
        <v>0</v>
      </c>
      <c r="AR513">
        <v>0</v>
      </c>
      <c r="AS513" t="s">
        <v>3</v>
      </c>
      <c r="AT513">
        <v>0.01</v>
      </c>
      <c r="AU513" t="s">
        <v>200</v>
      </c>
      <c r="AV513">
        <v>2</v>
      </c>
      <c r="AW513">
        <v>2</v>
      </c>
      <c r="AX513">
        <v>68992458</v>
      </c>
      <c r="AY513">
        <v>1</v>
      </c>
      <c r="AZ513">
        <v>0</v>
      </c>
      <c r="BA513">
        <v>495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Y513*Source!I169</f>
        <v>9.7200000000000012E-3</v>
      </c>
      <c r="CY513">
        <f>AD513</f>
        <v>0</v>
      </c>
      <c r="CZ513">
        <f>AH513</f>
        <v>0</v>
      </c>
      <c r="DA513">
        <f>AL513</f>
        <v>1</v>
      </c>
      <c r="DB513">
        <f>ROUND((ROUND(AT513*CZ513,2)*1.35),2)</f>
        <v>0</v>
      </c>
      <c r="DC513">
        <f>ROUND((ROUND(AT513*AG513,2)*1.35),2)</f>
        <v>0</v>
      </c>
    </row>
    <row r="514" spans="1:107" x14ac:dyDescent="0.2">
      <c r="A514">
        <f>ROW(Source!A169)</f>
        <v>169</v>
      </c>
      <c r="B514">
        <v>68990560</v>
      </c>
      <c r="C514">
        <v>68992449</v>
      </c>
      <c r="D514">
        <v>64401959</v>
      </c>
      <c r="E514">
        <v>1</v>
      </c>
      <c r="F514">
        <v>1</v>
      </c>
      <c r="G514">
        <v>1</v>
      </c>
      <c r="H514">
        <v>2</v>
      </c>
      <c r="I514" t="s">
        <v>859</v>
      </c>
      <c r="J514" t="s">
        <v>860</v>
      </c>
      <c r="K514" t="s">
        <v>861</v>
      </c>
      <c r="L514">
        <v>1368</v>
      </c>
      <c r="N514">
        <v>1011</v>
      </c>
      <c r="O514" t="s">
        <v>824</v>
      </c>
      <c r="P514" t="s">
        <v>824</v>
      </c>
      <c r="Q514">
        <v>1</v>
      </c>
      <c r="W514">
        <v>0</v>
      </c>
      <c r="X514">
        <v>10009565</v>
      </c>
      <c r="Y514">
        <v>1.3500000000000002E-2</v>
      </c>
      <c r="AA514">
        <v>0</v>
      </c>
      <c r="AB514">
        <v>465.15</v>
      </c>
      <c r="AC514">
        <v>454.28</v>
      </c>
      <c r="AD514">
        <v>0</v>
      </c>
      <c r="AE514">
        <v>0</v>
      </c>
      <c r="AF514">
        <v>31.26</v>
      </c>
      <c r="AG514">
        <v>13.5</v>
      </c>
      <c r="AH514">
        <v>0</v>
      </c>
      <c r="AI514">
        <v>1</v>
      </c>
      <c r="AJ514">
        <v>14.88</v>
      </c>
      <c r="AK514">
        <v>33.65</v>
      </c>
      <c r="AL514">
        <v>1</v>
      </c>
      <c r="AN514">
        <v>0</v>
      </c>
      <c r="AO514">
        <v>1</v>
      </c>
      <c r="AP514">
        <v>1</v>
      </c>
      <c r="AQ514">
        <v>0</v>
      </c>
      <c r="AR514">
        <v>0</v>
      </c>
      <c r="AS514" t="s">
        <v>3</v>
      </c>
      <c r="AT514">
        <v>0.01</v>
      </c>
      <c r="AU514" t="s">
        <v>200</v>
      </c>
      <c r="AV514">
        <v>0</v>
      </c>
      <c r="AW514">
        <v>2</v>
      </c>
      <c r="AX514">
        <v>68992459</v>
      </c>
      <c r="AY514">
        <v>1</v>
      </c>
      <c r="AZ514">
        <v>0</v>
      </c>
      <c r="BA514">
        <v>496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Y514*Source!I169</f>
        <v>9.7200000000000012E-3</v>
      </c>
      <c r="CY514">
        <f>AB514</f>
        <v>465.15</v>
      </c>
      <c r="CZ514">
        <f>AF514</f>
        <v>31.26</v>
      </c>
      <c r="DA514">
        <f>AJ514</f>
        <v>14.88</v>
      </c>
      <c r="DB514">
        <f>ROUND((ROUND(AT514*CZ514,2)*1.35),2)</f>
        <v>0.42</v>
      </c>
      <c r="DC514">
        <f>ROUND((ROUND(AT514*AG514,2)*1.35),2)</f>
        <v>0.19</v>
      </c>
    </row>
    <row r="515" spans="1:107" x14ac:dyDescent="0.2">
      <c r="A515">
        <f>ROW(Source!A169)</f>
        <v>169</v>
      </c>
      <c r="B515">
        <v>68990560</v>
      </c>
      <c r="C515">
        <v>68992449</v>
      </c>
      <c r="D515">
        <v>64255147</v>
      </c>
      <c r="E515">
        <v>1</v>
      </c>
      <c r="F515">
        <v>1</v>
      </c>
      <c r="G515">
        <v>1</v>
      </c>
      <c r="H515">
        <v>3</v>
      </c>
      <c r="I515" t="s">
        <v>1242</v>
      </c>
      <c r="J515" t="s">
        <v>1243</v>
      </c>
      <c r="K515" t="s">
        <v>1244</v>
      </c>
      <c r="L515">
        <v>1407</v>
      </c>
      <c r="N515">
        <v>1013</v>
      </c>
      <c r="O515" t="s">
        <v>1171</v>
      </c>
      <c r="P515" t="s">
        <v>1171</v>
      </c>
      <c r="Q515">
        <v>1</v>
      </c>
      <c r="W515">
        <v>0</v>
      </c>
      <c r="X515">
        <v>1180275829</v>
      </c>
      <c r="Y515">
        <v>0.2</v>
      </c>
      <c r="AA515">
        <v>1188</v>
      </c>
      <c r="AB515">
        <v>0</v>
      </c>
      <c r="AC515">
        <v>0</v>
      </c>
      <c r="AD515">
        <v>0</v>
      </c>
      <c r="AE515">
        <v>180</v>
      </c>
      <c r="AF515">
        <v>0</v>
      </c>
      <c r="AG515">
        <v>0</v>
      </c>
      <c r="AH515">
        <v>0</v>
      </c>
      <c r="AI515">
        <v>6.6</v>
      </c>
      <c r="AJ515">
        <v>1</v>
      </c>
      <c r="AK515">
        <v>1</v>
      </c>
      <c r="AL515">
        <v>1</v>
      </c>
      <c r="AN515">
        <v>0</v>
      </c>
      <c r="AO515">
        <v>1</v>
      </c>
      <c r="AP515">
        <v>0</v>
      </c>
      <c r="AQ515">
        <v>0</v>
      </c>
      <c r="AR515">
        <v>0</v>
      </c>
      <c r="AS515" t="s">
        <v>3</v>
      </c>
      <c r="AT515">
        <v>0.2</v>
      </c>
      <c r="AU515" t="s">
        <v>3</v>
      </c>
      <c r="AV515">
        <v>0</v>
      </c>
      <c r="AW515">
        <v>2</v>
      </c>
      <c r="AX515">
        <v>68992460</v>
      </c>
      <c r="AY515">
        <v>1</v>
      </c>
      <c r="AZ515">
        <v>0</v>
      </c>
      <c r="BA515">
        <v>497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Y515*Source!I169</f>
        <v>0.14399999999999999</v>
      </c>
      <c r="CY515">
        <f>AA515</f>
        <v>1188</v>
      </c>
      <c r="CZ515">
        <f>AE515</f>
        <v>180</v>
      </c>
      <c r="DA515">
        <f>AI515</f>
        <v>6.6</v>
      </c>
      <c r="DB515">
        <f>ROUND(ROUND(AT515*CZ515,2),2)</f>
        <v>36</v>
      </c>
      <c r="DC515">
        <f>ROUND(ROUND(AT515*AG515,2),2)</f>
        <v>0</v>
      </c>
    </row>
    <row r="516" spans="1:107" x14ac:dyDescent="0.2">
      <c r="A516">
        <f>ROW(Source!A169)</f>
        <v>169</v>
      </c>
      <c r="B516">
        <v>68990560</v>
      </c>
      <c r="C516">
        <v>68992449</v>
      </c>
      <c r="D516">
        <v>64255521</v>
      </c>
      <c r="E516">
        <v>1</v>
      </c>
      <c r="F516">
        <v>1</v>
      </c>
      <c r="G516">
        <v>1</v>
      </c>
      <c r="H516">
        <v>3</v>
      </c>
      <c r="I516" t="s">
        <v>1213</v>
      </c>
      <c r="J516" t="s">
        <v>1214</v>
      </c>
      <c r="K516" t="s">
        <v>1215</v>
      </c>
      <c r="L516">
        <v>1348</v>
      </c>
      <c r="N516">
        <v>1009</v>
      </c>
      <c r="O516" t="s">
        <v>71</v>
      </c>
      <c r="P516" t="s">
        <v>71</v>
      </c>
      <c r="Q516">
        <v>1000</v>
      </c>
      <c r="W516">
        <v>0</v>
      </c>
      <c r="X516">
        <v>939189209</v>
      </c>
      <c r="Y516">
        <v>1E-3</v>
      </c>
      <c r="AA516">
        <v>66749.100000000006</v>
      </c>
      <c r="AB516">
        <v>0</v>
      </c>
      <c r="AC516">
        <v>0</v>
      </c>
      <c r="AD516">
        <v>0</v>
      </c>
      <c r="AE516">
        <v>12430</v>
      </c>
      <c r="AF516">
        <v>0</v>
      </c>
      <c r="AG516">
        <v>0</v>
      </c>
      <c r="AH516">
        <v>0</v>
      </c>
      <c r="AI516">
        <v>5.37</v>
      </c>
      <c r="AJ516">
        <v>1</v>
      </c>
      <c r="AK516">
        <v>1</v>
      </c>
      <c r="AL516">
        <v>1</v>
      </c>
      <c r="AN516">
        <v>0</v>
      </c>
      <c r="AO516">
        <v>1</v>
      </c>
      <c r="AP516">
        <v>0</v>
      </c>
      <c r="AQ516">
        <v>0</v>
      </c>
      <c r="AR516">
        <v>0</v>
      </c>
      <c r="AS516" t="s">
        <v>3</v>
      </c>
      <c r="AT516">
        <v>1E-3</v>
      </c>
      <c r="AU516" t="s">
        <v>3</v>
      </c>
      <c r="AV516">
        <v>0</v>
      </c>
      <c r="AW516">
        <v>2</v>
      </c>
      <c r="AX516">
        <v>68992461</v>
      </c>
      <c r="AY516">
        <v>1</v>
      </c>
      <c r="AZ516">
        <v>0</v>
      </c>
      <c r="BA516">
        <v>498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Y516*Source!I169</f>
        <v>7.1999999999999994E-4</v>
      </c>
      <c r="CY516">
        <f>AA516</f>
        <v>66749.100000000006</v>
      </c>
      <c r="CZ516">
        <f>AE516</f>
        <v>12430</v>
      </c>
      <c r="DA516">
        <f>AI516</f>
        <v>5.37</v>
      </c>
      <c r="DB516">
        <f>ROUND(ROUND(AT516*CZ516,2),2)</f>
        <v>12.43</v>
      </c>
      <c r="DC516">
        <f>ROUND(ROUND(AT516*AG516,2),2)</f>
        <v>0</v>
      </c>
    </row>
    <row r="517" spans="1:107" x14ac:dyDescent="0.2">
      <c r="A517">
        <f>ROW(Source!A169)</f>
        <v>169</v>
      </c>
      <c r="B517">
        <v>68990560</v>
      </c>
      <c r="C517">
        <v>68992449</v>
      </c>
      <c r="D517">
        <v>53928857</v>
      </c>
      <c r="E517">
        <v>1</v>
      </c>
      <c r="F517">
        <v>1</v>
      </c>
      <c r="G517">
        <v>1</v>
      </c>
      <c r="H517">
        <v>3</v>
      </c>
      <c r="I517" t="s">
        <v>587</v>
      </c>
      <c r="J517" t="s">
        <v>589</v>
      </c>
      <c r="K517" t="s">
        <v>588</v>
      </c>
      <c r="L517">
        <v>1301</v>
      </c>
      <c r="N517">
        <v>1003</v>
      </c>
      <c r="O517" t="s">
        <v>379</v>
      </c>
      <c r="P517" t="s">
        <v>379</v>
      </c>
      <c r="Q517">
        <v>1</v>
      </c>
      <c r="W517">
        <v>0</v>
      </c>
      <c r="X517">
        <v>-1411072257</v>
      </c>
      <c r="Y517">
        <v>100</v>
      </c>
      <c r="AA517">
        <v>63.28</v>
      </c>
      <c r="AB517">
        <v>0</v>
      </c>
      <c r="AC517">
        <v>0</v>
      </c>
      <c r="AD517">
        <v>0</v>
      </c>
      <c r="AE517">
        <v>7.15</v>
      </c>
      <c r="AF517">
        <v>0</v>
      </c>
      <c r="AG517">
        <v>0</v>
      </c>
      <c r="AH517">
        <v>0</v>
      </c>
      <c r="AI517">
        <v>8.85</v>
      </c>
      <c r="AJ517">
        <v>1</v>
      </c>
      <c r="AK517">
        <v>1</v>
      </c>
      <c r="AL517">
        <v>1</v>
      </c>
      <c r="AN517">
        <v>0</v>
      </c>
      <c r="AO517">
        <v>0</v>
      </c>
      <c r="AP517">
        <v>0</v>
      </c>
      <c r="AQ517">
        <v>0</v>
      </c>
      <c r="AR517">
        <v>0</v>
      </c>
      <c r="AS517" t="s">
        <v>3</v>
      </c>
      <c r="AT517">
        <v>100</v>
      </c>
      <c r="AU517" t="s">
        <v>3</v>
      </c>
      <c r="AV517">
        <v>0</v>
      </c>
      <c r="AW517">
        <v>1</v>
      </c>
      <c r="AX517">
        <v>-1</v>
      </c>
      <c r="AY517">
        <v>0</v>
      </c>
      <c r="AZ517">
        <v>0</v>
      </c>
      <c r="BA517" t="s">
        <v>3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Y517*Source!I169</f>
        <v>72</v>
      </c>
      <c r="CY517">
        <f>AA517</f>
        <v>63.28</v>
      </c>
      <c r="CZ517">
        <f>AE517</f>
        <v>7.15</v>
      </c>
      <c r="DA517">
        <f>AI517</f>
        <v>8.85</v>
      </c>
      <c r="DB517">
        <f>ROUND(ROUND(AT517*CZ517,2),2)</f>
        <v>715</v>
      </c>
      <c r="DC517">
        <f>ROUND(ROUND(AT517*AG517,2),2)</f>
        <v>0</v>
      </c>
    </row>
    <row r="518" spans="1:107" x14ac:dyDescent="0.2">
      <c r="A518">
        <f>ROW(Source!A169)</f>
        <v>169</v>
      </c>
      <c r="B518">
        <v>68990560</v>
      </c>
      <c r="C518">
        <v>68992449</v>
      </c>
      <c r="D518">
        <v>64245580</v>
      </c>
      <c r="E518">
        <v>56</v>
      </c>
      <c r="F518">
        <v>1</v>
      </c>
      <c r="G518">
        <v>1</v>
      </c>
      <c r="H518">
        <v>3</v>
      </c>
      <c r="I518" t="s">
        <v>837</v>
      </c>
      <c r="J518" t="s">
        <v>3</v>
      </c>
      <c r="K518" t="s">
        <v>838</v>
      </c>
      <c r="L518">
        <v>1374</v>
      </c>
      <c r="N518">
        <v>1013</v>
      </c>
      <c r="O518" t="s">
        <v>839</v>
      </c>
      <c r="P518" t="s">
        <v>839</v>
      </c>
      <c r="Q518">
        <v>1</v>
      </c>
      <c r="W518">
        <v>0</v>
      </c>
      <c r="X518">
        <v>-1731369543</v>
      </c>
      <c r="Y518">
        <v>3.1</v>
      </c>
      <c r="AA518">
        <v>1</v>
      </c>
      <c r="AB518">
        <v>0</v>
      </c>
      <c r="AC518">
        <v>0</v>
      </c>
      <c r="AD518">
        <v>0</v>
      </c>
      <c r="AE518">
        <v>1</v>
      </c>
      <c r="AF518">
        <v>0</v>
      </c>
      <c r="AG518">
        <v>0</v>
      </c>
      <c r="AH518">
        <v>0</v>
      </c>
      <c r="AI518">
        <v>1</v>
      </c>
      <c r="AJ518">
        <v>1</v>
      </c>
      <c r="AK518">
        <v>1</v>
      </c>
      <c r="AL518">
        <v>1</v>
      </c>
      <c r="AN518">
        <v>0</v>
      </c>
      <c r="AO518">
        <v>1</v>
      </c>
      <c r="AP518">
        <v>0</v>
      </c>
      <c r="AQ518">
        <v>0</v>
      </c>
      <c r="AR518">
        <v>0</v>
      </c>
      <c r="AS518" t="s">
        <v>3</v>
      </c>
      <c r="AT518">
        <v>3.1</v>
      </c>
      <c r="AU518" t="s">
        <v>3</v>
      </c>
      <c r="AV518">
        <v>0</v>
      </c>
      <c r="AW518">
        <v>2</v>
      </c>
      <c r="AX518">
        <v>68992462</v>
      </c>
      <c r="AY518">
        <v>1</v>
      </c>
      <c r="AZ518">
        <v>0</v>
      </c>
      <c r="BA518">
        <v>499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Y518*Source!I169</f>
        <v>2.2319999999999998</v>
      </c>
      <c r="CY518">
        <f>AA518</f>
        <v>1</v>
      </c>
      <c r="CZ518">
        <f>AE518</f>
        <v>1</v>
      </c>
      <c r="DA518">
        <f>AI518</f>
        <v>1</v>
      </c>
      <c r="DB518">
        <f>ROUND(ROUND(AT518*CZ518,2),2)</f>
        <v>3.1</v>
      </c>
      <c r="DC518">
        <f>ROUND(ROUND(AT518*AG518,2),2)</f>
        <v>0</v>
      </c>
    </row>
    <row r="519" spans="1:107" x14ac:dyDescent="0.2">
      <c r="A519">
        <f>ROW(Source!A171)</f>
        <v>171</v>
      </c>
      <c r="B519">
        <v>68990560</v>
      </c>
      <c r="C519">
        <v>68992464</v>
      </c>
      <c r="D519">
        <v>37064878</v>
      </c>
      <c r="E519">
        <v>56</v>
      </c>
      <c r="F519">
        <v>1</v>
      </c>
      <c r="G519">
        <v>1</v>
      </c>
      <c r="H519">
        <v>1</v>
      </c>
      <c r="I519" t="s">
        <v>955</v>
      </c>
      <c r="J519" t="s">
        <v>3</v>
      </c>
      <c r="K519" t="s">
        <v>956</v>
      </c>
      <c r="L519">
        <v>1191</v>
      </c>
      <c r="N519">
        <v>1013</v>
      </c>
      <c r="O519" t="s">
        <v>818</v>
      </c>
      <c r="P519" t="s">
        <v>818</v>
      </c>
      <c r="Q519">
        <v>1</v>
      </c>
      <c r="W519">
        <v>0</v>
      </c>
      <c r="X519">
        <v>-1081351934</v>
      </c>
      <c r="Y519">
        <v>3.8069999999999999</v>
      </c>
      <c r="AA519">
        <v>0</v>
      </c>
      <c r="AB519">
        <v>0</v>
      </c>
      <c r="AC519">
        <v>0</v>
      </c>
      <c r="AD519">
        <v>9.4</v>
      </c>
      <c r="AE519">
        <v>0</v>
      </c>
      <c r="AF519">
        <v>0</v>
      </c>
      <c r="AG519">
        <v>0</v>
      </c>
      <c r="AH519">
        <v>9.4</v>
      </c>
      <c r="AI519">
        <v>1</v>
      </c>
      <c r="AJ519">
        <v>1</v>
      </c>
      <c r="AK519">
        <v>1</v>
      </c>
      <c r="AL519">
        <v>1</v>
      </c>
      <c r="AN519">
        <v>0</v>
      </c>
      <c r="AO519">
        <v>1</v>
      </c>
      <c r="AP519">
        <v>1</v>
      </c>
      <c r="AQ519">
        <v>0</v>
      </c>
      <c r="AR519">
        <v>0</v>
      </c>
      <c r="AS519" t="s">
        <v>3</v>
      </c>
      <c r="AT519">
        <v>2.82</v>
      </c>
      <c r="AU519" t="s">
        <v>200</v>
      </c>
      <c r="AV519">
        <v>1</v>
      </c>
      <c r="AW519">
        <v>2</v>
      </c>
      <c r="AX519">
        <v>68992474</v>
      </c>
      <c r="AY519">
        <v>1</v>
      </c>
      <c r="AZ519">
        <v>0</v>
      </c>
      <c r="BA519">
        <v>500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Y519*Source!I171</f>
        <v>2.7410399999999999</v>
      </c>
      <c r="CY519">
        <f>AD519</f>
        <v>9.4</v>
      </c>
      <c r="CZ519">
        <f>AH519</f>
        <v>9.4</v>
      </c>
      <c r="DA519">
        <f>AL519</f>
        <v>1</v>
      </c>
      <c r="DB519">
        <f>ROUND((ROUND(AT519*CZ519,2)*1.35),2)</f>
        <v>35.79</v>
      </c>
      <c r="DC519">
        <f>ROUND((ROUND(AT519*AG519,2)*1.35),2)</f>
        <v>0</v>
      </c>
    </row>
    <row r="520" spans="1:107" x14ac:dyDescent="0.2">
      <c r="A520">
        <f>ROW(Source!A171)</f>
        <v>171</v>
      </c>
      <c r="B520">
        <v>68990560</v>
      </c>
      <c r="C520">
        <v>68992464</v>
      </c>
      <c r="D520">
        <v>37064876</v>
      </c>
      <c r="E520">
        <v>56</v>
      </c>
      <c r="F520">
        <v>1</v>
      </c>
      <c r="G520">
        <v>1</v>
      </c>
      <c r="H520">
        <v>1</v>
      </c>
      <c r="I520" t="s">
        <v>819</v>
      </c>
      <c r="J520" t="s">
        <v>3</v>
      </c>
      <c r="K520" t="s">
        <v>820</v>
      </c>
      <c r="L520">
        <v>1191</v>
      </c>
      <c r="N520">
        <v>1013</v>
      </c>
      <c r="O520" t="s">
        <v>818</v>
      </c>
      <c r="P520" t="s">
        <v>818</v>
      </c>
      <c r="Q520">
        <v>1</v>
      </c>
      <c r="W520">
        <v>0</v>
      </c>
      <c r="X520">
        <v>-1417349443</v>
      </c>
      <c r="Y520">
        <v>2.7000000000000003E-2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1</v>
      </c>
      <c r="AJ520">
        <v>1</v>
      </c>
      <c r="AK520">
        <v>1</v>
      </c>
      <c r="AL520">
        <v>1</v>
      </c>
      <c r="AN520">
        <v>0</v>
      </c>
      <c r="AO520">
        <v>1</v>
      </c>
      <c r="AP520">
        <v>1</v>
      </c>
      <c r="AQ520">
        <v>0</v>
      </c>
      <c r="AR520">
        <v>0</v>
      </c>
      <c r="AS520" t="s">
        <v>3</v>
      </c>
      <c r="AT520">
        <v>0.02</v>
      </c>
      <c r="AU520" t="s">
        <v>200</v>
      </c>
      <c r="AV520">
        <v>2</v>
      </c>
      <c r="AW520">
        <v>2</v>
      </c>
      <c r="AX520">
        <v>68992475</v>
      </c>
      <c r="AY520">
        <v>1</v>
      </c>
      <c r="AZ520">
        <v>0</v>
      </c>
      <c r="BA520">
        <v>501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Y520*Source!I171</f>
        <v>1.9440000000000002E-2</v>
      </c>
      <c r="CY520">
        <f>AD520</f>
        <v>0</v>
      </c>
      <c r="CZ520">
        <f>AH520</f>
        <v>0</v>
      </c>
      <c r="DA520">
        <f>AL520</f>
        <v>1</v>
      </c>
      <c r="DB520">
        <f>ROUND((ROUND(AT520*CZ520,2)*1.35),2)</f>
        <v>0</v>
      </c>
      <c r="DC520">
        <f>ROUND((ROUND(AT520*AG520,2)*1.35),2)</f>
        <v>0</v>
      </c>
    </row>
    <row r="521" spans="1:107" x14ac:dyDescent="0.2">
      <c r="A521">
        <f>ROW(Source!A171)</f>
        <v>171</v>
      </c>
      <c r="B521">
        <v>68990560</v>
      </c>
      <c r="C521">
        <v>68992464</v>
      </c>
      <c r="D521">
        <v>64401763</v>
      </c>
      <c r="E521">
        <v>1</v>
      </c>
      <c r="F521">
        <v>1</v>
      </c>
      <c r="G521">
        <v>1</v>
      </c>
      <c r="H521">
        <v>2</v>
      </c>
      <c r="I521" t="s">
        <v>821</v>
      </c>
      <c r="J521" t="s">
        <v>822</v>
      </c>
      <c r="K521" t="s">
        <v>823</v>
      </c>
      <c r="L521">
        <v>1368</v>
      </c>
      <c r="N521">
        <v>1011</v>
      </c>
      <c r="O521" t="s">
        <v>824</v>
      </c>
      <c r="P521" t="s">
        <v>824</v>
      </c>
      <c r="Q521">
        <v>1</v>
      </c>
      <c r="W521">
        <v>0</v>
      </c>
      <c r="X521">
        <v>-1346461524</v>
      </c>
      <c r="Y521">
        <v>1.3500000000000002E-2</v>
      </c>
      <c r="AA521">
        <v>0</v>
      </c>
      <c r="AB521">
        <v>1074.3699999999999</v>
      </c>
      <c r="AC521">
        <v>454.28</v>
      </c>
      <c r="AD521">
        <v>0</v>
      </c>
      <c r="AE521">
        <v>0</v>
      </c>
      <c r="AF521">
        <v>115.4</v>
      </c>
      <c r="AG521">
        <v>13.5</v>
      </c>
      <c r="AH521">
        <v>0</v>
      </c>
      <c r="AI521">
        <v>1</v>
      </c>
      <c r="AJ521">
        <v>9.31</v>
      </c>
      <c r="AK521">
        <v>33.65</v>
      </c>
      <c r="AL521">
        <v>1</v>
      </c>
      <c r="AN521">
        <v>0</v>
      </c>
      <c r="AO521">
        <v>1</v>
      </c>
      <c r="AP521">
        <v>1</v>
      </c>
      <c r="AQ521">
        <v>0</v>
      </c>
      <c r="AR521">
        <v>0</v>
      </c>
      <c r="AS521" t="s">
        <v>3</v>
      </c>
      <c r="AT521">
        <v>0.01</v>
      </c>
      <c r="AU521" t="s">
        <v>200</v>
      </c>
      <c r="AV521">
        <v>0</v>
      </c>
      <c r="AW521">
        <v>2</v>
      </c>
      <c r="AX521">
        <v>68992476</v>
      </c>
      <c r="AY521">
        <v>1</v>
      </c>
      <c r="AZ521">
        <v>0</v>
      </c>
      <c r="BA521">
        <v>502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Y521*Source!I171</f>
        <v>9.7200000000000012E-3</v>
      </c>
      <c r="CY521">
        <f>AB521</f>
        <v>1074.3699999999999</v>
      </c>
      <c r="CZ521">
        <f>AF521</f>
        <v>115.4</v>
      </c>
      <c r="DA521">
        <f>AJ521</f>
        <v>9.31</v>
      </c>
      <c r="DB521">
        <f>ROUND((ROUND(AT521*CZ521,2)*1.35),2)</f>
        <v>1.55</v>
      </c>
      <c r="DC521">
        <f>ROUND((ROUND(AT521*AG521,2)*1.35),2)</f>
        <v>0.19</v>
      </c>
    </row>
    <row r="522" spans="1:107" x14ac:dyDescent="0.2">
      <c r="A522">
        <f>ROW(Source!A171)</f>
        <v>171</v>
      </c>
      <c r="B522">
        <v>68990560</v>
      </c>
      <c r="C522">
        <v>68992464</v>
      </c>
      <c r="D522">
        <v>64402691</v>
      </c>
      <c r="E522">
        <v>1</v>
      </c>
      <c r="F522">
        <v>1</v>
      </c>
      <c r="G522">
        <v>1</v>
      </c>
      <c r="H522">
        <v>2</v>
      </c>
      <c r="I522" t="s">
        <v>825</v>
      </c>
      <c r="J522" t="s">
        <v>826</v>
      </c>
      <c r="K522" t="s">
        <v>827</v>
      </c>
      <c r="L522">
        <v>1368</v>
      </c>
      <c r="N522">
        <v>1011</v>
      </c>
      <c r="O522" t="s">
        <v>824</v>
      </c>
      <c r="P522" t="s">
        <v>824</v>
      </c>
      <c r="Q522">
        <v>1</v>
      </c>
      <c r="W522">
        <v>0</v>
      </c>
      <c r="X522">
        <v>-841254546</v>
      </c>
      <c r="Y522">
        <v>1.3500000000000002E-2</v>
      </c>
      <c r="AA522">
        <v>0</v>
      </c>
      <c r="AB522">
        <v>776.04</v>
      </c>
      <c r="AC522">
        <v>390.34</v>
      </c>
      <c r="AD522">
        <v>0</v>
      </c>
      <c r="AE522">
        <v>0</v>
      </c>
      <c r="AF522">
        <v>65.709999999999994</v>
      </c>
      <c r="AG522">
        <v>11.6</v>
      </c>
      <c r="AH522">
        <v>0</v>
      </c>
      <c r="AI522">
        <v>1</v>
      </c>
      <c r="AJ522">
        <v>11.81</v>
      </c>
      <c r="AK522">
        <v>33.65</v>
      </c>
      <c r="AL522">
        <v>1</v>
      </c>
      <c r="AN522">
        <v>0</v>
      </c>
      <c r="AO522">
        <v>1</v>
      </c>
      <c r="AP522">
        <v>1</v>
      </c>
      <c r="AQ522">
        <v>0</v>
      </c>
      <c r="AR522">
        <v>0</v>
      </c>
      <c r="AS522" t="s">
        <v>3</v>
      </c>
      <c r="AT522">
        <v>0.01</v>
      </c>
      <c r="AU522" t="s">
        <v>200</v>
      </c>
      <c r="AV522">
        <v>0</v>
      </c>
      <c r="AW522">
        <v>2</v>
      </c>
      <c r="AX522">
        <v>68992477</v>
      </c>
      <c r="AY522">
        <v>1</v>
      </c>
      <c r="AZ522">
        <v>0</v>
      </c>
      <c r="BA522">
        <v>503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Y522*Source!I171</f>
        <v>9.7200000000000012E-3</v>
      </c>
      <c r="CY522">
        <f>AB522</f>
        <v>776.04</v>
      </c>
      <c r="CZ522">
        <f>AF522</f>
        <v>65.709999999999994</v>
      </c>
      <c r="DA522">
        <f>AJ522</f>
        <v>11.81</v>
      </c>
      <c r="DB522">
        <f>ROUND((ROUND(AT522*CZ522,2)*1.35),2)</f>
        <v>0.89</v>
      </c>
      <c r="DC522">
        <f>ROUND((ROUND(AT522*AG522,2)*1.35),2)</f>
        <v>0.16</v>
      </c>
    </row>
    <row r="523" spans="1:107" x14ac:dyDescent="0.2">
      <c r="A523">
        <f>ROW(Source!A171)</f>
        <v>171</v>
      </c>
      <c r="B523">
        <v>68990560</v>
      </c>
      <c r="C523">
        <v>68992464</v>
      </c>
      <c r="D523">
        <v>64253038</v>
      </c>
      <c r="E523">
        <v>1</v>
      </c>
      <c r="F523">
        <v>1</v>
      </c>
      <c r="G523">
        <v>1</v>
      </c>
      <c r="H523">
        <v>3</v>
      </c>
      <c r="I523" t="s">
        <v>828</v>
      </c>
      <c r="J523" t="s">
        <v>829</v>
      </c>
      <c r="K523" t="s">
        <v>830</v>
      </c>
      <c r="L523">
        <v>1346</v>
      </c>
      <c r="N523">
        <v>1009</v>
      </c>
      <c r="O523" t="s">
        <v>170</v>
      </c>
      <c r="P523" t="s">
        <v>170</v>
      </c>
      <c r="Q523">
        <v>1</v>
      </c>
      <c r="W523">
        <v>0</v>
      </c>
      <c r="X523">
        <v>456480056</v>
      </c>
      <c r="Y523">
        <v>0.16</v>
      </c>
      <c r="AA523">
        <v>240.77</v>
      </c>
      <c r="AB523">
        <v>0</v>
      </c>
      <c r="AC523">
        <v>0</v>
      </c>
      <c r="AD523">
        <v>0</v>
      </c>
      <c r="AE523">
        <v>30.4</v>
      </c>
      <c r="AF523">
        <v>0</v>
      </c>
      <c r="AG523">
        <v>0</v>
      </c>
      <c r="AH523">
        <v>0</v>
      </c>
      <c r="AI523">
        <v>7.92</v>
      </c>
      <c r="AJ523">
        <v>1</v>
      </c>
      <c r="AK523">
        <v>1</v>
      </c>
      <c r="AL523">
        <v>1</v>
      </c>
      <c r="AN523">
        <v>0</v>
      </c>
      <c r="AO523">
        <v>1</v>
      </c>
      <c r="AP523">
        <v>0</v>
      </c>
      <c r="AQ523">
        <v>0</v>
      </c>
      <c r="AR523">
        <v>0</v>
      </c>
      <c r="AS523" t="s">
        <v>3</v>
      </c>
      <c r="AT523">
        <v>0.16</v>
      </c>
      <c r="AU523" t="s">
        <v>3</v>
      </c>
      <c r="AV523">
        <v>0</v>
      </c>
      <c r="AW523">
        <v>2</v>
      </c>
      <c r="AX523">
        <v>68992478</v>
      </c>
      <c r="AY523">
        <v>1</v>
      </c>
      <c r="AZ523">
        <v>0</v>
      </c>
      <c r="BA523">
        <v>504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Y523*Source!I171</f>
        <v>0.1152</v>
      </c>
      <c r="CY523">
        <f t="shared" ref="CY523:CY528" si="107">AA523</f>
        <v>240.77</v>
      </c>
      <c r="CZ523">
        <f t="shared" ref="CZ523:CZ528" si="108">AE523</f>
        <v>30.4</v>
      </c>
      <c r="DA523">
        <f t="shared" ref="DA523:DA528" si="109">AI523</f>
        <v>7.92</v>
      </c>
      <c r="DB523">
        <f t="shared" ref="DB523:DB528" si="110">ROUND(ROUND(AT523*CZ523,2),2)</f>
        <v>4.8600000000000003</v>
      </c>
      <c r="DC523">
        <f t="shared" ref="DC523:DC528" si="111">ROUND(ROUND(AT523*AG523,2),2)</f>
        <v>0</v>
      </c>
    </row>
    <row r="524" spans="1:107" x14ac:dyDescent="0.2">
      <c r="A524">
        <f>ROW(Source!A171)</f>
        <v>171</v>
      </c>
      <c r="B524">
        <v>68990560</v>
      </c>
      <c r="C524">
        <v>68992464</v>
      </c>
      <c r="D524">
        <v>64253056</v>
      </c>
      <c r="E524">
        <v>1</v>
      </c>
      <c r="F524">
        <v>1</v>
      </c>
      <c r="G524">
        <v>1</v>
      </c>
      <c r="H524">
        <v>3</v>
      </c>
      <c r="I524" t="s">
        <v>1245</v>
      </c>
      <c r="J524" t="s">
        <v>1246</v>
      </c>
      <c r="K524" t="s">
        <v>1247</v>
      </c>
      <c r="L524">
        <v>1302</v>
      </c>
      <c r="N524">
        <v>1003</v>
      </c>
      <c r="O524" t="s">
        <v>395</v>
      </c>
      <c r="P524" t="s">
        <v>395</v>
      </c>
      <c r="Q524">
        <v>10</v>
      </c>
      <c r="W524">
        <v>0</v>
      </c>
      <c r="X524">
        <v>-660802197</v>
      </c>
      <c r="Y524">
        <v>0.5</v>
      </c>
      <c r="AA524">
        <v>41.4</v>
      </c>
      <c r="AB524">
        <v>0</v>
      </c>
      <c r="AC524">
        <v>0</v>
      </c>
      <c r="AD524">
        <v>0</v>
      </c>
      <c r="AE524">
        <v>6.9</v>
      </c>
      <c r="AF524">
        <v>0</v>
      </c>
      <c r="AG524">
        <v>0</v>
      </c>
      <c r="AH524">
        <v>0</v>
      </c>
      <c r="AI524">
        <v>6</v>
      </c>
      <c r="AJ524">
        <v>1</v>
      </c>
      <c r="AK524">
        <v>1</v>
      </c>
      <c r="AL524">
        <v>1</v>
      </c>
      <c r="AN524">
        <v>0</v>
      </c>
      <c r="AO524">
        <v>1</v>
      </c>
      <c r="AP524">
        <v>0</v>
      </c>
      <c r="AQ524">
        <v>0</v>
      </c>
      <c r="AR524">
        <v>0</v>
      </c>
      <c r="AS524" t="s">
        <v>3</v>
      </c>
      <c r="AT524">
        <v>0.5</v>
      </c>
      <c r="AU524" t="s">
        <v>3</v>
      </c>
      <c r="AV524">
        <v>0</v>
      </c>
      <c r="AW524">
        <v>2</v>
      </c>
      <c r="AX524">
        <v>68992479</v>
      </c>
      <c r="AY524">
        <v>1</v>
      </c>
      <c r="AZ524">
        <v>0</v>
      </c>
      <c r="BA524">
        <v>505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Y524*Source!I171</f>
        <v>0.36</v>
      </c>
      <c r="CY524">
        <f t="shared" si="107"/>
        <v>41.4</v>
      </c>
      <c r="CZ524">
        <f t="shared" si="108"/>
        <v>6.9</v>
      </c>
      <c r="DA524">
        <f t="shared" si="109"/>
        <v>6</v>
      </c>
      <c r="DB524">
        <f t="shared" si="110"/>
        <v>3.45</v>
      </c>
      <c r="DC524">
        <f t="shared" si="111"/>
        <v>0</v>
      </c>
    </row>
    <row r="525" spans="1:107" x14ac:dyDescent="0.2">
      <c r="A525">
        <f>ROW(Source!A171)</f>
        <v>171</v>
      </c>
      <c r="B525">
        <v>68990560</v>
      </c>
      <c r="C525">
        <v>68992464</v>
      </c>
      <c r="D525">
        <v>64284267</v>
      </c>
      <c r="E525">
        <v>1</v>
      </c>
      <c r="F525">
        <v>1</v>
      </c>
      <c r="G525">
        <v>1</v>
      </c>
      <c r="H525">
        <v>3</v>
      </c>
      <c r="I525" t="s">
        <v>1225</v>
      </c>
      <c r="J525" t="s">
        <v>1226</v>
      </c>
      <c r="K525" t="s">
        <v>1227</v>
      </c>
      <c r="L525">
        <v>1346</v>
      </c>
      <c r="N525">
        <v>1009</v>
      </c>
      <c r="O525" t="s">
        <v>170</v>
      </c>
      <c r="P525" t="s">
        <v>170</v>
      </c>
      <c r="Q525">
        <v>1</v>
      </c>
      <c r="W525">
        <v>0</v>
      </c>
      <c r="X525">
        <v>654902681</v>
      </c>
      <c r="Y525">
        <v>0.05</v>
      </c>
      <c r="AA525">
        <v>125.27</v>
      </c>
      <c r="AB525">
        <v>0</v>
      </c>
      <c r="AC525">
        <v>0</v>
      </c>
      <c r="AD525">
        <v>0</v>
      </c>
      <c r="AE525">
        <v>28.6</v>
      </c>
      <c r="AF525">
        <v>0</v>
      </c>
      <c r="AG525">
        <v>0</v>
      </c>
      <c r="AH525">
        <v>0</v>
      </c>
      <c r="AI525">
        <v>4.38</v>
      </c>
      <c r="AJ525">
        <v>1</v>
      </c>
      <c r="AK525">
        <v>1</v>
      </c>
      <c r="AL525">
        <v>1</v>
      </c>
      <c r="AN525">
        <v>0</v>
      </c>
      <c r="AO525">
        <v>1</v>
      </c>
      <c r="AP525">
        <v>0</v>
      </c>
      <c r="AQ525">
        <v>0</v>
      </c>
      <c r="AR525">
        <v>0</v>
      </c>
      <c r="AS525" t="s">
        <v>3</v>
      </c>
      <c r="AT525">
        <v>0.05</v>
      </c>
      <c r="AU525" t="s">
        <v>3</v>
      </c>
      <c r="AV525">
        <v>0</v>
      </c>
      <c r="AW525">
        <v>2</v>
      </c>
      <c r="AX525">
        <v>68992480</v>
      </c>
      <c r="AY525">
        <v>1</v>
      </c>
      <c r="AZ525">
        <v>0</v>
      </c>
      <c r="BA525">
        <v>506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Y525*Source!I171</f>
        <v>3.5999999999999997E-2</v>
      </c>
      <c r="CY525">
        <f t="shared" si="107"/>
        <v>125.27</v>
      </c>
      <c r="CZ525">
        <f t="shared" si="108"/>
        <v>28.6</v>
      </c>
      <c r="DA525">
        <f t="shared" si="109"/>
        <v>4.38</v>
      </c>
      <c r="DB525">
        <f t="shared" si="110"/>
        <v>1.43</v>
      </c>
      <c r="DC525">
        <f t="shared" si="111"/>
        <v>0</v>
      </c>
    </row>
    <row r="526" spans="1:107" x14ac:dyDescent="0.2">
      <c r="A526">
        <f>ROW(Source!A171)</f>
        <v>171</v>
      </c>
      <c r="B526">
        <v>68990560</v>
      </c>
      <c r="C526">
        <v>68992464</v>
      </c>
      <c r="D526">
        <v>53886739</v>
      </c>
      <c r="E526">
        <v>1</v>
      </c>
      <c r="F526">
        <v>1</v>
      </c>
      <c r="G526">
        <v>1</v>
      </c>
      <c r="H526">
        <v>3</v>
      </c>
      <c r="I526" t="s">
        <v>579</v>
      </c>
      <c r="J526" t="s">
        <v>581</v>
      </c>
      <c r="K526" t="s">
        <v>580</v>
      </c>
      <c r="L526">
        <v>1477</v>
      </c>
      <c r="N526">
        <v>1013</v>
      </c>
      <c r="O526" t="s">
        <v>560</v>
      </c>
      <c r="P526" t="s">
        <v>562</v>
      </c>
      <c r="Q526">
        <v>1</v>
      </c>
      <c r="W526">
        <v>0</v>
      </c>
      <c r="X526">
        <v>-1990471262</v>
      </c>
      <c r="Y526">
        <v>8.6110999999999993E-2</v>
      </c>
      <c r="AA526">
        <v>48659.45</v>
      </c>
      <c r="AB526">
        <v>0</v>
      </c>
      <c r="AC526">
        <v>0</v>
      </c>
      <c r="AD526">
        <v>0</v>
      </c>
      <c r="AE526">
        <v>4832.12</v>
      </c>
      <c r="AF526">
        <v>0</v>
      </c>
      <c r="AG526">
        <v>0</v>
      </c>
      <c r="AH526">
        <v>0</v>
      </c>
      <c r="AI526">
        <v>10.07</v>
      </c>
      <c r="AJ526">
        <v>1</v>
      </c>
      <c r="AK526">
        <v>1</v>
      </c>
      <c r="AL526">
        <v>1</v>
      </c>
      <c r="AN526">
        <v>0</v>
      </c>
      <c r="AO526">
        <v>0</v>
      </c>
      <c r="AP526">
        <v>0</v>
      </c>
      <c r="AQ526">
        <v>0</v>
      </c>
      <c r="AR526">
        <v>0</v>
      </c>
      <c r="AS526" t="s">
        <v>3</v>
      </c>
      <c r="AT526">
        <v>8.6110999999999993E-2</v>
      </c>
      <c r="AU526" t="s">
        <v>3</v>
      </c>
      <c r="AV526">
        <v>0</v>
      </c>
      <c r="AW526">
        <v>1</v>
      </c>
      <c r="AX526">
        <v>-1</v>
      </c>
      <c r="AY526">
        <v>0</v>
      </c>
      <c r="AZ526">
        <v>0</v>
      </c>
      <c r="BA526" t="s">
        <v>3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Y526*Source!I171</f>
        <v>6.1999919999999993E-2</v>
      </c>
      <c r="CY526">
        <f t="shared" si="107"/>
        <v>48659.45</v>
      </c>
      <c r="CZ526">
        <f t="shared" si="108"/>
        <v>4832.12</v>
      </c>
      <c r="DA526">
        <f t="shared" si="109"/>
        <v>10.07</v>
      </c>
      <c r="DB526">
        <f t="shared" si="110"/>
        <v>416.1</v>
      </c>
      <c r="DC526">
        <f t="shared" si="111"/>
        <v>0</v>
      </c>
    </row>
    <row r="527" spans="1:107" x14ac:dyDescent="0.2">
      <c r="A527">
        <f>ROW(Source!A171)</f>
        <v>171</v>
      </c>
      <c r="B527">
        <v>68990560</v>
      </c>
      <c r="C527">
        <v>68992464</v>
      </c>
      <c r="D527">
        <v>53894845</v>
      </c>
      <c r="E527">
        <v>1</v>
      </c>
      <c r="F527">
        <v>1</v>
      </c>
      <c r="G527">
        <v>1</v>
      </c>
      <c r="H527">
        <v>3</v>
      </c>
      <c r="I527" t="s">
        <v>596</v>
      </c>
      <c r="J527" t="s">
        <v>598</v>
      </c>
      <c r="K527" t="s">
        <v>597</v>
      </c>
      <c r="L527">
        <v>1477</v>
      </c>
      <c r="N527">
        <v>1013</v>
      </c>
      <c r="O527" t="s">
        <v>560</v>
      </c>
      <c r="P527" t="s">
        <v>562</v>
      </c>
      <c r="Q527">
        <v>1</v>
      </c>
      <c r="W527">
        <v>0</v>
      </c>
      <c r="X527">
        <v>-716183232</v>
      </c>
      <c r="Y527">
        <v>1.3889E-2</v>
      </c>
      <c r="AA527">
        <v>113097.32</v>
      </c>
      <c r="AB527">
        <v>0</v>
      </c>
      <c r="AC527">
        <v>0</v>
      </c>
      <c r="AD527">
        <v>0</v>
      </c>
      <c r="AE527">
        <v>12095.97</v>
      </c>
      <c r="AF527">
        <v>0</v>
      </c>
      <c r="AG527">
        <v>0</v>
      </c>
      <c r="AH527">
        <v>0</v>
      </c>
      <c r="AI527">
        <v>9.35</v>
      </c>
      <c r="AJ527">
        <v>1</v>
      </c>
      <c r="AK527">
        <v>1</v>
      </c>
      <c r="AL527">
        <v>1</v>
      </c>
      <c r="AN527">
        <v>0</v>
      </c>
      <c r="AO527">
        <v>0</v>
      </c>
      <c r="AP527">
        <v>0</v>
      </c>
      <c r="AQ527">
        <v>0</v>
      </c>
      <c r="AR527">
        <v>0</v>
      </c>
      <c r="AS527" t="s">
        <v>3</v>
      </c>
      <c r="AT527">
        <v>1.3889E-2</v>
      </c>
      <c r="AU527" t="s">
        <v>3</v>
      </c>
      <c r="AV527">
        <v>0</v>
      </c>
      <c r="AW527">
        <v>1</v>
      </c>
      <c r="AX527">
        <v>-1</v>
      </c>
      <c r="AY527">
        <v>0</v>
      </c>
      <c r="AZ527">
        <v>0</v>
      </c>
      <c r="BA527" t="s">
        <v>3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Y527*Source!I171</f>
        <v>1.000008E-2</v>
      </c>
      <c r="CY527">
        <f t="shared" si="107"/>
        <v>113097.32</v>
      </c>
      <c r="CZ527">
        <f t="shared" si="108"/>
        <v>12095.97</v>
      </c>
      <c r="DA527">
        <f t="shared" si="109"/>
        <v>9.35</v>
      </c>
      <c r="DB527">
        <f t="shared" si="110"/>
        <v>168</v>
      </c>
      <c r="DC527">
        <f t="shared" si="111"/>
        <v>0</v>
      </c>
    </row>
    <row r="528" spans="1:107" x14ac:dyDescent="0.2">
      <c r="A528">
        <f>ROW(Source!A171)</f>
        <v>171</v>
      </c>
      <c r="B528">
        <v>68990560</v>
      </c>
      <c r="C528">
        <v>68992464</v>
      </c>
      <c r="D528">
        <v>64245580</v>
      </c>
      <c r="E528">
        <v>56</v>
      </c>
      <c r="F528">
        <v>1</v>
      </c>
      <c r="G528">
        <v>1</v>
      </c>
      <c r="H528">
        <v>3</v>
      </c>
      <c r="I528" t="s">
        <v>837</v>
      </c>
      <c r="J528" t="s">
        <v>3</v>
      </c>
      <c r="K528" t="s">
        <v>838</v>
      </c>
      <c r="L528">
        <v>1374</v>
      </c>
      <c r="N528">
        <v>1013</v>
      </c>
      <c r="O528" t="s">
        <v>839</v>
      </c>
      <c r="P528" t="s">
        <v>839</v>
      </c>
      <c r="Q528">
        <v>1</v>
      </c>
      <c r="W528">
        <v>0</v>
      </c>
      <c r="X528">
        <v>-1731369543</v>
      </c>
      <c r="Y528">
        <v>0.53</v>
      </c>
      <c r="AA528">
        <v>1</v>
      </c>
      <c r="AB528">
        <v>0</v>
      </c>
      <c r="AC528">
        <v>0</v>
      </c>
      <c r="AD528">
        <v>0</v>
      </c>
      <c r="AE528">
        <v>1</v>
      </c>
      <c r="AF528">
        <v>0</v>
      </c>
      <c r="AG528">
        <v>0</v>
      </c>
      <c r="AH528">
        <v>0</v>
      </c>
      <c r="AI528">
        <v>1</v>
      </c>
      <c r="AJ528">
        <v>1</v>
      </c>
      <c r="AK528">
        <v>1</v>
      </c>
      <c r="AL528">
        <v>1</v>
      </c>
      <c r="AN528">
        <v>0</v>
      </c>
      <c r="AO528">
        <v>1</v>
      </c>
      <c r="AP528">
        <v>0</v>
      </c>
      <c r="AQ528">
        <v>0</v>
      </c>
      <c r="AR528">
        <v>0</v>
      </c>
      <c r="AS528" t="s">
        <v>3</v>
      </c>
      <c r="AT528">
        <v>0.53</v>
      </c>
      <c r="AU528" t="s">
        <v>3</v>
      </c>
      <c r="AV528">
        <v>0</v>
      </c>
      <c r="AW528">
        <v>2</v>
      </c>
      <c r="AX528">
        <v>68992481</v>
      </c>
      <c r="AY528">
        <v>1</v>
      </c>
      <c r="AZ528">
        <v>0</v>
      </c>
      <c r="BA528">
        <v>507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Y528*Source!I171</f>
        <v>0.38159999999999999</v>
      </c>
      <c r="CY528">
        <f t="shared" si="107"/>
        <v>1</v>
      </c>
      <c r="CZ528">
        <f t="shared" si="108"/>
        <v>1</v>
      </c>
      <c r="DA528">
        <f t="shared" si="109"/>
        <v>1</v>
      </c>
      <c r="DB528">
        <f t="shared" si="110"/>
        <v>0.53</v>
      </c>
      <c r="DC528">
        <f t="shared" si="111"/>
        <v>0</v>
      </c>
    </row>
    <row r="529" spans="1:107" x14ac:dyDescent="0.2">
      <c r="A529">
        <f>ROW(Source!A174)</f>
        <v>174</v>
      </c>
      <c r="B529">
        <v>68990560</v>
      </c>
      <c r="C529">
        <v>68992527</v>
      </c>
      <c r="D529">
        <v>64240997</v>
      </c>
      <c r="E529">
        <v>56</v>
      </c>
      <c r="F529">
        <v>1</v>
      </c>
      <c r="G529">
        <v>1</v>
      </c>
      <c r="H529">
        <v>1</v>
      </c>
      <c r="I529" t="s">
        <v>874</v>
      </c>
      <c r="J529" t="s">
        <v>3</v>
      </c>
      <c r="K529" t="s">
        <v>875</v>
      </c>
      <c r="L529">
        <v>1191</v>
      </c>
      <c r="N529">
        <v>1013</v>
      </c>
      <c r="O529" t="s">
        <v>818</v>
      </c>
      <c r="P529" t="s">
        <v>818</v>
      </c>
      <c r="Q529">
        <v>1</v>
      </c>
      <c r="W529">
        <v>0</v>
      </c>
      <c r="X529">
        <v>-1027537862</v>
      </c>
      <c r="Y529">
        <v>100.77449999999999</v>
      </c>
      <c r="AA529">
        <v>0</v>
      </c>
      <c r="AB529">
        <v>0</v>
      </c>
      <c r="AC529">
        <v>0</v>
      </c>
      <c r="AD529">
        <v>9.18</v>
      </c>
      <c r="AE529">
        <v>0</v>
      </c>
      <c r="AF529">
        <v>0</v>
      </c>
      <c r="AG529">
        <v>0</v>
      </c>
      <c r="AH529">
        <v>9.18</v>
      </c>
      <c r="AI529">
        <v>1</v>
      </c>
      <c r="AJ529">
        <v>1</v>
      </c>
      <c r="AK529">
        <v>1</v>
      </c>
      <c r="AL529">
        <v>1</v>
      </c>
      <c r="AN529">
        <v>0</v>
      </c>
      <c r="AO529">
        <v>1</v>
      </c>
      <c r="AP529">
        <v>1</v>
      </c>
      <c r="AQ529">
        <v>0</v>
      </c>
      <c r="AR529">
        <v>0</v>
      </c>
      <c r="AS529" t="s">
        <v>3</v>
      </c>
      <c r="AT529">
        <v>87.63</v>
      </c>
      <c r="AU529" t="s">
        <v>38</v>
      </c>
      <c r="AV529">
        <v>1</v>
      </c>
      <c r="AW529">
        <v>2</v>
      </c>
      <c r="AX529">
        <v>68992528</v>
      </c>
      <c r="AY529">
        <v>1</v>
      </c>
      <c r="AZ529">
        <v>0</v>
      </c>
      <c r="BA529">
        <v>508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Y529*Source!I174</f>
        <v>4.0309799999999996</v>
      </c>
      <c r="CY529">
        <f>AD529</f>
        <v>9.18</v>
      </c>
      <c r="CZ529">
        <f>AH529</f>
        <v>9.18</v>
      </c>
      <c r="DA529">
        <f>AL529</f>
        <v>1</v>
      </c>
      <c r="DB529">
        <f>ROUND((ROUND(AT529*CZ529,2)*1.15),2)</f>
        <v>925.11</v>
      </c>
      <c r="DC529">
        <f>ROUND((ROUND(AT529*AG529,2)*1.15),2)</f>
        <v>0</v>
      </c>
    </row>
    <row r="530" spans="1:107" x14ac:dyDescent="0.2">
      <c r="A530">
        <f>ROW(Source!A174)</f>
        <v>174</v>
      </c>
      <c r="B530">
        <v>68990560</v>
      </c>
      <c r="C530">
        <v>68992527</v>
      </c>
      <c r="D530">
        <v>64402923</v>
      </c>
      <c r="E530">
        <v>1</v>
      </c>
      <c r="F530">
        <v>1</v>
      </c>
      <c r="G530">
        <v>1</v>
      </c>
      <c r="H530">
        <v>2</v>
      </c>
      <c r="I530" t="s">
        <v>886</v>
      </c>
      <c r="J530" t="s">
        <v>887</v>
      </c>
      <c r="K530" t="s">
        <v>888</v>
      </c>
      <c r="L530">
        <v>1368</v>
      </c>
      <c r="N530">
        <v>1011</v>
      </c>
      <c r="O530" t="s">
        <v>824</v>
      </c>
      <c r="P530" t="s">
        <v>824</v>
      </c>
      <c r="Q530">
        <v>1</v>
      </c>
      <c r="W530">
        <v>0</v>
      </c>
      <c r="X530">
        <v>1975152863</v>
      </c>
      <c r="Y530">
        <v>32.683</v>
      </c>
      <c r="AA530">
        <v>0</v>
      </c>
      <c r="AB530">
        <v>135.69</v>
      </c>
      <c r="AC530">
        <v>0</v>
      </c>
      <c r="AD530">
        <v>0</v>
      </c>
      <c r="AE530">
        <v>0</v>
      </c>
      <c r="AF530">
        <v>48.81</v>
      </c>
      <c r="AG530">
        <v>0</v>
      </c>
      <c r="AH530">
        <v>0</v>
      </c>
      <c r="AI530">
        <v>1</v>
      </c>
      <c r="AJ530">
        <v>2.78</v>
      </c>
      <c r="AK530">
        <v>33.65</v>
      </c>
      <c r="AL530">
        <v>1</v>
      </c>
      <c r="AN530">
        <v>0</v>
      </c>
      <c r="AO530">
        <v>1</v>
      </c>
      <c r="AP530">
        <v>1</v>
      </c>
      <c r="AQ530">
        <v>0</v>
      </c>
      <c r="AR530">
        <v>0</v>
      </c>
      <c r="AS530" t="s">
        <v>3</v>
      </c>
      <c r="AT530">
        <v>28.42</v>
      </c>
      <c r="AU530" t="s">
        <v>38</v>
      </c>
      <c r="AV530">
        <v>0</v>
      </c>
      <c r="AW530">
        <v>2</v>
      </c>
      <c r="AX530">
        <v>68992529</v>
      </c>
      <c r="AY530">
        <v>1</v>
      </c>
      <c r="AZ530">
        <v>0</v>
      </c>
      <c r="BA530">
        <v>509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Y530*Source!I174</f>
        <v>1.30732</v>
      </c>
      <c r="CY530">
        <f>AB530</f>
        <v>135.69</v>
      </c>
      <c r="CZ530">
        <f>AF530</f>
        <v>48.81</v>
      </c>
      <c r="DA530">
        <f>AJ530</f>
        <v>2.78</v>
      </c>
      <c r="DB530">
        <f>ROUND((ROUND(AT530*CZ530,2)*1.15),2)</f>
        <v>1595.26</v>
      </c>
      <c r="DC530">
        <f>ROUND((ROUND(AT530*AG530,2)*1.15),2)</f>
        <v>0</v>
      </c>
    </row>
    <row r="531" spans="1:107" x14ac:dyDescent="0.2">
      <c r="A531">
        <f>ROW(Source!A175)</f>
        <v>175</v>
      </c>
      <c r="B531">
        <v>68990560</v>
      </c>
      <c r="C531">
        <v>68992565</v>
      </c>
      <c r="D531">
        <v>64240979</v>
      </c>
      <c r="E531">
        <v>56</v>
      </c>
      <c r="F531">
        <v>1</v>
      </c>
      <c r="G531">
        <v>1</v>
      </c>
      <c r="H531">
        <v>1</v>
      </c>
      <c r="I531" t="s">
        <v>1045</v>
      </c>
      <c r="J531" t="s">
        <v>3</v>
      </c>
      <c r="K531" t="s">
        <v>1046</v>
      </c>
      <c r="L531">
        <v>1191</v>
      </c>
      <c r="N531">
        <v>1013</v>
      </c>
      <c r="O531" t="s">
        <v>818</v>
      </c>
      <c r="P531" t="s">
        <v>818</v>
      </c>
      <c r="Q531">
        <v>1</v>
      </c>
      <c r="W531">
        <v>0</v>
      </c>
      <c r="X531">
        <v>-784637506</v>
      </c>
      <c r="Y531">
        <v>200.1</v>
      </c>
      <c r="AA531">
        <v>0</v>
      </c>
      <c r="AB531">
        <v>0</v>
      </c>
      <c r="AC531">
        <v>0</v>
      </c>
      <c r="AD531">
        <v>8.74</v>
      </c>
      <c r="AE531">
        <v>0</v>
      </c>
      <c r="AF531">
        <v>0</v>
      </c>
      <c r="AG531">
        <v>0</v>
      </c>
      <c r="AH531">
        <v>8.74</v>
      </c>
      <c r="AI531">
        <v>1</v>
      </c>
      <c r="AJ531">
        <v>1</v>
      </c>
      <c r="AK531">
        <v>1</v>
      </c>
      <c r="AL531">
        <v>1</v>
      </c>
      <c r="AN531">
        <v>0</v>
      </c>
      <c r="AO531">
        <v>1</v>
      </c>
      <c r="AP531">
        <v>1</v>
      </c>
      <c r="AQ531">
        <v>0</v>
      </c>
      <c r="AR531">
        <v>0</v>
      </c>
      <c r="AS531" t="s">
        <v>3</v>
      </c>
      <c r="AT531">
        <v>174</v>
      </c>
      <c r="AU531" t="s">
        <v>38</v>
      </c>
      <c r="AV531">
        <v>1</v>
      </c>
      <c r="AW531">
        <v>2</v>
      </c>
      <c r="AX531">
        <v>68992566</v>
      </c>
      <c r="AY531">
        <v>1</v>
      </c>
      <c r="AZ531">
        <v>0</v>
      </c>
      <c r="BA531">
        <v>510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Y531*Source!I175</f>
        <v>48.2241</v>
      </c>
      <c r="CY531">
        <f>AD531</f>
        <v>8.74</v>
      </c>
      <c r="CZ531">
        <f>AH531</f>
        <v>8.74</v>
      </c>
      <c r="DA531">
        <f>AL531</f>
        <v>1</v>
      </c>
      <c r="DB531">
        <f>ROUND((ROUND(AT531*CZ531,2)*1.15),2)</f>
        <v>1748.87</v>
      </c>
      <c r="DC531">
        <f>ROUND((ROUND(AT531*AG531,2)*1.15),2)</f>
        <v>0</v>
      </c>
    </row>
    <row r="532" spans="1:107" x14ac:dyDescent="0.2">
      <c r="A532">
        <f>ROW(Source!A175)</f>
        <v>175</v>
      </c>
      <c r="B532">
        <v>68990560</v>
      </c>
      <c r="C532">
        <v>68992565</v>
      </c>
      <c r="D532">
        <v>64401902</v>
      </c>
      <c r="E532">
        <v>1</v>
      </c>
      <c r="F532">
        <v>1</v>
      </c>
      <c r="G532">
        <v>1</v>
      </c>
      <c r="H532">
        <v>2</v>
      </c>
      <c r="I532" t="s">
        <v>1112</v>
      </c>
      <c r="J532" t="s">
        <v>1113</v>
      </c>
      <c r="K532" t="s">
        <v>1114</v>
      </c>
      <c r="L532">
        <v>1368</v>
      </c>
      <c r="N532">
        <v>1011</v>
      </c>
      <c r="O532" t="s">
        <v>824</v>
      </c>
      <c r="P532" t="s">
        <v>824</v>
      </c>
      <c r="Q532">
        <v>1</v>
      </c>
      <c r="W532">
        <v>0</v>
      </c>
      <c r="X532">
        <v>1166455747</v>
      </c>
      <c r="Y532">
        <v>0.81649999999999989</v>
      </c>
      <c r="AA532">
        <v>0</v>
      </c>
      <c r="AB532">
        <v>7.63</v>
      </c>
      <c r="AC532">
        <v>0</v>
      </c>
      <c r="AD532">
        <v>0</v>
      </c>
      <c r="AE532">
        <v>0</v>
      </c>
      <c r="AF532">
        <v>1.7</v>
      </c>
      <c r="AG532">
        <v>0</v>
      </c>
      <c r="AH532">
        <v>0</v>
      </c>
      <c r="AI532">
        <v>1</v>
      </c>
      <c r="AJ532">
        <v>4.49</v>
      </c>
      <c r="AK532">
        <v>33.65</v>
      </c>
      <c r="AL532">
        <v>1</v>
      </c>
      <c r="AN532">
        <v>0</v>
      </c>
      <c r="AO532">
        <v>1</v>
      </c>
      <c r="AP532">
        <v>1</v>
      </c>
      <c r="AQ532">
        <v>0</v>
      </c>
      <c r="AR532">
        <v>0</v>
      </c>
      <c r="AS532" t="s">
        <v>3</v>
      </c>
      <c r="AT532">
        <v>0.71</v>
      </c>
      <c r="AU532" t="s">
        <v>38</v>
      </c>
      <c r="AV532">
        <v>0</v>
      </c>
      <c r="AW532">
        <v>2</v>
      </c>
      <c r="AX532">
        <v>68992567</v>
      </c>
      <c r="AY532">
        <v>1</v>
      </c>
      <c r="AZ532">
        <v>0</v>
      </c>
      <c r="BA532">
        <v>511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Y532*Source!I175</f>
        <v>0.19677649999999997</v>
      </c>
      <c r="CY532">
        <f>AB532</f>
        <v>7.63</v>
      </c>
      <c r="CZ532">
        <f>AF532</f>
        <v>1.7</v>
      </c>
      <c r="DA532">
        <f>AJ532</f>
        <v>4.49</v>
      </c>
      <c r="DB532">
        <f>ROUND((ROUND(AT532*CZ532,2)*1.15),2)</f>
        <v>1.39</v>
      </c>
      <c r="DC532">
        <f>ROUND((ROUND(AT532*AG532,2)*1.15),2)</f>
        <v>0</v>
      </c>
    </row>
    <row r="533" spans="1:107" x14ac:dyDescent="0.2">
      <c r="A533">
        <f>ROW(Source!A175)</f>
        <v>175</v>
      </c>
      <c r="B533">
        <v>68990560</v>
      </c>
      <c r="C533">
        <v>68992565</v>
      </c>
      <c r="D533">
        <v>64252759</v>
      </c>
      <c r="E533">
        <v>1</v>
      </c>
      <c r="F533">
        <v>1</v>
      </c>
      <c r="G533">
        <v>1</v>
      </c>
      <c r="H533">
        <v>3</v>
      </c>
      <c r="I533" t="s">
        <v>988</v>
      </c>
      <c r="J533" t="s">
        <v>989</v>
      </c>
      <c r="K533" t="s">
        <v>990</v>
      </c>
      <c r="L533">
        <v>1339</v>
      </c>
      <c r="N533">
        <v>1007</v>
      </c>
      <c r="O533" t="s">
        <v>113</v>
      </c>
      <c r="P533" t="s">
        <v>113</v>
      </c>
      <c r="Q533">
        <v>1</v>
      </c>
      <c r="W533">
        <v>0</v>
      </c>
      <c r="X533">
        <v>-1161832183</v>
      </c>
      <c r="Y533">
        <v>0.35</v>
      </c>
      <c r="AA533">
        <v>31.18</v>
      </c>
      <c r="AB533">
        <v>0</v>
      </c>
      <c r="AC533">
        <v>0</v>
      </c>
      <c r="AD533">
        <v>0</v>
      </c>
      <c r="AE533">
        <v>2.44</v>
      </c>
      <c r="AF533">
        <v>0</v>
      </c>
      <c r="AG533">
        <v>0</v>
      </c>
      <c r="AH533">
        <v>0</v>
      </c>
      <c r="AI533">
        <v>12.78</v>
      </c>
      <c r="AJ533">
        <v>1</v>
      </c>
      <c r="AK533">
        <v>1</v>
      </c>
      <c r="AL533">
        <v>1</v>
      </c>
      <c r="AN533">
        <v>0</v>
      </c>
      <c r="AO533">
        <v>1</v>
      </c>
      <c r="AP533">
        <v>0</v>
      </c>
      <c r="AQ533">
        <v>0</v>
      </c>
      <c r="AR533">
        <v>0</v>
      </c>
      <c r="AS533" t="s">
        <v>3</v>
      </c>
      <c r="AT533">
        <v>0.35</v>
      </c>
      <c r="AU533" t="s">
        <v>3</v>
      </c>
      <c r="AV533">
        <v>0</v>
      </c>
      <c r="AW533">
        <v>2</v>
      </c>
      <c r="AX533">
        <v>68992568</v>
      </c>
      <c r="AY533">
        <v>1</v>
      </c>
      <c r="AZ533">
        <v>0</v>
      </c>
      <c r="BA533">
        <v>512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Y533*Source!I175</f>
        <v>8.4349999999999994E-2</v>
      </c>
      <c r="CY533">
        <f>AA533</f>
        <v>31.18</v>
      </c>
      <c r="CZ533">
        <f>AE533</f>
        <v>2.44</v>
      </c>
      <c r="DA533">
        <f>AI533</f>
        <v>12.78</v>
      </c>
      <c r="DB533">
        <f>ROUND(ROUND(AT533*CZ533,2),2)</f>
        <v>0.85</v>
      </c>
      <c r="DC533">
        <f>ROUND(ROUND(AT533*AG533,2),2)</f>
        <v>0</v>
      </c>
    </row>
    <row r="534" spans="1:107" x14ac:dyDescent="0.2">
      <c r="A534">
        <f>ROW(Source!A175)</f>
        <v>175</v>
      </c>
      <c r="B534">
        <v>68990560</v>
      </c>
      <c r="C534">
        <v>68992565</v>
      </c>
      <c r="D534">
        <v>64258015</v>
      </c>
      <c r="E534">
        <v>1</v>
      </c>
      <c r="F534">
        <v>1</v>
      </c>
      <c r="G534">
        <v>1</v>
      </c>
      <c r="H534">
        <v>3</v>
      </c>
      <c r="I534" t="s">
        <v>1248</v>
      </c>
      <c r="J534" t="s">
        <v>1249</v>
      </c>
      <c r="K534" t="s">
        <v>1250</v>
      </c>
      <c r="L534">
        <v>1339</v>
      </c>
      <c r="N534">
        <v>1007</v>
      </c>
      <c r="O534" t="s">
        <v>113</v>
      </c>
      <c r="P534" t="s">
        <v>113</v>
      </c>
      <c r="Q534">
        <v>1</v>
      </c>
      <c r="W534">
        <v>0</v>
      </c>
      <c r="X534">
        <v>-1315464366</v>
      </c>
      <c r="Y534">
        <v>2.2000000000000002</v>
      </c>
      <c r="AA534">
        <v>3262.83</v>
      </c>
      <c r="AB534">
        <v>0</v>
      </c>
      <c r="AC534">
        <v>0</v>
      </c>
      <c r="AD534">
        <v>0</v>
      </c>
      <c r="AE534">
        <v>517.91</v>
      </c>
      <c r="AF534">
        <v>0</v>
      </c>
      <c r="AG534">
        <v>0</v>
      </c>
      <c r="AH534">
        <v>0</v>
      </c>
      <c r="AI534">
        <v>6.3</v>
      </c>
      <c r="AJ534">
        <v>1</v>
      </c>
      <c r="AK534">
        <v>1</v>
      </c>
      <c r="AL534">
        <v>1</v>
      </c>
      <c r="AN534">
        <v>0</v>
      </c>
      <c r="AO534">
        <v>1</v>
      </c>
      <c r="AP534">
        <v>0</v>
      </c>
      <c r="AQ534">
        <v>0</v>
      </c>
      <c r="AR534">
        <v>0</v>
      </c>
      <c r="AS534" t="s">
        <v>3</v>
      </c>
      <c r="AT534">
        <v>2.2000000000000002</v>
      </c>
      <c r="AU534" t="s">
        <v>3</v>
      </c>
      <c r="AV534">
        <v>0</v>
      </c>
      <c r="AW534">
        <v>2</v>
      </c>
      <c r="AX534">
        <v>68992569</v>
      </c>
      <c r="AY534">
        <v>1</v>
      </c>
      <c r="AZ534">
        <v>0</v>
      </c>
      <c r="BA534">
        <v>513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Y534*Source!I175</f>
        <v>0.5302</v>
      </c>
      <c r="CY534">
        <f>AA534</f>
        <v>3262.83</v>
      </c>
      <c r="CZ534">
        <f>AE534</f>
        <v>517.91</v>
      </c>
      <c r="DA534">
        <f>AI534</f>
        <v>6.3</v>
      </c>
      <c r="DB534">
        <f>ROUND(ROUND(AT534*CZ534,2),2)</f>
        <v>1139.4000000000001</v>
      </c>
      <c r="DC534">
        <f>ROUND(ROUND(AT534*AG534,2),2)</f>
        <v>0</v>
      </c>
    </row>
    <row r="535" spans="1:107" x14ac:dyDescent="0.2">
      <c r="A535">
        <f>ROW(Source!A175)</f>
        <v>175</v>
      </c>
      <c r="B535">
        <v>68990560</v>
      </c>
      <c r="C535">
        <v>68992565</v>
      </c>
      <c r="D535">
        <v>64245578</v>
      </c>
      <c r="E535">
        <v>56</v>
      </c>
      <c r="F535">
        <v>1</v>
      </c>
      <c r="G535">
        <v>1</v>
      </c>
      <c r="H535">
        <v>3</v>
      </c>
      <c r="I535" t="s">
        <v>69</v>
      </c>
      <c r="J535" t="s">
        <v>3</v>
      </c>
      <c r="K535" t="s">
        <v>70</v>
      </c>
      <c r="L535">
        <v>1348</v>
      </c>
      <c r="N535">
        <v>1009</v>
      </c>
      <c r="O535" t="s">
        <v>71</v>
      </c>
      <c r="P535" t="s">
        <v>71</v>
      </c>
      <c r="Q535">
        <v>1000</v>
      </c>
      <c r="W535">
        <v>0</v>
      </c>
      <c r="X535">
        <v>2102561428</v>
      </c>
      <c r="Y535">
        <v>4.8099999999999996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1</v>
      </c>
      <c r="AJ535">
        <v>1</v>
      </c>
      <c r="AK535">
        <v>1</v>
      </c>
      <c r="AL535">
        <v>1</v>
      </c>
      <c r="AN535">
        <v>0</v>
      </c>
      <c r="AO535">
        <v>0</v>
      </c>
      <c r="AP535">
        <v>0</v>
      </c>
      <c r="AQ535">
        <v>0</v>
      </c>
      <c r="AR535">
        <v>0</v>
      </c>
      <c r="AS535" t="s">
        <v>3</v>
      </c>
      <c r="AT535">
        <v>4.8099999999999996</v>
      </c>
      <c r="AU535" t="s">
        <v>3</v>
      </c>
      <c r="AV535">
        <v>0</v>
      </c>
      <c r="AW535">
        <v>2</v>
      </c>
      <c r="AX535">
        <v>68992570</v>
      </c>
      <c r="AY535">
        <v>1</v>
      </c>
      <c r="AZ535">
        <v>0</v>
      </c>
      <c r="BA535">
        <v>514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Y535*Source!I175</f>
        <v>1.1592099999999999</v>
      </c>
      <c r="CY535">
        <f>AA535</f>
        <v>0</v>
      </c>
      <c r="CZ535">
        <f>AE535</f>
        <v>0</v>
      </c>
      <c r="DA535">
        <f>AI535</f>
        <v>1</v>
      </c>
      <c r="DB535">
        <f>ROUND(ROUND(AT535*CZ535,2),2)</f>
        <v>0</v>
      </c>
      <c r="DC535">
        <f>ROUND(ROUND(AT535*AG535,2),2)</f>
        <v>0</v>
      </c>
    </row>
    <row r="536" spans="1:107" x14ac:dyDescent="0.2">
      <c r="A536">
        <f>ROW(Source!A177)</f>
        <v>177</v>
      </c>
      <c r="B536">
        <v>68990560</v>
      </c>
      <c r="C536">
        <v>68992530</v>
      </c>
      <c r="D536">
        <v>37071037</v>
      </c>
      <c r="E536">
        <v>56</v>
      </c>
      <c r="F536">
        <v>1</v>
      </c>
      <c r="G536">
        <v>1</v>
      </c>
      <c r="H536">
        <v>1</v>
      </c>
      <c r="I536" t="s">
        <v>840</v>
      </c>
      <c r="J536" t="s">
        <v>3</v>
      </c>
      <c r="K536" t="s">
        <v>841</v>
      </c>
      <c r="L536">
        <v>1191</v>
      </c>
      <c r="N536">
        <v>1013</v>
      </c>
      <c r="O536" t="s">
        <v>818</v>
      </c>
      <c r="P536" t="s">
        <v>818</v>
      </c>
      <c r="Q536">
        <v>1</v>
      </c>
      <c r="W536">
        <v>0</v>
      </c>
      <c r="X536">
        <v>1069510174</v>
      </c>
      <c r="Y536">
        <v>94.85775000000001</v>
      </c>
      <c r="AA536">
        <v>0</v>
      </c>
      <c r="AB536">
        <v>0</v>
      </c>
      <c r="AC536">
        <v>0</v>
      </c>
      <c r="AD536">
        <v>9.6199999999999992</v>
      </c>
      <c r="AE536">
        <v>0</v>
      </c>
      <c r="AF536">
        <v>0</v>
      </c>
      <c r="AG536">
        <v>0</v>
      </c>
      <c r="AH536">
        <v>9.6199999999999992</v>
      </c>
      <c r="AI536">
        <v>1</v>
      </c>
      <c r="AJ536">
        <v>1</v>
      </c>
      <c r="AK536">
        <v>1</v>
      </c>
      <c r="AL536">
        <v>1</v>
      </c>
      <c r="AN536">
        <v>0</v>
      </c>
      <c r="AO536">
        <v>1</v>
      </c>
      <c r="AP536">
        <v>1</v>
      </c>
      <c r="AQ536">
        <v>0</v>
      </c>
      <c r="AR536">
        <v>0</v>
      </c>
      <c r="AS536" t="s">
        <v>3</v>
      </c>
      <c r="AT536">
        <v>61.1</v>
      </c>
      <c r="AU536" t="s">
        <v>456</v>
      </c>
      <c r="AV536">
        <v>1</v>
      </c>
      <c r="AW536">
        <v>2</v>
      </c>
      <c r="AX536">
        <v>68992537</v>
      </c>
      <c r="AY536">
        <v>1</v>
      </c>
      <c r="AZ536">
        <v>0</v>
      </c>
      <c r="BA536">
        <v>515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Y536*Source!I177</f>
        <v>22.860717750000003</v>
      </c>
      <c r="CY536">
        <f>AD536</f>
        <v>9.6199999999999992</v>
      </c>
      <c r="CZ536">
        <f>AH536</f>
        <v>9.6199999999999992</v>
      </c>
      <c r="DA536">
        <f>AL536</f>
        <v>1</v>
      </c>
      <c r="DB536">
        <f>ROUND(((ROUND(AT536*CZ536,2)*1.35)*1.15),2)</f>
        <v>912.53</v>
      </c>
      <c r="DC536">
        <f>ROUND(((ROUND(AT536*AG536,2)*1.35)*1.15),2)</f>
        <v>0</v>
      </c>
    </row>
    <row r="537" spans="1:107" x14ac:dyDescent="0.2">
      <c r="A537">
        <f>ROW(Source!A177)</f>
        <v>177</v>
      </c>
      <c r="B537">
        <v>68990560</v>
      </c>
      <c r="C537">
        <v>68992530</v>
      </c>
      <c r="D537">
        <v>37064876</v>
      </c>
      <c r="E537">
        <v>56</v>
      </c>
      <c r="F537">
        <v>1</v>
      </c>
      <c r="G537">
        <v>1</v>
      </c>
      <c r="H537">
        <v>1</v>
      </c>
      <c r="I537" t="s">
        <v>819</v>
      </c>
      <c r="J537" t="s">
        <v>3</v>
      </c>
      <c r="K537" t="s">
        <v>820</v>
      </c>
      <c r="L537">
        <v>1191</v>
      </c>
      <c r="N537">
        <v>1013</v>
      </c>
      <c r="O537" t="s">
        <v>818</v>
      </c>
      <c r="P537" t="s">
        <v>818</v>
      </c>
      <c r="Q537">
        <v>1</v>
      </c>
      <c r="W537">
        <v>0</v>
      </c>
      <c r="X537">
        <v>-1417349443</v>
      </c>
      <c r="Y537">
        <v>4.0500000000000007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1</v>
      </c>
      <c r="AJ537">
        <v>1</v>
      </c>
      <c r="AK537">
        <v>1</v>
      </c>
      <c r="AL537">
        <v>1</v>
      </c>
      <c r="AN537">
        <v>0</v>
      </c>
      <c r="AO537">
        <v>1</v>
      </c>
      <c r="AP537">
        <v>1</v>
      </c>
      <c r="AQ537">
        <v>0</v>
      </c>
      <c r="AR537">
        <v>0</v>
      </c>
      <c r="AS537" t="s">
        <v>3</v>
      </c>
      <c r="AT537">
        <v>2.4</v>
      </c>
      <c r="AU537" t="s">
        <v>455</v>
      </c>
      <c r="AV537">
        <v>2</v>
      </c>
      <c r="AW537">
        <v>2</v>
      </c>
      <c r="AX537">
        <v>68992538</v>
      </c>
      <c r="AY537">
        <v>1</v>
      </c>
      <c r="AZ537">
        <v>0</v>
      </c>
      <c r="BA537">
        <v>516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Y537*Source!I177</f>
        <v>0.97605000000000008</v>
      </c>
      <c r="CY537">
        <f>AD537</f>
        <v>0</v>
      </c>
      <c r="CZ537">
        <f>AH537</f>
        <v>0</v>
      </c>
      <c r="DA537">
        <f>AL537</f>
        <v>1</v>
      </c>
      <c r="DB537">
        <f>ROUND(((ROUND(AT537*CZ537,2)*1.35)*1.25),2)</f>
        <v>0</v>
      </c>
      <c r="DC537">
        <f>ROUND(((ROUND(AT537*AG537,2)*1.35)*1.25),2)</f>
        <v>0</v>
      </c>
    </row>
    <row r="538" spans="1:107" x14ac:dyDescent="0.2">
      <c r="A538">
        <f>ROW(Source!A177)</f>
        <v>177</v>
      </c>
      <c r="B538">
        <v>68990560</v>
      </c>
      <c r="C538">
        <v>68992530</v>
      </c>
      <c r="D538">
        <v>64401903</v>
      </c>
      <c r="E538">
        <v>1</v>
      </c>
      <c r="F538">
        <v>1</v>
      </c>
      <c r="G538">
        <v>1</v>
      </c>
      <c r="H538">
        <v>2</v>
      </c>
      <c r="I538" t="s">
        <v>1251</v>
      </c>
      <c r="J538" t="s">
        <v>1252</v>
      </c>
      <c r="K538" t="s">
        <v>1253</v>
      </c>
      <c r="L538">
        <v>1368</v>
      </c>
      <c r="N538">
        <v>1011</v>
      </c>
      <c r="O538" t="s">
        <v>824</v>
      </c>
      <c r="P538" t="s">
        <v>824</v>
      </c>
      <c r="Q538">
        <v>1</v>
      </c>
      <c r="W538">
        <v>0</v>
      </c>
      <c r="X538">
        <v>5779960</v>
      </c>
      <c r="Y538">
        <v>1.51875</v>
      </c>
      <c r="AA538">
        <v>0</v>
      </c>
      <c r="AB538">
        <v>14.1</v>
      </c>
      <c r="AC538">
        <v>0</v>
      </c>
      <c r="AD538">
        <v>0</v>
      </c>
      <c r="AE538">
        <v>0</v>
      </c>
      <c r="AF538">
        <v>3.28</v>
      </c>
      <c r="AG538">
        <v>0</v>
      </c>
      <c r="AH538">
        <v>0</v>
      </c>
      <c r="AI538">
        <v>1</v>
      </c>
      <c r="AJ538">
        <v>4.3</v>
      </c>
      <c r="AK538">
        <v>33.65</v>
      </c>
      <c r="AL538">
        <v>1</v>
      </c>
      <c r="AN538">
        <v>0</v>
      </c>
      <c r="AO538">
        <v>1</v>
      </c>
      <c r="AP538">
        <v>1</v>
      </c>
      <c r="AQ538">
        <v>0</v>
      </c>
      <c r="AR538">
        <v>0</v>
      </c>
      <c r="AS538" t="s">
        <v>3</v>
      </c>
      <c r="AT538">
        <v>0.9</v>
      </c>
      <c r="AU538" t="s">
        <v>455</v>
      </c>
      <c r="AV538">
        <v>0</v>
      </c>
      <c r="AW538">
        <v>2</v>
      </c>
      <c r="AX538">
        <v>68992539</v>
      </c>
      <c r="AY538">
        <v>1</v>
      </c>
      <c r="AZ538">
        <v>0</v>
      </c>
      <c r="BA538">
        <v>517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Y538*Source!I177</f>
        <v>0.36601875</v>
      </c>
      <c r="CY538">
        <f>AB538</f>
        <v>14.1</v>
      </c>
      <c r="CZ538">
        <f>AF538</f>
        <v>3.28</v>
      </c>
      <c r="DA538">
        <f>AJ538</f>
        <v>4.3</v>
      </c>
      <c r="DB538">
        <f>ROUND(((ROUND(AT538*CZ538,2)*1.35)*1.25),2)</f>
        <v>4.9800000000000004</v>
      </c>
      <c r="DC538">
        <f>ROUND(((ROUND(AT538*AG538,2)*1.35)*1.25),2)</f>
        <v>0</v>
      </c>
    </row>
    <row r="539" spans="1:107" x14ac:dyDescent="0.2">
      <c r="A539">
        <f>ROW(Source!A177)</f>
        <v>177</v>
      </c>
      <c r="B539">
        <v>68990560</v>
      </c>
      <c r="C539">
        <v>68992530</v>
      </c>
      <c r="D539">
        <v>64402073</v>
      </c>
      <c r="E539">
        <v>1</v>
      </c>
      <c r="F539">
        <v>1</v>
      </c>
      <c r="G539">
        <v>1</v>
      </c>
      <c r="H539">
        <v>2</v>
      </c>
      <c r="I539" t="s">
        <v>1254</v>
      </c>
      <c r="J539" t="s">
        <v>1255</v>
      </c>
      <c r="K539" t="s">
        <v>1256</v>
      </c>
      <c r="L539">
        <v>1368</v>
      </c>
      <c r="N539">
        <v>1011</v>
      </c>
      <c r="O539" t="s">
        <v>824</v>
      </c>
      <c r="P539" t="s">
        <v>824</v>
      </c>
      <c r="Q539">
        <v>1</v>
      </c>
      <c r="W539">
        <v>0</v>
      </c>
      <c r="X539">
        <v>1725291453</v>
      </c>
      <c r="Y539">
        <v>4.0500000000000007</v>
      </c>
      <c r="AA539">
        <v>0</v>
      </c>
      <c r="AB539">
        <v>413.54</v>
      </c>
      <c r="AC539">
        <v>299.82</v>
      </c>
      <c r="AD539">
        <v>0</v>
      </c>
      <c r="AE539">
        <v>0</v>
      </c>
      <c r="AF539">
        <v>17.559999999999999</v>
      </c>
      <c r="AG539">
        <v>8.91</v>
      </c>
      <c r="AH539">
        <v>0</v>
      </c>
      <c r="AI539">
        <v>1</v>
      </c>
      <c r="AJ539">
        <v>23.55</v>
      </c>
      <c r="AK539">
        <v>33.65</v>
      </c>
      <c r="AL539">
        <v>1</v>
      </c>
      <c r="AN539">
        <v>0</v>
      </c>
      <c r="AO539">
        <v>1</v>
      </c>
      <c r="AP539">
        <v>1</v>
      </c>
      <c r="AQ539">
        <v>0</v>
      </c>
      <c r="AR539">
        <v>0</v>
      </c>
      <c r="AS539" t="s">
        <v>3</v>
      </c>
      <c r="AT539">
        <v>2.4</v>
      </c>
      <c r="AU539" t="s">
        <v>455</v>
      </c>
      <c r="AV539">
        <v>0</v>
      </c>
      <c r="AW539">
        <v>2</v>
      </c>
      <c r="AX539">
        <v>68992540</v>
      </c>
      <c r="AY539">
        <v>1</v>
      </c>
      <c r="AZ539">
        <v>0</v>
      </c>
      <c r="BA539">
        <v>518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Y539*Source!I177</f>
        <v>0.97605000000000008</v>
      </c>
      <c r="CY539">
        <f>AB539</f>
        <v>413.54</v>
      </c>
      <c r="CZ539">
        <f>AF539</f>
        <v>17.559999999999999</v>
      </c>
      <c r="DA539">
        <f>AJ539</f>
        <v>23.55</v>
      </c>
      <c r="DB539">
        <f>ROUND(((ROUND(AT539*CZ539,2)*1.35)*1.25),2)</f>
        <v>71.11</v>
      </c>
      <c r="DC539">
        <f>ROUND(((ROUND(AT539*AG539,2)*1.35)*1.25),2)</f>
        <v>36.08</v>
      </c>
    </row>
    <row r="540" spans="1:107" x14ac:dyDescent="0.2">
      <c r="A540">
        <f>ROW(Source!A177)</f>
        <v>177</v>
      </c>
      <c r="B540">
        <v>68990560</v>
      </c>
      <c r="C540">
        <v>68992530</v>
      </c>
      <c r="D540">
        <v>64252759</v>
      </c>
      <c r="E540">
        <v>1</v>
      </c>
      <c r="F540">
        <v>1</v>
      </c>
      <c r="G540">
        <v>1</v>
      </c>
      <c r="H540">
        <v>3</v>
      </c>
      <c r="I540" t="s">
        <v>988</v>
      </c>
      <c r="J540" t="s">
        <v>989</v>
      </c>
      <c r="K540" t="s">
        <v>990</v>
      </c>
      <c r="L540">
        <v>1339</v>
      </c>
      <c r="N540">
        <v>1007</v>
      </c>
      <c r="O540" t="s">
        <v>113</v>
      </c>
      <c r="P540" t="s">
        <v>113</v>
      </c>
      <c r="Q540">
        <v>1</v>
      </c>
      <c r="W540">
        <v>0</v>
      </c>
      <c r="X540">
        <v>-1161832183</v>
      </c>
      <c r="Y540">
        <v>0.35</v>
      </c>
      <c r="AA540">
        <v>31.18</v>
      </c>
      <c r="AB540">
        <v>0</v>
      </c>
      <c r="AC540">
        <v>0</v>
      </c>
      <c r="AD540">
        <v>0</v>
      </c>
      <c r="AE540">
        <v>2.44</v>
      </c>
      <c r="AF540">
        <v>0</v>
      </c>
      <c r="AG540">
        <v>0</v>
      </c>
      <c r="AH540">
        <v>0</v>
      </c>
      <c r="AI540">
        <v>12.78</v>
      </c>
      <c r="AJ540">
        <v>1</v>
      </c>
      <c r="AK540">
        <v>1</v>
      </c>
      <c r="AL540">
        <v>1</v>
      </c>
      <c r="AN540">
        <v>0</v>
      </c>
      <c r="AO540">
        <v>1</v>
      </c>
      <c r="AP540">
        <v>0</v>
      </c>
      <c r="AQ540">
        <v>0</v>
      </c>
      <c r="AR540">
        <v>0</v>
      </c>
      <c r="AS540" t="s">
        <v>3</v>
      </c>
      <c r="AT540">
        <v>0.35</v>
      </c>
      <c r="AU540" t="s">
        <v>3</v>
      </c>
      <c r="AV540">
        <v>0</v>
      </c>
      <c r="AW540">
        <v>2</v>
      </c>
      <c r="AX540">
        <v>68992541</v>
      </c>
      <c r="AY540">
        <v>1</v>
      </c>
      <c r="AZ540">
        <v>0</v>
      </c>
      <c r="BA540">
        <v>519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Y540*Source!I177</f>
        <v>8.4349999999999994E-2</v>
      </c>
      <c r="CY540">
        <f>AA540</f>
        <v>31.18</v>
      </c>
      <c r="CZ540">
        <f>AE540</f>
        <v>2.44</v>
      </c>
      <c r="DA540">
        <f>AI540</f>
        <v>12.78</v>
      </c>
      <c r="DB540">
        <f>ROUND(ROUND(AT540*CZ540,2),2)</f>
        <v>0.85</v>
      </c>
      <c r="DC540">
        <f>ROUND(ROUND(AT540*AG540,2),2)</f>
        <v>0</v>
      </c>
    </row>
    <row r="541" spans="1:107" x14ac:dyDescent="0.2">
      <c r="A541">
        <f>ROW(Source!A177)</f>
        <v>177</v>
      </c>
      <c r="B541">
        <v>68990560</v>
      </c>
      <c r="C541">
        <v>68992530</v>
      </c>
      <c r="D541">
        <v>64258015</v>
      </c>
      <c r="E541">
        <v>1</v>
      </c>
      <c r="F541">
        <v>1</v>
      </c>
      <c r="G541">
        <v>1</v>
      </c>
      <c r="H541">
        <v>3</v>
      </c>
      <c r="I541" t="s">
        <v>1248</v>
      </c>
      <c r="J541" t="s">
        <v>1249</v>
      </c>
      <c r="K541" t="s">
        <v>1250</v>
      </c>
      <c r="L541">
        <v>1339</v>
      </c>
      <c r="N541">
        <v>1007</v>
      </c>
      <c r="O541" t="s">
        <v>113</v>
      </c>
      <c r="P541" t="s">
        <v>113</v>
      </c>
      <c r="Q541">
        <v>1</v>
      </c>
      <c r="W541">
        <v>0</v>
      </c>
      <c r="X541">
        <v>-1315464366</v>
      </c>
      <c r="Y541">
        <v>1.89</v>
      </c>
      <c r="AA541">
        <v>3262.83</v>
      </c>
      <c r="AB541">
        <v>0</v>
      </c>
      <c r="AC541">
        <v>0</v>
      </c>
      <c r="AD541">
        <v>0</v>
      </c>
      <c r="AE541">
        <v>517.91</v>
      </c>
      <c r="AF541">
        <v>0</v>
      </c>
      <c r="AG541">
        <v>0</v>
      </c>
      <c r="AH541">
        <v>0</v>
      </c>
      <c r="AI541">
        <v>6.3</v>
      </c>
      <c r="AJ541">
        <v>1</v>
      </c>
      <c r="AK541">
        <v>1</v>
      </c>
      <c r="AL541">
        <v>1</v>
      </c>
      <c r="AN541">
        <v>0</v>
      </c>
      <c r="AO541">
        <v>1</v>
      </c>
      <c r="AP541">
        <v>0</v>
      </c>
      <c r="AQ541">
        <v>0</v>
      </c>
      <c r="AR541">
        <v>0</v>
      </c>
      <c r="AS541" t="s">
        <v>3</v>
      </c>
      <c r="AT541">
        <v>1.89</v>
      </c>
      <c r="AU541" t="s">
        <v>3</v>
      </c>
      <c r="AV541">
        <v>0</v>
      </c>
      <c r="AW541">
        <v>2</v>
      </c>
      <c r="AX541">
        <v>68992542</v>
      </c>
      <c r="AY541">
        <v>1</v>
      </c>
      <c r="AZ541">
        <v>0</v>
      </c>
      <c r="BA541">
        <v>520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Y541*Source!I177</f>
        <v>0.45548999999999995</v>
      </c>
      <c r="CY541">
        <f>AA541</f>
        <v>3262.83</v>
      </c>
      <c r="CZ541">
        <f>AE541</f>
        <v>517.91</v>
      </c>
      <c r="DA541">
        <f>AI541</f>
        <v>6.3</v>
      </c>
      <c r="DB541">
        <f>ROUND(ROUND(AT541*CZ541,2),2)</f>
        <v>978.85</v>
      </c>
      <c r="DC541">
        <f>ROUND(ROUND(AT541*AG541,2),2)</f>
        <v>0</v>
      </c>
    </row>
    <row r="542" spans="1:107" x14ac:dyDescent="0.2">
      <c r="A542">
        <f>ROW(Source!A178)</f>
        <v>178</v>
      </c>
      <c r="B542">
        <v>68990560</v>
      </c>
      <c r="C542">
        <v>68992543</v>
      </c>
      <c r="D542">
        <v>37070164</v>
      </c>
      <c r="E542">
        <v>56</v>
      </c>
      <c r="F542">
        <v>1</v>
      </c>
      <c r="G542">
        <v>1</v>
      </c>
      <c r="H542">
        <v>1</v>
      </c>
      <c r="I542" t="s">
        <v>1077</v>
      </c>
      <c r="J542" t="s">
        <v>3</v>
      </c>
      <c r="K542" t="s">
        <v>1078</v>
      </c>
      <c r="L542">
        <v>1191</v>
      </c>
      <c r="N542">
        <v>1013</v>
      </c>
      <c r="O542" t="s">
        <v>818</v>
      </c>
      <c r="P542" t="s">
        <v>818</v>
      </c>
      <c r="Q542">
        <v>1</v>
      </c>
      <c r="W542">
        <v>0</v>
      </c>
      <c r="X542">
        <v>-598469600</v>
      </c>
      <c r="Y542">
        <v>21.424500000000002</v>
      </c>
      <c r="AA542">
        <v>0</v>
      </c>
      <c r="AB542">
        <v>0</v>
      </c>
      <c r="AC542">
        <v>0</v>
      </c>
      <c r="AD542">
        <v>9.2899999999999991</v>
      </c>
      <c r="AE542">
        <v>0</v>
      </c>
      <c r="AF542">
        <v>0</v>
      </c>
      <c r="AG542">
        <v>0</v>
      </c>
      <c r="AH542">
        <v>9.2899999999999991</v>
      </c>
      <c r="AI542">
        <v>1</v>
      </c>
      <c r="AJ542">
        <v>1</v>
      </c>
      <c r="AK542">
        <v>1</v>
      </c>
      <c r="AL542">
        <v>1</v>
      </c>
      <c r="AN542">
        <v>0</v>
      </c>
      <c r="AO542">
        <v>1</v>
      </c>
      <c r="AP542">
        <v>1</v>
      </c>
      <c r="AQ542">
        <v>0</v>
      </c>
      <c r="AR542">
        <v>0</v>
      </c>
      <c r="AS542" t="s">
        <v>3</v>
      </c>
      <c r="AT542">
        <v>13.8</v>
      </c>
      <c r="AU542" t="s">
        <v>456</v>
      </c>
      <c r="AV542">
        <v>1</v>
      </c>
      <c r="AW542">
        <v>2</v>
      </c>
      <c r="AX542">
        <v>68992553</v>
      </c>
      <c r="AY542">
        <v>1</v>
      </c>
      <c r="AZ542">
        <v>0</v>
      </c>
      <c r="BA542">
        <v>521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Y542*Source!I178</f>
        <v>5.1633045000000006</v>
      </c>
      <c r="CY542">
        <f>AD542</f>
        <v>9.2899999999999991</v>
      </c>
      <c r="CZ542">
        <f>AH542</f>
        <v>9.2899999999999991</v>
      </c>
      <c r="DA542">
        <f>AL542</f>
        <v>1</v>
      </c>
      <c r="DB542">
        <f>ROUND(((ROUND(AT542*CZ542,2)*1.35)*1.15),2)</f>
        <v>199.03</v>
      </c>
      <c r="DC542">
        <f>ROUND(((ROUND(AT542*AG542,2)*1.35)*1.15),2)</f>
        <v>0</v>
      </c>
    </row>
    <row r="543" spans="1:107" x14ac:dyDescent="0.2">
      <c r="A543">
        <f>ROW(Source!A178)</f>
        <v>178</v>
      </c>
      <c r="B543">
        <v>68990560</v>
      </c>
      <c r="C543">
        <v>68992543</v>
      </c>
      <c r="D543">
        <v>37064876</v>
      </c>
      <c r="E543">
        <v>56</v>
      </c>
      <c r="F543">
        <v>1</v>
      </c>
      <c r="G543">
        <v>1</v>
      </c>
      <c r="H543">
        <v>1</v>
      </c>
      <c r="I543" t="s">
        <v>819</v>
      </c>
      <c r="J543" t="s">
        <v>3</v>
      </c>
      <c r="K543" t="s">
        <v>820</v>
      </c>
      <c r="L543">
        <v>1191</v>
      </c>
      <c r="N543">
        <v>1013</v>
      </c>
      <c r="O543" t="s">
        <v>818</v>
      </c>
      <c r="P543" t="s">
        <v>818</v>
      </c>
      <c r="Q543">
        <v>1</v>
      </c>
      <c r="W543">
        <v>0</v>
      </c>
      <c r="X543">
        <v>-1417349443</v>
      </c>
      <c r="Y543">
        <v>0.13500000000000001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1</v>
      </c>
      <c r="AJ543">
        <v>1</v>
      </c>
      <c r="AK543">
        <v>1</v>
      </c>
      <c r="AL543">
        <v>1</v>
      </c>
      <c r="AN543">
        <v>0</v>
      </c>
      <c r="AO543">
        <v>1</v>
      </c>
      <c r="AP543">
        <v>1</v>
      </c>
      <c r="AQ543">
        <v>0</v>
      </c>
      <c r="AR543">
        <v>0</v>
      </c>
      <c r="AS543" t="s">
        <v>3</v>
      </c>
      <c r="AT543">
        <v>0.08</v>
      </c>
      <c r="AU543" t="s">
        <v>455</v>
      </c>
      <c r="AV543">
        <v>2</v>
      </c>
      <c r="AW543">
        <v>2</v>
      </c>
      <c r="AX543">
        <v>68992554</v>
      </c>
      <c r="AY543">
        <v>1</v>
      </c>
      <c r="AZ543">
        <v>0</v>
      </c>
      <c r="BA543">
        <v>522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Y543*Source!I178</f>
        <v>3.2535000000000001E-2</v>
      </c>
      <c r="CY543">
        <f>AD543</f>
        <v>0</v>
      </c>
      <c r="CZ543">
        <f>AH543</f>
        <v>0</v>
      </c>
      <c r="DA543">
        <f>AL543</f>
        <v>1</v>
      </c>
      <c r="DB543">
        <f>ROUND(((ROUND(AT543*CZ543,2)*1.35)*1.25),2)</f>
        <v>0</v>
      </c>
      <c r="DC543">
        <f>ROUND(((ROUND(AT543*AG543,2)*1.35)*1.25),2)</f>
        <v>0</v>
      </c>
    </row>
    <row r="544" spans="1:107" x14ac:dyDescent="0.2">
      <c r="A544">
        <f>ROW(Source!A178)</f>
        <v>178</v>
      </c>
      <c r="B544">
        <v>68990560</v>
      </c>
      <c r="C544">
        <v>68992543</v>
      </c>
      <c r="D544">
        <v>64401902</v>
      </c>
      <c r="E544">
        <v>1</v>
      </c>
      <c r="F544">
        <v>1</v>
      </c>
      <c r="G544">
        <v>1</v>
      </c>
      <c r="H544">
        <v>2</v>
      </c>
      <c r="I544" t="s">
        <v>1112</v>
      </c>
      <c r="J544" t="s">
        <v>1113</v>
      </c>
      <c r="K544" t="s">
        <v>1114</v>
      </c>
      <c r="L544">
        <v>1368</v>
      </c>
      <c r="N544">
        <v>1011</v>
      </c>
      <c r="O544" t="s">
        <v>824</v>
      </c>
      <c r="P544" t="s">
        <v>824</v>
      </c>
      <c r="Q544">
        <v>1</v>
      </c>
      <c r="W544">
        <v>0</v>
      </c>
      <c r="X544">
        <v>1166455747</v>
      </c>
      <c r="Y544">
        <v>0.15187499999999998</v>
      </c>
      <c r="AA544">
        <v>0</v>
      </c>
      <c r="AB544">
        <v>7.63</v>
      </c>
      <c r="AC544">
        <v>0</v>
      </c>
      <c r="AD544">
        <v>0</v>
      </c>
      <c r="AE544">
        <v>0</v>
      </c>
      <c r="AF544">
        <v>1.7</v>
      </c>
      <c r="AG544">
        <v>0</v>
      </c>
      <c r="AH544">
        <v>0</v>
      </c>
      <c r="AI544">
        <v>1</v>
      </c>
      <c r="AJ544">
        <v>4.49</v>
      </c>
      <c r="AK544">
        <v>33.65</v>
      </c>
      <c r="AL544">
        <v>1</v>
      </c>
      <c r="AN544">
        <v>0</v>
      </c>
      <c r="AO544">
        <v>1</v>
      </c>
      <c r="AP544">
        <v>1</v>
      </c>
      <c r="AQ544">
        <v>0</v>
      </c>
      <c r="AR544">
        <v>0</v>
      </c>
      <c r="AS544" t="s">
        <v>3</v>
      </c>
      <c r="AT544">
        <v>0.09</v>
      </c>
      <c r="AU544" t="s">
        <v>455</v>
      </c>
      <c r="AV544">
        <v>0</v>
      </c>
      <c r="AW544">
        <v>2</v>
      </c>
      <c r="AX544">
        <v>68992555</v>
      </c>
      <c r="AY544">
        <v>1</v>
      </c>
      <c r="AZ544">
        <v>0</v>
      </c>
      <c r="BA544">
        <v>523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Y544*Source!I178</f>
        <v>3.6601874999999992E-2</v>
      </c>
      <c r="CY544">
        <f>AB544</f>
        <v>7.63</v>
      </c>
      <c r="CZ544">
        <f>AF544</f>
        <v>1.7</v>
      </c>
      <c r="DA544">
        <f>AJ544</f>
        <v>4.49</v>
      </c>
      <c r="DB544">
        <f>ROUND(((ROUND(AT544*CZ544,2)*1.35)*1.25),2)</f>
        <v>0.25</v>
      </c>
      <c r="DC544">
        <f>ROUND(((ROUND(AT544*AG544,2)*1.35)*1.25),2)</f>
        <v>0</v>
      </c>
    </row>
    <row r="545" spans="1:107" x14ac:dyDescent="0.2">
      <c r="A545">
        <f>ROW(Source!A178)</f>
        <v>178</v>
      </c>
      <c r="B545">
        <v>68990560</v>
      </c>
      <c r="C545">
        <v>68992543</v>
      </c>
      <c r="D545">
        <v>64402691</v>
      </c>
      <c r="E545">
        <v>1</v>
      </c>
      <c r="F545">
        <v>1</v>
      </c>
      <c r="G545">
        <v>1</v>
      </c>
      <c r="H545">
        <v>2</v>
      </c>
      <c r="I545" t="s">
        <v>825</v>
      </c>
      <c r="J545" t="s">
        <v>826</v>
      </c>
      <c r="K545" t="s">
        <v>827</v>
      </c>
      <c r="L545">
        <v>1368</v>
      </c>
      <c r="N545">
        <v>1011</v>
      </c>
      <c r="O545" t="s">
        <v>824</v>
      </c>
      <c r="P545" t="s">
        <v>824</v>
      </c>
      <c r="Q545">
        <v>1</v>
      </c>
      <c r="W545">
        <v>0</v>
      </c>
      <c r="X545">
        <v>-841254546</v>
      </c>
      <c r="Y545">
        <v>0.13500000000000001</v>
      </c>
      <c r="AA545">
        <v>0</v>
      </c>
      <c r="AB545">
        <v>776.04</v>
      </c>
      <c r="AC545">
        <v>390.34</v>
      </c>
      <c r="AD545">
        <v>0</v>
      </c>
      <c r="AE545">
        <v>0</v>
      </c>
      <c r="AF545">
        <v>65.709999999999994</v>
      </c>
      <c r="AG545">
        <v>11.6</v>
      </c>
      <c r="AH545">
        <v>0</v>
      </c>
      <c r="AI545">
        <v>1</v>
      </c>
      <c r="AJ545">
        <v>11.81</v>
      </c>
      <c r="AK545">
        <v>33.65</v>
      </c>
      <c r="AL545">
        <v>1</v>
      </c>
      <c r="AN545">
        <v>0</v>
      </c>
      <c r="AO545">
        <v>1</v>
      </c>
      <c r="AP545">
        <v>1</v>
      </c>
      <c r="AQ545">
        <v>0</v>
      </c>
      <c r="AR545">
        <v>0</v>
      </c>
      <c r="AS545" t="s">
        <v>3</v>
      </c>
      <c r="AT545">
        <v>0.08</v>
      </c>
      <c r="AU545" t="s">
        <v>455</v>
      </c>
      <c r="AV545">
        <v>0</v>
      </c>
      <c r="AW545">
        <v>2</v>
      </c>
      <c r="AX545">
        <v>68992556</v>
      </c>
      <c r="AY545">
        <v>1</v>
      </c>
      <c r="AZ545">
        <v>0</v>
      </c>
      <c r="BA545">
        <v>524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Y545*Source!I178</f>
        <v>3.2535000000000001E-2</v>
      </c>
      <c r="CY545">
        <f>AB545</f>
        <v>776.04</v>
      </c>
      <c r="CZ545">
        <f>AF545</f>
        <v>65.709999999999994</v>
      </c>
      <c r="DA545">
        <f>AJ545</f>
        <v>11.81</v>
      </c>
      <c r="DB545">
        <f>ROUND(((ROUND(AT545*CZ545,2)*1.35)*1.25),2)</f>
        <v>8.8800000000000008</v>
      </c>
      <c r="DC545">
        <f>ROUND(((ROUND(AT545*AG545,2)*1.35)*1.25),2)</f>
        <v>1.57</v>
      </c>
    </row>
    <row r="546" spans="1:107" x14ac:dyDescent="0.2">
      <c r="A546">
        <f>ROW(Source!A178)</f>
        <v>178</v>
      </c>
      <c r="B546">
        <v>68990560</v>
      </c>
      <c r="C546">
        <v>68992543</v>
      </c>
      <c r="D546">
        <v>64255858</v>
      </c>
      <c r="E546">
        <v>1</v>
      </c>
      <c r="F546">
        <v>1</v>
      </c>
      <c r="G546">
        <v>1</v>
      </c>
      <c r="H546">
        <v>3</v>
      </c>
      <c r="I546" t="s">
        <v>1031</v>
      </c>
      <c r="J546" t="s">
        <v>1032</v>
      </c>
      <c r="K546" t="s">
        <v>1033</v>
      </c>
      <c r="L546">
        <v>1327</v>
      </c>
      <c r="N546">
        <v>1005</v>
      </c>
      <c r="O546" t="s">
        <v>46</v>
      </c>
      <c r="P546" t="s">
        <v>46</v>
      </c>
      <c r="Q546">
        <v>1</v>
      </c>
      <c r="W546">
        <v>0</v>
      </c>
      <c r="X546">
        <v>2033367485</v>
      </c>
      <c r="Y546">
        <v>0.28999999999999998</v>
      </c>
      <c r="AA546">
        <v>278.43</v>
      </c>
      <c r="AB546">
        <v>0</v>
      </c>
      <c r="AC546">
        <v>0</v>
      </c>
      <c r="AD546">
        <v>0</v>
      </c>
      <c r="AE546">
        <v>72.319999999999993</v>
      </c>
      <c r="AF546">
        <v>0</v>
      </c>
      <c r="AG546">
        <v>0</v>
      </c>
      <c r="AH546">
        <v>0</v>
      </c>
      <c r="AI546">
        <v>3.85</v>
      </c>
      <c r="AJ546">
        <v>1</v>
      </c>
      <c r="AK546">
        <v>1</v>
      </c>
      <c r="AL546">
        <v>1</v>
      </c>
      <c r="AN546">
        <v>0</v>
      </c>
      <c r="AO546">
        <v>1</v>
      </c>
      <c r="AP546">
        <v>0</v>
      </c>
      <c r="AQ546">
        <v>0</v>
      </c>
      <c r="AR546">
        <v>0</v>
      </c>
      <c r="AS546" t="s">
        <v>3</v>
      </c>
      <c r="AT546">
        <v>0.28999999999999998</v>
      </c>
      <c r="AU546" t="s">
        <v>3</v>
      </c>
      <c r="AV546">
        <v>0</v>
      </c>
      <c r="AW546">
        <v>2</v>
      </c>
      <c r="AX546">
        <v>68992557</v>
      </c>
      <c r="AY546">
        <v>1</v>
      </c>
      <c r="AZ546">
        <v>0</v>
      </c>
      <c r="BA546">
        <v>525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Y546*Source!I178</f>
        <v>6.9889999999999994E-2</v>
      </c>
      <c r="CY546">
        <f>AA546</f>
        <v>278.43</v>
      </c>
      <c r="CZ546">
        <f>AE546</f>
        <v>72.319999999999993</v>
      </c>
      <c r="DA546">
        <f>AI546</f>
        <v>3.85</v>
      </c>
      <c r="DB546">
        <f>ROUND(ROUND(AT546*CZ546,2),2)</f>
        <v>20.97</v>
      </c>
      <c r="DC546">
        <f>ROUND(ROUND(AT546*AG546,2),2)</f>
        <v>0</v>
      </c>
    </row>
    <row r="547" spans="1:107" x14ac:dyDescent="0.2">
      <c r="A547">
        <f>ROW(Source!A178)</f>
        <v>178</v>
      </c>
      <c r="B547">
        <v>68990560</v>
      </c>
      <c r="C547">
        <v>68992543</v>
      </c>
      <c r="D547">
        <v>64256200</v>
      </c>
      <c r="E547">
        <v>1</v>
      </c>
      <c r="F547">
        <v>1</v>
      </c>
      <c r="G547">
        <v>1</v>
      </c>
      <c r="H547">
        <v>3</v>
      </c>
      <c r="I547" t="s">
        <v>1034</v>
      </c>
      <c r="J547" t="s">
        <v>1035</v>
      </c>
      <c r="K547" t="s">
        <v>1036</v>
      </c>
      <c r="L547">
        <v>1346</v>
      </c>
      <c r="N547">
        <v>1009</v>
      </c>
      <c r="O547" t="s">
        <v>170</v>
      </c>
      <c r="P547" t="s">
        <v>170</v>
      </c>
      <c r="Q547">
        <v>1</v>
      </c>
      <c r="W547">
        <v>0</v>
      </c>
      <c r="X547">
        <v>1103561696</v>
      </c>
      <c r="Y547">
        <v>0.01</v>
      </c>
      <c r="AA547">
        <v>48.18</v>
      </c>
      <c r="AB547">
        <v>0</v>
      </c>
      <c r="AC547">
        <v>0</v>
      </c>
      <c r="AD547">
        <v>0</v>
      </c>
      <c r="AE547">
        <v>1.82</v>
      </c>
      <c r="AF547">
        <v>0</v>
      </c>
      <c r="AG547">
        <v>0</v>
      </c>
      <c r="AH547">
        <v>0</v>
      </c>
      <c r="AI547">
        <v>26.47</v>
      </c>
      <c r="AJ547">
        <v>1</v>
      </c>
      <c r="AK547">
        <v>1</v>
      </c>
      <c r="AL547">
        <v>1</v>
      </c>
      <c r="AN547">
        <v>0</v>
      </c>
      <c r="AO547">
        <v>1</v>
      </c>
      <c r="AP547">
        <v>0</v>
      </c>
      <c r="AQ547">
        <v>0</v>
      </c>
      <c r="AR547">
        <v>0</v>
      </c>
      <c r="AS547" t="s">
        <v>3</v>
      </c>
      <c r="AT547">
        <v>0.01</v>
      </c>
      <c r="AU547" t="s">
        <v>3</v>
      </c>
      <c r="AV547">
        <v>0</v>
      </c>
      <c r="AW547">
        <v>2</v>
      </c>
      <c r="AX547">
        <v>68992558</v>
      </c>
      <c r="AY547">
        <v>1</v>
      </c>
      <c r="AZ547">
        <v>0</v>
      </c>
      <c r="BA547">
        <v>526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Y547*Source!I178</f>
        <v>2.4099999999999998E-3</v>
      </c>
      <c r="CY547">
        <f>AA547</f>
        <v>48.18</v>
      </c>
      <c r="CZ547">
        <f>AE547</f>
        <v>1.82</v>
      </c>
      <c r="DA547">
        <f>AI547</f>
        <v>26.47</v>
      </c>
      <c r="DB547">
        <f>ROUND(ROUND(AT547*CZ547,2),2)</f>
        <v>0.02</v>
      </c>
      <c r="DC547">
        <f>ROUND(ROUND(AT547*AG547,2),2)</f>
        <v>0</v>
      </c>
    </row>
    <row r="548" spans="1:107" x14ac:dyDescent="0.2">
      <c r="A548">
        <f>ROW(Source!A178)</f>
        <v>178</v>
      </c>
      <c r="B548">
        <v>68990560</v>
      </c>
      <c r="C548">
        <v>68992543</v>
      </c>
      <c r="D548">
        <v>53795130</v>
      </c>
      <c r="E548">
        <v>1</v>
      </c>
      <c r="F548">
        <v>1</v>
      </c>
      <c r="G548">
        <v>1</v>
      </c>
      <c r="H548">
        <v>3</v>
      </c>
      <c r="I548" t="s">
        <v>619</v>
      </c>
      <c r="J548" t="s">
        <v>621</v>
      </c>
      <c r="K548" t="s">
        <v>620</v>
      </c>
      <c r="L548">
        <v>1348</v>
      </c>
      <c r="N548">
        <v>1009</v>
      </c>
      <c r="O548" t="s">
        <v>71</v>
      </c>
      <c r="P548" t="s">
        <v>71</v>
      </c>
      <c r="Q548">
        <v>1000</v>
      </c>
      <c r="W548">
        <v>0</v>
      </c>
      <c r="X548">
        <v>1324965338</v>
      </c>
      <c r="Y548">
        <v>0.03</v>
      </c>
      <c r="AA548">
        <v>132003.03</v>
      </c>
      <c r="AB548">
        <v>0</v>
      </c>
      <c r="AC548">
        <v>0</v>
      </c>
      <c r="AD548">
        <v>0</v>
      </c>
      <c r="AE548">
        <v>34286.5</v>
      </c>
      <c r="AF548">
        <v>0</v>
      </c>
      <c r="AG548">
        <v>0</v>
      </c>
      <c r="AH548">
        <v>0</v>
      </c>
      <c r="AI548">
        <v>3.85</v>
      </c>
      <c r="AJ548">
        <v>1</v>
      </c>
      <c r="AK548">
        <v>1</v>
      </c>
      <c r="AL548">
        <v>1</v>
      </c>
      <c r="AN548">
        <v>0</v>
      </c>
      <c r="AO548">
        <v>0</v>
      </c>
      <c r="AP548">
        <v>0</v>
      </c>
      <c r="AQ548">
        <v>0</v>
      </c>
      <c r="AR548">
        <v>0</v>
      </c>
      <c r="AS548" t="s">
        <v>3</v>
      </c>
      <c r="AT548">
        <v>0.03</v>
      </c>
      <c r="AU548" t="s">
        <v>3</v>
      </c>
      <c r="AV548">
        <v>0</v>
      </c>
      <c r="AW548">
        <v>1</v>
      </c>
      <c r="AX548">
        <v>-1</v>
      </c>
      <c r="AY548">
        <v>0</v>
      </c>
      <c r="AZ548">
        <v>0</v>
      </c>
      <c r="BA548" t="s">
        <v>3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Y548*Source!I178</f>
        <v>7.2299999999999994E-3</v>
      </c>
      <c r="CY548">
        <f>AA548</f>
        <v>132003.03</v>
      </c>
      <c r="CZ548">
        <f>AE548</f>
        <v>34286.5</v>
      </c>
      <c r="DA548">
        <f>AI548</f>
        <v>3.85</v>
      </c>
      <c r="DB548">
        <f>ROUND(ROUND(AT548*CZ548,2),2)</f>
        <v>1028.5999999999999</v>
      </c>
      <c r="DC548">
        <f>ROUND(ROUND(AT548*AG548,2),2)</f>
        <v>0</v>
      </c>
    </row>
    <row r="549" spans="1:107" x14ac:dyDescent="0.2">
      <c r="A549">
        <f>ROW(Source!A178)</f>
        <v>178</v>
      </c>
      <c r="B549">
        <v>68990560</v>
      </c>
      <c r="C549">
        <v>68992543</v>
      </c>
      <c r="D549">
        <v>64283926</v>
      </c>
      <c r="E549">
        <v>1</v>
      </c>
      <c r="F549">
        <v>1</v>
      </c>
      <c r="G549">
        <v>1</v>
      </c>
      <c r="H549">
        <v>3</v>
      </c>
      <c r="I549" t="s">
        <v>173</v>
      </c>
      <c r="J549" t="s">
        <v>175</v>
      </c>
      <c r="K549" t="s">
        <v>1333</v>
      </c>
      <c r="L549">
        <v>1296</v>
      </c>
      <c r="N549">
        <v>1002</v>
      </c>
      <c r="O549" t="s">
        <v>174</v>
      </c>
      <c r="P549" t="s">
        <v>174</v>
      </c>
      <c r="Q549">
        <v>1</v>
      </c>
      <c r="W549">
        <v>0</v>
      </c>
      <c r="X549">
        <v>-1883530920</v>
      </c>
      <c r="Y549">
        <v>15</v>
      </c>
      <c r="AA549">
        <v>162.99</v>
      </c>
      <c r="AB549">
        <v>0</v>
      </c>
      <c r="AC549">
        <v>0</v>
      </c>
      <c r="AD549">
        <v>0</v>
      </c>
      <c r="AE549">
        <v>43.58</v>
      </c>
      <c r="AF549">
        <v>0</v>
      </c>
      <c r="AG549">
        <v>0</v>
      </c>
      <c r="AH549">
        <v>0</v>
      </c>
      <c r="AI549">
        <v>3.74</v>
      </c>
      <c r="AJ549">
        <v>1</v>
      </c>
      <c r="AK549">
        <v>1</v>
      </c>
      <c r="AL549">
        <v>1</v>
      </c>
      <c r="AN549">
        <v>0</v>
      </c>
      <c r="AO549">
        <v>0</v>
      </c>
      <c r="AP549">
        <v>0</v>
      </c>
      <c r="AQ549">
        <v>0</v>
      </c>
      <c r="AR549">
        <v>0</v>
      </c>
      <c r="AS549" t="s">
        <v>3</v>
      </c>
      <c r="AT549">
        <v>15</v>
      </c>
      <c r="AU549" t="s">
        <v>3</v>
      </c>
      <c r="AV549">
        <v>0</v>
      </c>
      <c r="AW549">
        <v>1</v>
      </c>
      <c r="AX549">
        <v>-1</v>
      </c>
      <c r="AY549">
        <v>0</v>
      </c>
      <c r="AZ549">
        <v>0</v>
      </c>
      <c r="BA549" t="s">
        <v>3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Y549*Source!I178</f>
        <v>3.6149999999999998</v>
      </c>
      <c r="CY549">
        <f>AA549</f>
        <v>162.99</v>
      </c>
      <c r="CZ549">
        <f>AE549</f>
        <v>43.58</v>
      </c>
      <c r="DA549">
        <f>AI549</f>
        <v>3.74</v>
      </c>
      <c r="DB549">
        <f>ROUND(ROUND(AT549*CZ549,2),2)</f>
        <v>653.70000000000005</v>
      </c>
      <c r="DC549">
        <f>ROUND(ROUND(AT549*AG549,2),2)</f>
        <v>0</v>
      </c>
    </row>
    <row r="550" spans="1:107" x14ac:dyDescent="0.2">
      <c r="A550">
        <f>ROW(Source!A178)</f>
        <v>178</v>
      </c>
      <c r="B550">
        <v>68990560</v>
      </c>
      <c r="C550">
        <v>68992543</v>
      </c>
      <c r="D550">
        <v>64285133</v>
      </c>
      <c r="E550">
        <v>1</v>
      </c>
      <c r="F550">
        <v>1</v>
      </c>
      <c r="G550">
        <v>1</v>
      </c>
      <c r="H550">
        <v>3</v>
      </c>
      <c r="I550" t="s">
        <v>1257</v>
      </c>
      <c r="J550" t="s">
        <v>1258</v>
      </c>
      <c r="K550" t="s">
        <v>1259</v>
      </c>
      <c r="L550">
        <v>1348</v>
      </c>
      <c r="N550">
        <v>1009</v>
      </c>
      <c r="O550" t="s">
        <v>71</v>
      </c>
      <c r="P550" t="s">
        <v>71</v>
      </c>
      <c r="Q550">
        <v>1000</v>
      </c>
      <c r="W550">
        <v>0</v>
      </c>
      <c r="X550">
        <v>-1322720729</v>
      </c>
      <c r="Y550">
        <v>1.7500000000000002E-2</v>
      </c>
      <c r="AA550">
        <v>42414.61</v>
      </c>
      <c r="AB550">
        <v>0</v>
      </c>
      <c r="AC550">
        <v>0</v>
      </c>
      <c r="AD550">
        <v>0</v>
      </c>
      <c r="AE550">
        <v>4841.8500000000004</v>
      </c>
      <c r="AF550">
        <v>0</v>
      </c>
      <c r="AG550">
        <v>0</v>
      </c>
      <c r="AH550">
        <v>0</v>
      </c>
      <c r="AI550">
        <v>8.76</v>
      </c>
      <c r="AJ550">
        <v>1</v>
      </c>
      <c r="AK550">
        <v>1</v>
      </c>
      <c r="AL550">
        <v>1</v>
      </c>
      <c r="AN550">
        <v>0</v>
      </c>
      <c r="AO550">
        <v>1</v>
      </c>
      <c r="AP550">
        <v>0</v>
      </c>
      <c r="AQ550">
        <v>0</v>
      </c>
      <c r="AR550">
        <v>0</v>
      </c>
      <c r="AS550" t="s">
        <v>3</v>
      </c>
      <c r="AT550">
        <v>1.7500000000000002E-2</v>
      </c>
      <c r="AU550" t="s">
        <v>3</v>
      </c>
      <c r="AV550">
        <v>0</v>
      </c>
      <c r="AW550">
        <v>2</v>
      </c>
      <c r="AX550">
        <v>68992561</v>
      </c>
      <c r="AY550">
        <v>1</v>
      </c>
      <c r="AZ550">
        <v>0</v>
      </c>
      <c r="BA550">
        <v>529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Y550*Source!I178</f>
        <v>4.2174999999999999E-3</v>
      </c>
      <c r="CY550">
        <f>AA550</f>
        <v>42414.61</v>
      </c>
      <c r="CZ550">
        <f>AE550</f>
        <v>4841.8500000000004</v>
      </c>
      <c r="DA550">
        <f>AI550</f>
        <v>8.76</v>
      </c>
      <c r="DB550">
        <f>ROUND(ROUND(AT550*CZ550,2),2)</f>
        <v>84.73</v>
      </c>
      <c r="DC550">
        <f>ROUND(ROUND(AT550*AG550,2),2)</f>
        <v>0</v>
      </c>
    </row>
    <row r="551" spans="1:107" x14ac:dyDescent="0.2">
      <c r="A551">
        <f>ROW(Source!A181)</f>
        <v>181</v>
      </c>
      <c r="B551">
        <v>68990560</v>
      </c>
      <c r="C551">
        <v>68992573</v>
      </c>
      <c r="D551">
        <v>37065248</v>
      </c>
      <c r="E551">
        <v>56</v>
      </c>
      <c r="F551">
        <v>1</v>
      </c>
      <c r="G551">
        <v>1</v>
      </c>
      <c r="H551">
        <v>1</v>
      </c>
      <c r="I551" t="s">
        <v>857</v>
      </c>
      <c r="J551" t="s">
        <v>3</v>
      </c>
      <c r="K551" t="s">
        <v>858</v>
      </c>
      <c r="L551">
        <v>1191</v>
      </c>
      <c r="N551">
        <v>1013</v>
      </c>
      <c r="O551" t="s">
        <v>818</v>
      </c>
      <c r="P551" t="s">
        <v>818</v>
      </c>
      <c r="Q551">
        <v>1</v>
      </c>
      <c r="W551">
        <v>0</v>
      </c>
      <c r="X551">
        <v>-400197608</v>
      </c>
      <c r="Y551">
        <v>2.9186999999999994</v>
      </c>
      <c r="AA551">
        <v>0</v>
      </c>
      <c r="AB551">
        <v>0</v>
      </c>
      <c r="AC551">
        <v>0</v>
      </c>
      <c r="AD551">
        <v>8.5299999999999994</v>
      </c>
      <c r="AE551">
        <v>0</v>
      </c>
      <c r="AF551">
        <v>0</v>
      </c>
      <c r="AG551">
        <v>0</v>
      </c>
      <c r="AH551">
        <v>8.5299999999999994</v>
      </c>
      <c r="AI551">
        <v>1</v>
      </c>
      <c r="AJ551">
        <v>1</v>
      </c>
      <c r="AK551">
        <v>1</v>
      </c>
      <c r="AL551">
        <v>1</v>
      </c>
      <c r="AN551">
        <v>0</v>
      </c>
      <c r="AO551">
        <v>1</v>
      </c>
      <c r="AP551">
        <v>1</v>
      </c>
      <c r="AQ551">
        <v>0</v>
      </c>
      <c r="AR551">
        <v>0</v>
      </c>
      <c r="AS551" t="s">
        <v>3</v>
      </c>
      <c r="AT551">
        <v>1.88</v>
      </c>
      <c r="AU551" t="s">
        <v>456</v>
      </c>
      <c r="AV551">
        <v>1</v>
      </c>
      <c r="AW551">
        <v>2</v>
      </c>
      <c r="AX551">
        <v>68992575</v>
      </c>
      <c r="AY551">
        <v>1</v>
      </c>
      <c r="AZ551">
        <v>0</v>
      </c>
      <c r="BA551">
        <v>530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Y551*Source!I181</f>
        <v>2.9186999999999994</v>
      </c>
      <c r="CY551">
        <f>AD551</f>
        <v>8.5299999999999994</v>
      </c>
      <c r="CZ551">
        <f>AH551</f>
        <v>8.5299999999999994</v>
      </c>
      <c r="DA551">
        <f>AL551</f>
        <v>1</v>
      </c>
      <c r="DB551">
        <f>ROUND(((ROUND(AT551*CZ551,2)*1.35)*1.15),2)</f>
        <v>24.9</v>
      </c>
      <c r="DC551">
        <f>ROUND(((ROUND(AT551*AG551,2)*1.35)*1.15),2)</f>
        <v>0</v>
      </c>
    </row>
    <row r="552" spans="1:107" x14ac:dyDescent="0.2">
      <c r="A552">
        <f>ROW(Source!A217)</f>
        <v>217</v>
      </c>
      <c r="B552">
        <v>68990560</v>
      </c>
      <c r="C552">
        <v>68992636</v>
      </c>
      <c r="D552">
        <v>37082223</v>
      </c>
      <c r="E552">
        <v>56</v>
      </c>
      <c r="F552">
        <v>1</v>
      </c>
      <c r="G552">
        <v>1</v>
      </c>
      <c r="H552">
        <v>1</v>
      </c>
      <c r="I552" t="s">
        <v>1211</v>
      </c>
      <c r="J552" t="s">
        <v>3</v>
      </c>
      <c r="K552" t="s">
        <v>1212</v>
      </c>
      <c r="L552">
        <v>1191</v>
      </c>
      <c r="N552">
        <v>1013</v>
      </c>
      <c r="O552" t="s">
        <v>818</v>
      </c>
      <c r="P552" t="s">
        <v>818</v>
      </c>
      <c r="Q552">
        <v>1</v>
      </c>
      <c r="W552">
        <v>0</v>
      </c>
      <c r="X552">
        <v>-2143564933</v>
      </c>
      <c r="Y552">
        <v>6.1559999999999997</v>
      </c>
      <c r="AA552">
        <v>0</v>
      </c>
      <c r="AB552">
        <v>0</v>
      </c>
      <c r="AC552">
        <v>0</v>
      </c>
      <c r="AD552">
        <v>9.76</v>
      </c>
      <c r="AE552">
        <v>0</v>
      </c>
      <c r="AF552">
        <v>0</v>
      </c>
      <c r="AG552">
        <v>0</v>
      </c>
      <c r="AH552">
        <v>9.76</v>
      </c>
      <c r="AI552">
        <v>1</v>
      </c>
      <c r="AJ552">
        <v>1</v>
      </c>
      <c r="AK552">
        <v>1</v>
      </c>
      <c r="AL552">
        <v>1</v>
      </c>
      <c r="AN552">
        <v>0</v>
      </c>
      <c r="AO552">
        <v>1</v>
      </c>
      <c r="AP552">
        <v>1</v>
      </c>
      <c r="AQ552">
        <v>0</v>
      </c>
      <c r="AR552">
        <v>0</v>
      </c>
      <c r="AS552" t="s">
        <v>3</v>
      </c>
      <c r="AT552">
        <v>4.5599999999999996</v>
      </c>
      <c r="AU552" t="s">
        <v>200</v>
      </c>
      <c r="AV552">
        <v>1</v>
      </c>
      <c r="AW552">
        <v>2</v>
      </c>
      <c r="AX552">
        <v>68992640</v>
      </c>
      <c r="AY552">
        <v>1</v>
      </c>
      <c r="AZ552">
        <v>0</v>
      </c>
      <c r="BA552">
        <v>532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Y552*Source!I217</f>
        <v>6.1559999999999997</v>
      </c>
      <c r="CY552">
        <f>AD552</f>
        <v>9.76</v>
      </c>
      <c r="CZ552">
        <f>AH552</f>
        <v>9.76</v>
      </c>
      <c r="DA552">
        <f>AL552</f>
        <v>1</v>
      </c>
      <c r="DB552">
        <f>ROUND((ROUND(AT552*CZ552,2)*1.35),2)</f>
        <v>60.09</v>
      </c>
      <c r="DC552">
        <f>ROUND((ROUND(AT552*AG552,2)*1.35),2)</f>
        <v>0</v>
      </c>
    </row>
    <row r="553" spans="1:107" x14ac:dyDescent="0.2">
      <c r="A553">
        <f>ROW(Source!A217)</f>
        <v>217</v>
      </c>
      <c r="B553">
        <v>68990560</v>
      </c>
      <c r="C553">
        <v>68992636</v>
      </c>
      <c r="D553">
        <v>53966858</v>
      </c>
      <c r="E553">
        <v>1</v>
      </c>
      <c r="F553">
        <v>1</v>
      </c>
      <c r="G553">
        <v>1</v>
      </c>
      <c r="H553">
        <v>3</v>
      </c>
      <c r="I553" t="s">
        <v>686</v>
      </c>
      <c r="J553" t="s">
        <v>687</v>
      </c>
      <c r="K553" t="s">
        <v>1342</v>
      </c>
      <c r="L553">
        <v>1371</v>
      </c>
      <c r="N553">
        <v>1013</v>
      </c>
      <c r="O553" t="s">
        <v>29</v>
      </c>
      <c r="P553" t="s">
        <v>29</v>
      </c>
      <c r="Q553">
        <v>1</v>
      </c>
      <c r="W553">
        <v>0</v>
      </c>
      <c r="X553">
        <v>-536182174</v>
      </c>
      <c r="Y553">
        <v>1</v>
      </c>
      <c r="AA553">
        <v>8019.21</v>
      </c>
      <c r="AB553">
        <v>0</v>
      </c>
      <c r="AC553">
        <v>0</v>
      </c>
      <c r="AD553">
        <v>0</v>
      </c>
      <c r="AE553">
        <v>1220.58</v>
      </c>
      <c r="AF553">
        <v>0</v>
      </c>
      <c r="AG553">
        <v>0</v>
      </c>
      <c r="AH553">
        <v>0</v>
      </c>
      <c r="AI553">
        <v>6.57</v>
      </c>
      <c r="AJ553">
        <v>1</v>
      </c>
      <c r="AK553">
        <v>1</v>
      </c>
      <c r="AL553">
        <v>1</v>
      </c>
      <c r="AN553">
        <v>0</v>
      </c>
      <c r="AO553">
        <v>0</v>
      </c>
      <c r="AP553">
        <v>0</v>
      </c>
      <c r="AQ553">
        <v>0</v>
      </c>
      <c r="AR553">
        <v>0</v>
      </c>
      <c r="AS553" t="s">
        <v>3</v>
      </c>
      <c r="AT553">
        <v>1</v>
      </c>
      <c r="AU553" t="s">
        <v>3</v>
      </c>
      <c r="AV553">
        <v>0</v>
      </c>
      <c r="AW553">
        <v>1</v>
      </c>
      <c r="AX553">
        <v>-1</v>
      </c>
      <c r="AY553">
        <v>0</v>
      </c>
      <c r="AZ553">
        <v>0</v>
      </c>
      <c r="BA553" t="s">
        <v>3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Y553*Source!I217</f>
        <v>1</v>
      </c>
      <c r="CY553">
        <f>AA553</f>
        <v>8019.21</v>
      </c>
      <c r="CZ553">
        <f>AE553</f>
        <v>1220.58</v>
      </c>
      <c r="DA553">
        <f>AI553</f>
        <v>6.57</v>
      </c>
      <c r="DB553">
        <f>ROUND(ROUND(AT553*CZ553,2),2)</f>
        <v>1220.58</v>
      </c>
      <c r="DC553">
        <f>ROUND(ROUND(AT553*AG553,2),2)</f>
        <v>0</v>
      </c>
    </row>
    <row r="554" spans="1:107" x14ac:dyDescent="0.2">
      <c r="A554">
        <f>ROW(Source!A217)</f>
        <v>217</v>
      </c>
      <c r="B554">
        <v>68990560</v>
      </c>
      <c r="C554">
        <v>68992636</v>
      </c>
      <c r="D554">
        <v>64245580</v>
      </c>
      <c r="E554">
        <v>56</v>
      </c>
      <c r="F554">
        <v>1</v>
      </c>
      <c r="G554">
        <v>1</v>
      </c>
      <c r="H554">
        <v>3</v>
      </c>
      <c r="I554" t="s">
        <v>837</v>
      </c>
      <c r="J554" t="s">
        <v>3</v>
      </c>
      <c r="K554" t="s">
        <v>838</v>
      </c>
      <c r="L554">
        <v>1374</v>
      </c>
      <c r="N554">
        <v>1013</v>
      </c>
      <c r="O554" t="s">
        <v>839</v>
      </c>
      <c r="P554" t="s">
        <v>839</v>
      </c>
      <c r="Q554">
        <v>1</v>
      </c>
      <c r="W554">
        <v>0</v>
      </c>
      <c r="X554">
        <v>-1731369543</v>
      </c>
      <c r="Y554">
        <v>0.89</v>
      </c>
      <c r="AA554">
        <v>1</v>
      </c>
      <c r="AB554">
        <v>0</v>
      </c>
      <c r="AC554">
        <v>0</v>
      </c>
      <c r="AD554">
        <v>0</v>
      </c>
      <c r="AE554">
        <v>1</v>
      </c>
      <c r="AF554">
        <v>0</v>
      </c>
      <c r="AG554">
        <v>0</v>
      </c>
      <c r="AH554">
        <v>0</v>
      </c>
      <c r="AI554">
        <v>1</v>
      </c>
      <c r="AJ554">
        <v>1</v>
      </c>
      <c r="AK554">
        <v>1</v>
      </c>
      <c r="AL554">
        <v>1</v>
      </c>
      <c r="AN554">
        <v>0</v>
      </c>
      <c r="AO554">
        <v>1</v>
      </c>
      <c r="AP554">
        <v>0</v>
      </c>
      <c r="AQ554">
        <v>0</v>
      </c>
      <c r="AR554">
        <v>0</v>
      </c>
      <c r="AS554" t="s">
        <v>3</v>
      </c>
      <c r="AT554">
        <v>0.89</v>
      </c>
      <c r="AU554" t="s">
        <v>3</v>
      </c>
      <c r="AV554">
        <v>0</v>
      </c>
      <c r="AW554">
        <v>2</v>
      </c>
      <c r="AX554">
        <v>68992641</v>
      </c>
      <c r="AY554">
        <v>1</v>
      </c>
      <c r="AZ554">
        <v>0</v>
      </c>
      <c r="BA554">
        <v>533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Y554*Source!I217</f>
        <v>0.89</v>
      </c>
      <c r="CY554">
        <f>AA554</f>
        <v>1</v>
      </c>
      <c r="CZ554">
        <f>AE554</f>
        <v>1</v>
      </c>
      <c r="DA554">
        <f>AI554</f>
        <v>1</v>
      </c>
      <c r="DB554">
        <f>ROUND(ROUND(AT554*CZ554,2),2)</f>
        <v>0.89</v>
      </c>
      <c r="DC554">
        <f>ROUND(ROUND(AT554*AG554,2),2)</f>
        <v>0</v>
      </c>
    </row>
    <row r="555" spans="1:107" x14ac:dyDescent="0.2">
      <c r="A555">
        <f>ROW(Source!A219)</f>
        <v>219</v>
      </c>
      <c r="B555">
        <v>68990560</v>
      </c>
      <c r="C555">
        <v>68992643</v>
      </c>
      <c r="D555">
        <v>37065248</v>
      </c>
      <c r="E555">
        <v>56</v>
      </c>
      <c r="F555">
        <v>1</v>
      </c>
      <c r="G555">
        <v>1</v>
      </c>
      <c r="H555">
        <v>1</v>
      </c>
      <c r="I555" t="s">
        <v>857</v>
      </c>
      <c r="J555" t="s">
        <v>3</v>
      </c>
      <c r="K555" t="s">
        <v>858</v>
      </c>
      <c r="L555">
        <v>1191</v>
      </c>
      <c r="N555">
        <v>1013</v>
      </c>
      <c r="O555" t="s">
        <v>818</v>
      </c>
      <c r="P555" t="s">
        <v>818</v>
      </c>
      <c r="Q555">
        <v>1</v>
      </c>
      <c r="W555">
        <v>0</v>
      </c>
      <c r="X555">
        <v>-400197608</v>
      </c>
      <c r="Y555">
        <v>2.7</v>
      </c>
      <c r="AA555">
        <v>0</v>
      </c>
      <c r="AB555">
        <v>0</v>
      </c>
      <c r="AC555">
        <v>0</v>
      </c>
      <c r="AD555">
        <v>8.5299999999999994</v>
      </c>
      <c r="AE555">
        <v>0</v>
      </c>
      <c r="AF555">
        <v>0</v>
      </c>
      <c r="AG555">
        <v>0</v>
      </c>
      <c r="AH555">
        <v>8.5299999999999994</v>
      </c>
      <c r="AI555">
        <v>1</v>
      </c>
      <c r="AJ555">
        <v>1</v>
      </c>
      <c r="AK555">
        <v>1</v>
      </c>
      <c r="AL555">
        <v>1</v>
      </c>
      <c r="AN555">
        <v>0</v>
      </c>
      <c r="AO555">
        <v>1</v>
      </c>
      <c r="AP555">
        <v>1</v>
      </c>
      <c r="AQ555">
        <v>0</v>
      </c>
      <c r="AR555">
        <v>0</v>
      </c>
      <c r="AS555" t="s">
        <v>3</v>
      </c>
      <c r="AT555">
        <v>2</v>
      </c>
      <c r="AU555" t="s">
        <v>200</v>
      </c>
      <c r="AV555">
        <v>1</v>
      </c>
      <c r="AW555">
        <v>2</v>
      </c>
      <c r="AX555">
        <v>68992647</v>
      </c>
      <c r="AY555">
        <v>1</v>
      </c>
      <c r="AZ555">
        <v>0</v>
      </c>
      <c r="BA555">
        <v>534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Y555*Source!I219</f>
        <v>2.7</v>
      </c>
      <c r="CY555">
        <f>AD555</f>
        <v>8.5299999999999994</v>
      </c>
      <c r="CZ555">
        <f>AH555</f>
        <v>8.5299999999999994</v>
      </c>
      <c r="DA555">
        <f>AL555</f>
        <v>1</v>
      </c>
      <c r="DB555">
        <f>ROUND((ROUND(AT555*CZ555,2)*1.35),2)</f>
        <v>23.03</v>
      </c>
      <c r="DC555">
        <f>ROUND((ROUND(AT555*AG555,2)*1.35),2)</f>
        <v>0</v>
      </c>
    </row>
    <row r="556" spans="1:107" x14ac:dyDescent="0.2">
      <c r="A556">
        <f>ROW(Source!A219)</f>
        <v>219</v>
      </c>
      <c r="B556">
        <v>68990560</v>
      </c>
      <c r="C556">
        <v>68992643</v>
      </c>
      <c r="D556">
        <v>53966882</v>
      </c>
      <c r="E556">
        <v>1</v>
      </c>
      <c r="F556">
        <v>1</v>
      </c>
      <c r="G556">
        <v>1</v>
      </c>
      <c r="H556">
        <v>3</v>
      </c>
      <c r="I556" t="s">
        <v>694</v>
      </c>
      <c r="J556" t="s">
        <v>695</v>
      </c>
      <c r="K556" t="s">
        <v>1343</v>
      </c>
      <c r="L556">
        <v>1371</v>
      </c>
      <c r="N556">
        <v>1013</v>
      </c>
      <c r="O556" t="s">
        <v>29</v>
      </c>
      <c r="P556" t="s">
        <v>29</v>
      </c>
      <c r="Q556">
        <v>1</v>
      </c>
      <c r="W556">
        <v>0</v>
      </c>
      <c r="X556">
        <v>2129847283</v>
      </c>
      <c r="Y556">
        <v>1</v>
      </c>
      <c r="AA556">
        <v>2199.92</v>
      </c>
      <c r="AB556">
        <v>0</v>
      </c>
      <c r="AC556">
        <v>0</v>
      </c>
      <c r="AD556">
        <v>0</v>
      </c>
      <c r="AE556">
        <v>535.26</v>
      </c>
      <c r="AF556">
        <v>0</v>
      </c>
      <c r="AG556">
        <v>0</v>
      </c>
      <c r="AH556">
        <v>0</v>
      </c>
      <c r="AI556">
        <v>4.1100000000000003</v>
      </c>
      <c r="AJ556">
        <v>1</v>
      </c>
      <c r="AK556">
        <v>1</v>
      </c>
      <c r="AL556">
        <v>1</v>
      </c>
      <c r="AN556">
        <v>0</v>
      </c>
      <c r="AO556">
        <v>0</v>
      </c>
      <c r="AP556">
        <v>0</v>
      </c>
      <c r="AQ556">
        <v>0</v>
      </c>
      <c r="AR556">
        <v>0</v>
      </c>
      <c r="AS556" t="s">
        <v>3</v>
      </c>
      <c r="AT556">
        <v>1</v>
      </c>
      <c r="AU556" t="s">
        <v>3</v>
      </c>
      <c r="AV556">
        <v>0</v>
      </c>
      <c r="AW556">
        <v>1</v>
      </c>
      <c r="AX556">
        <v>-1</v>
      </c>
      <c r="AY556">
        <v>0</v>
      </c>
      <c r="AZ556">
        <v>0</v>
      </c>
      <c r="BA556" t="s">
        <v>3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Y556*Source!I219</f>
        <v>1</v>
      </c>
      <c r="CY556">
        <f>AA556</f>
        <v>2199.92</v>
      </c>
      <c r="CZ556">
        <f>AE556</f>
        <v>535.26</v>
      </c>
      <c r="DA556">
        <f>AI556</f>
        <v>4.1100000000000003</v>
      </c>
      <c r="DB556">
        <f>ROUND(ROUND(AT556*CZ556,2),2)</f>
        <v>535.26</v>
      </c>
      <c r="DC556">
        <f>ROUND(ROUND(AT556*AG556,2),2)</f>
        <v>0</v>
      </c>
    </row>
    <row r="557" spans="1:107" x14ac:dyDescent="0.2">
      <c r="A557">
        <f>ROW(Source!A219)</f>
        <v>219</v>
      </c>
      <c r="B557">
        <v>68990560</v>
      </c>
      <c r="C557">
        <v>68992643</v>
      </c>
      <c r="D557">
        <v>64245580</v>
      </c>
      <c r="E557">
        <v>56</v>
      </c>
      <c r="F557">
        <v>1</v>
      </c>
      <c r="G557">
        <v>1</v>
      </c>
      <c r="H557">
        <v>3</v>
      </c>
      <c r="I557" t="s">
        <v>837</v>
      </c>
      <c r="J557" t="s">
        <v>3</v>
      </c>
      <c r="K557" t="s">
        <v>838</v>
      </c>
      <c r="L557">
        <v>1374</v>
      </c>
      <c r="N557">
        <v>1013</v>
      </c>
      <c r="O557" t="s">
        <v>839</v>
      </c>
      <c r="P557" t="s">
        <v>839</v>
      </c>
      <c r="Q557">
        <v>1</v>
      </c>
      <c r="W557">
        <v>0</v>
      </c>
      <c r="X557">
        <v>-1731369543</v>
      </c>
      <c r="Y557">
        <v>0.34</v>
      </c>
      <c r="AA557">
        <v>1</v>
      </c>
      <c r="AB557">
        <v>0</v>
      </c>
      <c r="AC557">
        <v>0</v>
      </c>
      <c r="AD557">
        <v>0</v>
      </c>
      <c r="AE557">
        <v>1</v>
      </c>
      <c r="AF557">
        <v>0</v>
      </c>
      <c r="AG557">
        <v>0</v>
      </c>
      <c r="AH557">
        <v>0</v>
      </c>
      <c r="AI557">
        <v>1</v>
      </c>
      <c r="AJ557">
        <v>1</v>
      </c>
      <c r="AK557">
        <v>1</v>
      </c>
      <c r="AL557">
        <v>1</v>
      </c>
      <c r="AN557">
        <v>0</v>
      </c>
      <c r="AO557">
        <v>1</v>
      </c>
      <c r="AP557">
        <v>0</v>
      </c>
      <c r="AQ557">
        <v>0</v>
      </c>
      <c r="AR557">
        <v>0</v>
      </c>
      <c r="AS557" t="s">
        <v>3</v>
      </c>
      <c r="AT557">
        <v>0.34</v>
      </c>
      <c r="AU557" t="s">
        <v>3</v>
      </c>
      <c r="AV557">
        <v>0</v>
      </c>
      <c r="AW557">
        <v>2</v>
      </c>
      <c r="AX557">
        <v>68992648</v>
      </c>
      <c r="AY557">
        <v>1</v>
      </c>
      <c r="AZ557">
        <v>0</v>
      </c>
      <c r="BA557">
        <v>535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Y557*Source!I219</f>
        <v>0.34</v>
      </c>
      <c r="CY557">
        <f>AA557</f>
        <v>1</v>
      </c>
      <c r="CZ557">
        <f>AE557</f>
        <v>1</v>
      </c>
      <c r="DA557">
        <f>AI557</f>
        <v>1</v>
      </c>
      <c r="DB557">
        <f>ROUND(ROUND(AT557*CZ557,2),2)</f>
        <v>0.34</v>
      </c>
      <c r="DC557">
        <f>ROUND(ROUND(AT557*AG557,2),2)</f>
        <v>0</v>
      </c>
    </row>
    <row r="558" spans="1:107" x14ac:dyDescent="0.2">
      <c r="A558">
        <f>ROW(Source!A221)</f>
        <v>221</v>
      </c>
      <c r="B558">
        <v>68990560</v>
      </c>
      <c r="C558">
        <v>68992650</v>
      </c>
      <c r="D558">
        <v>37072767</v>
      </c>
      <c r="E558">
        <v>56</v>
      </c>
      <c r="F558">
        <v>1</v>
      </c>
      <c r="G558">
        <v>1</v>
      </c>
      <c r="H558">
        <v>1</v>
      </c>
      <c r="I558" t="s">
        <v>874</v>
      </c>
      <c r="J558" t="s">
        <v>3</v>
      </c>
      <c r="K558" t="s">
        <v>875</v>
      </c>
      <c r="L558">
        <v>1191</v>
      </c>
      <c r="N558">
        <v>1013</v>
      </c>
      <c r="O558" t="s">
        <v>818</v>
      </c>
      <c r="P558" t="s">
        <v>818</v>
      </c>
      <c r="Q558">
        <v>1</v>
      </c>
      <c r="W558">
        <v>0</v>
      </c>
      <c r="X558">
        <v>-1027537862</v>
      </c>
      <c r="Y558">
        <v>20.52</v>
      </c>
      <c r="AA558">
        <v>0</v>
      </c>
      <c r="AB558">
        <v>0</v>
      </c>
      <c r="AC558">
        <v>0</v>
      </c>
      <c r="AD558">
        <v>9.18</v>
      </c>
      <c r="AE558">
        <v>0</v>
      </c>
      <c r="AF558">
        <v>0</v>
      </c>
      <c r="AG558">
        <v>0</v>
      </c>
      <c r="AH558">
        <v>9.18</v>
      </c>
      <c r="AI558">
        <v>1</v>
      </c>
      <c r="AJ558">
        <v>1</v>
      </c>
      <c r="AK558">
        <v>1</v>
      </c>
      <c r="AL558">
        <v>1</v>
      </c>
      <c r="AN558">
        <v>0</v>
      </c>
      <c r="AO558">
        <v>1</v>
      </c>
      <c r="AP558">
        <v>1</v>
      </c>
      <c r="AQ558">
        <v>0</v>
      </c>
      <c r="AR558">
        <v>0</v>
      </c>
      <c r="AS558" t="s">
        <v>3</v>
      </c>
      <c r="AT558">
        <v>15.2</v>
      </c>
      <c r="AU558" t="s">
        <v>200</v>
      </c>
      <c r="AV558">
        <v>1</v>
      </c>
      <c r="AW558">
        <v>2</v>
      </c>
      <c r="AX558">
        <v>68992656</v>
      </c>
      <c r="AY558">
        <v>1</v>
      </c>
      <c r="AZ558">
        <v>0</v>
      </c>
      <c r="BA558">
        <v>536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Y558*Source!I221</f>
        <v>10.26</v>
      </c>
      <c r="CY558">
        <f>AD558</f>
        <v>9.18</v>
      </c>
      <c r="CZ558">
        <f>AH558</f>
        <v>9.18</v>
      </c>
      <c r="DA558">
        <f>AL558</f>
        <v>1</v>
      </c>
      <c r="DB558">
        <f>ROUND((ROUND(AT558*CZ558,2)*1.35),2)</f>
        <v>188.38</v>
      </c>
      <c r="DC558">
        <f>ROUND((ROUND(AT558*AG558,2)*1.35),2)</f>
        <v>0</v>
      </c>
    </row>
    <row r="559" spans="1:107" x14ac:dyDescent="0.2">
      <c r="A559">
        <f>ROW(Source!A221)</f>
        <v>221</v>
      </c>
      <c r="B559">
        <v>68990560</v>
      </c>
      <c r="C559">
        <v>68992650</v>
      </c>
      <c r="D559">
        <v>64255223</v>
      </c>
      <c r="E559">
        <v>1</v>
      </c>
      <c r="F559">
        <v>1</v>
      </c>
      <c r="G559">
        <v>1</v>
      </c>
      <c r="H559">
        <v>3</v>
      </c>
      <c r="I559" t="s">
        <v>1000</v>
      </c>
      <c r="J559" t="s">
        <v>1001</v>
      </c>
      <c r="K559" t="s">
        <v>1002</v>
      </c>
      <c r="L559">
        <v>1425</v>
      </c>
      <c r="N559">
        <v>1013</v>
      </c>
      <c r="O559" t="s">
        <v>18</v>
      </c>
      <c r="P559" t="s">
        <v>18</v>
      </c>
      <c r="Q559">
        <v>1</v>
      </c>
      <c r="W559">
        <v>0</v>
      </c>
      <c r="X559">
        <v>1110583994</v>
      </c>
      <c r="Y559">
        <v>1.75</v>
      </c>
      <c r="AA559">
        <v>104</v>
      </c>
      <c r="AB559">
        <v>0</v>
      </c>
      <c r="AC559">
        <v>0</v>
      </c>
      <c r="AD559">
        <v>0</v>
      </c>
      <c r="AE559">
        <v>8</v>
      </c>
      <c r="AF559">
        <v>0</v>
      </c>
      <c r="AG559">
        <v>0</v>
      </c>
      <c r="AH559">
        <v>0</v>
      </c>
      <c r="AI559">
        <v>13</v>
      </c>
      <c r="AJ559">
        <v>1</v>
      </c>
      <c r="AK559">
        <v>1</v>
      </c>
      <c r="AL559">
        <v>1</v>
      </c>
      <c r="AN559">
        <v>0</v>
      </c>
      <c r="AO559">
        <v>1</v>
      </c>
      <c r="AP559">
        <v>0</v>
      </c>
      <c r="AQ559">
        <v>0</v>
      </c>
      <c r="AR559">
        <v>0</v>
      </c>
      <c r="AS559" t="s">
        <v>3</v>
      </c>
      <c r="AT559">
        <v>1.75</v>
      </c>
      <c r="AU559" t="s">
        <v>3</v>
      </c>
      <c r="AV559">
        <v>0</v>
      </c>
      <c r="AW559">
        <v>2</v>
      </c>
      <c r="AX559">
        <v>68992657</v>
      </c>
      <c r="AY559">
        <v>1</v>
      </c>
      <c r="AZ559">
        <v>0</v>
      </c>
      <c r="BA559">
        <v>537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Y559*Source!I221</f>
        <v>0.875</v>
      </c>
      <c r="CY559">
        <f>AA559</f>
        <v>104</v>
      </c>
      <c r="CZ559">
        <f>AE559</f>
        <v>8</v>
      </c>
      <c r="DA559">
        <f>AI559</f>
        <v>13</v>
      </c>
      <c r="DB559">
        <f>ROUND(ROUND(AT559*CZ559,2),2)</f>
        <v>14</v>
      </c>
      <c r="DC559">
        <f>ROUND(ROUND(AT559*AG559,2),2)</f>
        <v>0</v>
      </c>
    </row>
    <row r="560" spans="1:107" x14ac:dyDescent="0.2">
      <c r="A560">
        <f>ROW(Source!A221)</f>
        <v>221</v>
      </c>
      <c r="B560">
        <v>68990560</v>
      </c>
      <c r="C560">
        <v>68992650</v>
      </c>
      <c r="D560">
        <v>64298459</v>
      </c>
      <c r="E560">
        <v>1</v>
      </c>
      <c r="F560">
        <v>1</v>
      </c>
      <c r="G560">
        <v>1</v>
      </c>
      <c r="H560">
        <v>3</v>
      </c>
      <c r="I560" t="s">
        <v>546</v>
      </c>
      <c r="J560" t="s">
        <v>548</v>
      </c>
      <c r="K560" t="s">
        <v>547</v>
      </c>
      <c r="L560">
        <v>1425</v>
      </c>
      <c r="N560">
        <v>1013</v>
      </c>
      <c r="O560" t="s">
        <v>18</v>
      </c>
      <c r="P560" t="s">
        <v>18</v>
      </c>
      <c r="Q560">
        <v>1</v>
      </c>
      <c r="W560">
        <v>0</v>
      </c>
      <c r="X560">
        <v>1862872504</v>
      </c>
      <c r="Y560">
        <v>1</v>
      </c>
      <c r="AA560">
        <v>422.94</v>
      </c>
      <c r="AB560">
        <v>0</v>
      </c>
      <c r="AC560">
        <v>0</v>
      </c>
      <c r="AD560">
        <v>0</v>
      </c>
      <c r="AE560">
        <v>38</v>
      </c>
      <c r="AF560">
        <v>0</v>
      </c>
      <c r="AG560">
        <v>0</v>
      </c>
      <c r="AH560">
        <v>0</v>
      </c>
      <c r="AI560">
        <v>11.13</v>
      </c>
      <c r="AJ560">
        <v>1</v>
      </c>
      <c r="AK560">
        <v>1</v>
      </c>
      <c r="AL560">
        <v>1</v>
      </c>
      <c r="AN560">
        <v>0</v>
      </c>
      <c r="AO560">
        <v>0</v>
      </c>
      <c r="AP560">
        <v>0</v>
      </c>
      <c r="AQ560">
        <v>0</v>
      </c>
      <c r="AR560">
        <v>0</v>
      </c>
      <c r="AS560" t="s">
        <v>3</v>
      </c>
      <c r="AT560">
        <v>1</v>
      </c>
      <c r="AU560" t="s">
        <v>3</v>
      </c>
      <c r="AV560">
        <v>0</v>
      </c>
      <c r="AW560">
        <v>1</v>
      </c>
      <c r="AX560">
        <v>-1</v>
      </c>
      <c r="AY560">
        <v>0</v>
      </c>
      <c r="AZ560">
        <v>0</v>
      </c>
      <c r="BA560" t="s">
        <v>3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Y560*Source!I221</f>
        <v>0.5</v>
      </c>
      <c r="CY560">
        <f>AA560</f>
        <v>422.94</v>
      </c>
      <c r="CZ560">
        <f>AE560</f>
        <v>38</v>
      </c>
      <c r="DA560">
        <f>AI560</f>
        <v>11.13</v>
      </c>
      <c r="DB560">
        <f>ROUND(ROUND(AT560*CZ560,2),2)</f>
        <v>38</v>
      </c>
      <c r="DC560">
        <f>ROUND(ROUND(AT560*AG560,2),2)</f>
        <v>0</v>
      </c>
    </row>
    <row r="561" spans="1:107" x14ac:dyDescent="0.2">
      <c r="A561">
        <f>ROW(Source!A221)</f>
        <v>221</v>
      </c>
      <c r="B561">
        <v>68990560</v>
      </c>
      <c r="C561">
        <v>68992650</v>
      </c>
      <c r="D561">
        <v>53930209</v>
      </c>
      <c r="E561">
        <v>1</v>
      </c>
      <c r="F561">
        <v>1</v>
      </c>
      <c r="G561">
        <v>1</v>
      </c>
      <c r="H561">
        <v>3</v>
      </c>
      <c r="I561" t="s">
        <v>550</v>
      </c>
      <c r="J561" t="s">
        <v>552</v>
      </c>
      <c r="K561" t="s">
        <v>551</v>
      </c>
      <c r="L561">
        <v>1301</v>
      </c>
      <c r="N561">
        <v>1003</v>
      </c>
      <c r="O561" t="s">
        <v>379</v>
      </c>
      <c r="P561" t="s">
        <v>379</v>
      </c>
      <c r="Q561">
        <v>1</v>
      </c>
      <c r="W561">
        <v>0</v>
      </c>
      <c r="X561">
        <v>559914826</v>
      </c>
      <c r="Y561">
        <v>100</v>
      </c>
      <c r="AA561">
        <v>9.9600000000000009</v>
      </c>
      <c r="AB561">
        <v>0</v>
      </c>
      <c r="AC561">
        <v>0</v>
      </c>
      <c r="AD561">
        <v>0</v>
      </c>
      <c r="AE561">
        <v>1.24</v>
      </c>
      <c r="AF561">
        <v>0</v>
      </c>
      <c r="AG561">
        <v>0</v>
      </c>
      <c r="AH561">
        <v>0</v>
      </c>
      <c r="AI561">
        <v>8.0299999999999994</v>
      </c>
      <c r="AJ561">
        <v>1</v>
      </c>
      <c r="AK561">
        <v>1</v>
      </c>
      <c r="AL561">
        <v>1</v>
      </c>
      <c r="AN561">
        <v>0</v>
      </c>
      <c r="AO561">
        <v>0</v>
      </c>
      <c r="AP561">
        <v>0</v>
      </c>
      <c r="AQ561">
        <v>0</v>
      </c>
      <c r="AR561">
        <v>0</v>
      </c>
      <c r="AS561" t="s">
        <v>3</v>
      </c>
      <c r="AT561">
        <v>100</v>
      </c>
      <c r="AU561" t="s">
        <v>3</v>
      </c>
      <c r="AV561">
        <v>0</v>
      </c>
      <c r="AW561">
        <v>1</v>
      </c>
      <c r="AX561">
        <v>-1</v>
      </c>
      <c r="AY561">
        <v>0</v>
      </c>
      <c r="AZ561">
        <v>0</v>
      </c>
      <c r="BA561" t="s">
        <v>3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Y561*Source!I221</f>
        <v>50</v>
      </c>
      <c r="CY561">
        <f>AA561</f>
        <v>9.9600000000000009</v>
      </c>
      <c r="CZ561">
        <f>AE561</f>
        <v>1.24</v>
      </c>
      <c r="DA561">
        <f>AI561</f>
        <v>8.0299999999999994</v>
      </c>
      <c r="DB561">
        <f>ROUND(ROUND(AT561*CZ561,2),2)</f>
        <v>124</v>
      </c>
      <c r="DC561">
        <f>ROUND(ROUND(AT561*AG561,2),2)</f>
        <v>0</v>
      </c>
    </row>
    <row r="562" spans="1:107" x14ac:dyDescent="0.2">
      <c r="A562">
        <f>ROW(Source!A221)</f>
        <v>221</v>
      </c>
      <c r="B562">
        <v>68990560</v>
      </c>
      <c r="C562">
        <v>68992650</v>
      </c>
      <c r="D562">
        <v>64245580</v>
      </c>
      <c r="E562">
        <v>56</v>
      </c>
      <c r="F562">
        <v>1</v>
      </c>
      <c r="G562">
        <v>1</v>
      </c>
      <c r="H562">
        <v>3</v>
      </c>
      <c r="I562" t="s">
        <v>837</v>
      </c>
      <c r="J562" t="s">
        <v>3</v>
      </c>
      <c r="K562" t="s">
        <v>838</v>
      </c>
      <c r="L562">
        <v>1374</v>
      </c>
      <c r="N562">
        <v>1013</v>
      </c>
      <c r="O562" t="s">
        <v>839</v>
      </c>
      <c r="P562" t="s">
        <v>839</v>
      </c>
      <c r="Q562">
        <v>1</v>
      </c>
      <c r="W562">
        <v>0</v>
      </c>
      <c r="X562">
        <v>-1731369543</v>
      </c>
      <c r="Y562">
        <v>2.79</v>
      </c>
      <c r="AA562">
        <v>1</v>
      </c>
      <c r="AB562">
        <v>0</v>
      </c>
      <c r="AC562">
        <v>0</v>
      </c>
      <c r="AD562">
        <v>0</v>
      </c>
      <c r="AE562">
        <v>1</v>
      </c>
      <c r="AF562">
        <v>0</v>
      </c>
      <c r="AG562">
        <v>0</v>
      </c>
      <c r="AH562">
        <v>0</v>
      </c>
      <c r="AI562">
        <v>1</v>
      </c>
      <c r="AJ562">
        <v>1</v>
      </c>
      <c r="AK562">
        <v>1</v>
      </c>
      <c r="AL562">
        <v>1</v>
      </c>
      <c r="AN562">
        <v>0</v>
      </c>
      <c r="AO562">
        <v>1</v>
      </c>
      <c r="AP562">
        <v>0</v>
      </c>
      <c r="AQ562">
        <v>0</v>
      </c>
      <c r="AR562">
        <v>0</v>
      </c>
      <c r="AS562" t="s">
        <v>3</v>
      </c>
      <c r="AT562">
        <v>2.79</v>
      </c>
      <c r="AU562" t="s">
        <v>3</v>
      </c>
      <c r="AV562">
        <v>0</v>
      </c>
      <c r="AW562">
        <v>2</v>
      </c>
      <c r="AX562">
        <v>68992658</v>
      </c>
      <c r="AY562">
        <v>1</v>
      </c>
      <c r="AZ562">
        <v>0</v>
      </c>
      <c r="BA562">
        <v>538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Y562*Source!I221</f>
        <v>1.395</v>
      </c>
      <c r="CY562">
        <f>AA562</f>
        <v>1</v>
      </c>
      <c r="CZ562">
        <f>AE562</f>
        <v>1</v>
      </c>
      <c r="DA562">
        <f>AI562</f>
        <v>1</v>
      </c>
      <c r="DB562">
        <f>ROUND(ROUND(AT562*CZ562,2),2)</f>
        <v>2.79</v>
      </c>
      <c r="DC562">
        <f>ROUND(ROUND(AT562*AG562,2),2)</f>
        <v>0</v>
      </c>
    </row>
    <row r="563" spans="1:107" x14ac:dyDescent="0.2">
      <c r="A563">
        <f>ROW(Source!A224)</f>
        <v>224</v>
      </c>
      <c r="B563">
        <v>68990560</v>
      </c>
      <c r="C563">
        <v>68992661</v>
      </c>
      <c r="D563">
        <v>37064878</v>
      </c>
      <c r="E563">
        <v>56</v>
      </c>
      <c r="F563">
        <v>1</v>
      </c>
      <c r="G563">
        <v>1</v>
      </c>
      <c r="H563">
        <v>1</v>
      </c>
      <c r="I563" t="s">
        <v>955</v>
      </c>
      <c r="J563" t="s">
        <v>3</v>
      </c>
      <c r="K563" t="s">
        <v>956</v>
      </c>
      <c r="L563">
        <v>1191</v>
      </c>
      <c r="N563">
        <v>1013</v>
      </c>
      <c r="O563" t="s">
        <v>818</v>
      </c>
      <c r="P563" t="s">
        <v>818</v>
      </c>
      <c r="Q563">
        <v>1</v>
      </c>
      <c r="W563">
        <v>0</v>
      </c>
      <c r="X563">
        <v>-1081351934</v>
      </c>
      <c r="Y563">
        <v>7.2765000000000004</v>
      </c>
      <c r="AA563">
        <v>0</v>
      </c>
      <c r="AB563">
        <v>0</v>
      </c>
      <c r="AC563">
        <v>0</v>
      </c>
      <c r="AD563">
        <v>9.4</v>
      </c>
      <c r="AE563">
        <v>0</v>
      </c>
      <c r="AF563">
        <v>0</v>
      </c>
      <c r="AG563">
        <v>0</v>
      </c>
      <c r="AH563">
        <v>9.4</v>
      </c>
      <c r="AI563">
        <v>1</v>
      </c>
      <c r="AJ563">
        <v>1</v>
      </c>
      <c r="AK563">
        <v>1</v>
      </c>
      <c r="AL563">
        <v>1</v>
      </c>
      <c r="AN563">
        <v>0</v>
      </c>
      <c r="AO563">
        <v>1</v>
      </c>
      <c r="AP563">
        <v>1</v>
      </c>
      <c r="AQ563">
        <v>0</v>
      </c>
      <c r="AR563">
        <v>0</v>
      </c>
      <c r="AS563" t="s">
        <v>3</v>
      </c>
      <c r="AT563">
        <v>5.39</v>
      </c>
      <c r="AU563" t="s">
        <v>200</v>
      </c>
      <c r="AV563">
        <v>1</v>
      </c>
      <c r="AW563">
        <v>2</v>
      </c>
      <c r="AX563">
        <v>68992673</v>
      </c>
      <c r="AY563">
        <v>1</v>
      </c>
      <c r="AZ563">
        <v>0</v>
      </c>
      <c r="BA563">
        <v>539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Y563*Source!I224</f>
        <v>3.6382500000000002</v>
      </c>
      <c r="CY563">
        <f>AD563</f>
        <v>9.4</v>
      </c>
      <c r="CZ563">
        <f>AH563</f>
        <v>9.4</v>
      </c>
      <c r="DA563">
        <f>AL563</f>
        <v>1</v>
      </c>
      <c r="DB563">
        <f>ROUND((ROUND(AT563*CZ563,2)*1.35),2)</f>
        <v>68.400000000000006</v>
      </c>
      <c r="DC563">
        <f>ROUND((ROUND(AT563*AG563,2)*1.35),2)</f>
        <v>0</v>
      </c>
    </row>
    <row r="564" spans="1:107" x14ac:dyDescent="0.2">
      <c r="A564">
        <f>ROW(Source!A224)</f>
        <v>224</v>
      </c>
      <c r="B564">
        <v>68990560</v>
      </c>
      <c r="C564">
        <v>68992661</v>
      </c>
      <c r="D564">
        <v>37064876</v>
      </c>
      <c r="E564">
        <v>56</v>
      </c>
      <c r="F564">
        <v>1</v>
      </c>
      <c r="G564">
        <v>1</v>
      </c>
      <c r="H564">
        <v>1</v>
      </c>
      <c r="I564" t="s">
        <v>819</v>
      </c>
      <c r="J564" t="s">
        <v>3</v>
      </c>
      <c r="K564" t="s">
        <v>820</v>
      </c>
      <c r="L564">
        <v>1191</v>
      </c>
      <c r="N564">
        <v>1013</v>
      </c>
      <c r="O564" t="s">
        <v>818</v>
      </c>
      <c r="P564" t="s">
        <v>818</v>
      </c>
      <c r="Q564">
        <v>1</v>
      </c>
      <c r="W564">
        <v>0</v>
      </c>
      <c r="X564">
        <v>-1417349443</v>
      </c>
      <c r="Y564">
        <v>5.4000000000000006E-2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1</v>
      </c>
      <c r="AJ564">
        <v>1</v>
      </c>
      <c r="AK564">
        <v>1</v>
      </c>
      <c r="AL564">
        <v>1</v>
      </c>
      <c r="AN564">
        <v>0</v>
      </c>
      <c r="AO564">
        <v>1</v>
      </c>
      <c r="AP564">
        <v>1</v>
      </c>
      <c r="AQ564">
        <v>0</v>
      </c>
      <c r="AR564">
        <v>0</v>
      </c>
      <c r="AS564" t="s">
        <v>3</v>
      </c>
      <c r="AT564">
        <v>0.04</v>
      </c>
      <c r="AU564" t="s">
        <v>200</v>
      </c>
      <c r="AV564">
        <v>2</v>
      </c>
      <c r="AW564">
        <v>2</v>
      </c>
      <c r="AX564">
        <v>68992674</v>
      </c>
      <c r="AY564">
        <v>1</v>
      </c>
      <c r="AZ564">
        <v>0</v>
      </c>
      <c r="BA564">
        <v>540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Y564*Source!I224</f>
        <v>2.7000000000000003E-2</v>
      </c>
      <c r="CY564">
        <f>AD564</f>
        <v>0</v>
      </c>
      <c r="CZ564">
        <f>AH564</f>
        <v>0</v>
      </c>
      <c r="DA564">
        <f>AL564</f>
        <v>1</v>
      </c>
      <c r="DB564">
        <f>ROUND((ROUND(AT564*CZ564,2)*1.35),2)</f>
        <v>0</v>
      </c>
      <c r="DC564">
        <f>ROUND((ROUND(AT564*AG564,2)*1.35),2)</f>
        <v>0</v>
      </c>
    </row>
    <row r="565" spans="1:107" x14ac:dyDescent="0.2">
      <c r="A565">
        <f>ROW(Source!A224)</f>
        <v>224</v>
      </c>
      <c r="B565">
        <v>68990560</v>
      </c>
      <c r="C565">
        <v>68992661</v>
      </c>
      <c r="D565">
        <v>64401763</v>
      </c>
      <c r="E565">
        <v>1</v>
      </c>
      <c r="F565">
        <v>1</v>
      </c>
      <c r="G565">
        <v>1</v>
      </c>
      <c r="H565">
        <v>2</v>
      </c>
      <c r="I565" t="s">
        <v>821</v>
      </c>
      <c r="J565" t="s">
        <v>822</v>
      </c>
      <c r="K565" t="s">
        <v>823</v>
      </c>
      <c r="L565">
        <v>1368</v>
      </c>
      <c r="N565">
        <v>1011</v>
      </c>
      <c r="O565" t="s">
        <v>824</v>
      </c>
      <c r="P565" t="s">
        <v>824</v>
      </c>
      <c r="Q565">
        <v>1</v>
      </c>
      <c r="W565">
        <v>0</v>
      </c>
      <c r="X565">
        <v>-1346461524</v>
      </c>
      <c r="Y565">
        <v>2.7000000000000003E-2</v>
      </c>
      <c r="AA565">
        <v>0</v>
      </c>
      <c r="AB565">
        <v>1074.3699999999999</v>
      </c>
      <c r="AC565">
        <v>454.28</v>
      </c>
      <c r="AD565">
        <v>0</v>
      </c>
      <c r="AE565">
        <v>0</v>
      </c>
      <c r="AF565">
        <v>115.4</v>
      </c>
      <c r="AG565">
        <v>13.5</v>
      </c>
      <c r="AH565">
        <v>0</v>
      </c>
      <c r="AI565">
        <v>1</v>
      </c>
      <c r="AJ565">
        <v>9.31</v>
      </c>
      <c r="AK565">
        <v>33.65</v>
      </c>
      <c r="AL565">
        <v>1</v>
      </c>
      <c r="AN565">
        <v>0</v>
      </c>
      <c r="AO565">
        <v>1</v>
      </c>
      <c r="AP565">
        <v>1</v>
      </c>
      <c r="AQ565">
        <v>0</v>
      </c>
      <c r="AR565">
        <v>0</v>
      </c>
      <c r="AS565" t="s">
        <v>3</v>
      </c>
      <c r="AT565">
        <v>0.02</v>
      </c>
      <c r="AU565" t="s">
        <v>200</v>
      </c>
      <c r="AV565">
        <v>0</v>
      </c>
      <c r="AW565">
        <v>2</v>
      </c>
      <c r="AX565">
        <v>68992675</v>
      </c>
      <c r="AY565">
        <v>1</v>
      </c>
      <c r="AZ565">
        <v>0</v>
      </c>
      <c r="BA565">
        <v>541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Y565*Source!I224</f>
        <v>1.3500000000000002E-2</v>
      </c>
      <c r="CY565">
        <f>AB565</f>
        <v>1074.3699999999999</v>
      </c>
      <c r="CZ565">
        <f>AF565</f>
        <v>115.4</v>
      </c>
      <c r="DA565">
        <f>AJ565</f>
        <v>9.31</v>
      </c>
      <c r="DB565">
        <f>ROUND((ROUND(AT565*CZ565,2)*1.35),2)</f>
        <v>3.12</v>
      </c>
      <c r="DC565">
        <f>ROUND((ROUND(AT565*AG565,2)*1.35),2)</f>
        <v>0.36</v>
      </c>
    </row>
    <row r="566" spans="1:107" x14ac:dyDescent="0.2">
      <c r="A566">
        <f>ROW(Source!A224)</f>
        <v>224</v>
      </c>
      <c r="B566">
        <v>68990560</v>
      </c>
      <c r="C566">
        <v>68992661</v>
      </c>
      <c r="D566">
        <v>64402691</v>
      </c>
      <c r="E566">
        <v>1</v>
      </c>
      <c r="F566">
        <v>1</v>
      </c>
      <c r="G566">
        <v>1</v>
      </c>
      <c r="H566">
        <v>2</v>
      </c>
      <c r="I566" t="s">
        <v>825</v>
      </c>
      <c r="J566" t="s">
        <v>826</v>
      </c>
      <c r="K566" t="s">
        <v>827</v>
      </c>
      <c r="L566">
        <v>1368</v>
      </c>
      <c r="N566">
        <v>1011</v>
      </c>
      <c r="O566" t="s">
        <v>824</v>
      </c>
      <c r="P566" t="s">
        <v>824</v>
      </c>
      <c r="Q566">
        <v>1</v>
      </c>
      <c r="W566">
        <v>0</v>
      </c>
      <c r="X566">
        <v>-841254546</v>
      </c>
      <c r="Y566">
        <v>2.7000000000000003E-2</v>
      </c>
      <c r="AA566">
        <v>0</v>
      </c>
      <c r="AB566">
        <v>776.04</v>
      </c>
      <c r="AC566">
        <v>390.34</v>
      </c>
      <c r="AD566">
        <v>0</v>
      </c>
      <c r="AE566">
        <v>0</v>
      </c>
      <c r="AF566">
        <v>65.709999999999994</v>
      </c>
      <c r="AG566">
        <v>11.6</v>
      </c>
      <c r="AH566">
        <v>0</v>
      </c>
      <c r="AI566">
        <v>1</v>
      </c>
      <c r="AJ566">
        <v>11.81</v>
      </c>
      <c r="AK566">
        <v>33.65</v>
      </c>
      <c r="AL566">
        <v>1</v>
      </c>
      <c r="AN566">
        <v>0</v>
      </c>
      <c r="AO566">
        <v>1</v>
      </c>
      <c r="AP566">
        <v>1</v>
      </c>
      <c r="AQ566">
        <v>0</v>
      </c>
      <c r="AR566">
        <v>0</v>
      </c>
      <c r="AS566" t="s">
        <v>3</v>
      </c>
      <c r="AT566">
        <v>0.02</v>
      </c>
      <c r="AU566" t="s">
        <v>200</v>
      </c>
      <c r="AV566">
        <v>0</v>
      </c>
      <c r="AW566">
        <v>2</v>
      </c>
      <c r="AX566">
        <v>68992676</v>
      </c>
      <c r="AY566">
        <v>1</v>
      </c>
      <c r="AZ566">
        <v>0</v>
      </c>
      <c r="BA566">
        <v>542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Y566*Source!I224</f>
        <v>1.3500000000000002E-2</v>
      </c>
      <c r="CY566">
        <f>AB566</f>
        <v>776.04</v>
      </c>
      <c r="CZ566">
        <f>AF566</f>
        <v>65.709999999999994</v>
      </c>
      <c r="DA566">
        <f>AJ566</f>
        <v>11.81</v>
      </c>
      <c r="DB566">
        <f>ROUND((ROUND(AT566*CZ566,2)*1.35),2)</f>
        <v>1.77</v>
      </c>
      <c r="DC566">
        <f>ROUND((ROUND(AT566*AG566,2)*1.35),2)</f>
        <v>0.31</v>
      </c>
    </row>
    <row r="567" spans="1:107" x14ac:dyDescent="0.2">
      <c r="A567">
        <f>ROW(Source!A224)</f>
        <v>224</v>
      </c>
      <c r="B567">
        <v>68990560</v>
      </c>
      <c r="C567">
        <v>68992661</v>
      </c>
      <c r="D567">
        <v>64253038</v>
      </c>
      <c r="E567">
        <v>1</v>
      </c>
      <c r="F567">
        <v>1</v>
      </c>
      <c r="G567">
        <v>1</v>
      </c>
      <c r="H567">
        <v>3</v>
      </c>
      <c r="I567" t="s">
        <v>828</v>
      </c>
      <c r="J567" t="s">
        <v>829</v>
      </c>
      <c r="K567" t="s">
        <v>830</v>
      </c>
      <c r="L567">
        <v>1346</v>
      </c>
      <c r="N567">
        <v>1009</v>
      </c>
      <c r="O567" t="s">
        <v>170</v>
      </c>
      <c r="P567" t="s">
        <v>170</v>
      </c>
      <c r="Q567">
        <v>1</v>
      </c>
      <c r="W567">
        <v>0</v>
      </c>
      <c r="X567">
        <v>456480056</v>
      </c>
      <c r="Y567">
        <v>0.16</v>
      </c>
      <c r="AA567">
        <v>240.77</v>
      </c>
      <c r="AB567">
        <v>0</v>
      </c>
      <c r="AC567">
        <v>0</v>
      </c>
      <c r="AD567">
        <v>0</v>
      </c>
      <c r="AE567">
        <v>30.4</v>
      </c>
      <c r="AF567">
        <v>0</v>
      </c>
      <c r="AG567">
        <v>0</v>
      </c>
      <c r="AH567">
        <v>0</v>
      </c>
      <c r="AI567">
        <v>7.92</v>
      </c>
      <c r="AJ567">
        <v>1</v>
      </c>
      <c r="AK567">
        <v>1</v>
      </c>
      <c r="AL567">
        <v>1</v>
      </c>
      <c r="AN567">
        <v>0</v>
      </c>
      <c r="AO567">
        <v>1</v>
      </c>
      <c r="AP567">
        <v>0</v>
      </c>
      <c r="AQ567">
        <v>0</v>
      </c>
      <c r="AR567">
        <v>0</v>
      </c>
      <c r="AS567" t="s">
        <v>3</v>
      </c>
      <c r="AT567">
        <v>0.16</v>
      </c>
      <c r="AU567" t="s">
        <v>3</v>
      </c>
      <c r="AV567">
        <v>0</v>
      </c>
      <c r="AW567">
        <v>2</v>
      </c>
      <c r="AX567">
        <v>68992677</v>
      </c>
      <c r="AY567">
        <v>1</v>
      </c>
      <c r="AZ567">
        <v>0</v>
      </c>
      <c r="BA567">
        <v>543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Y567*Source!I224</f>
        <v>0.08</v>
      </c>
      <c r="CY567">
        <f t="shared" ref="CY567:CY573" si="112">AA567</f>
        <v>240.77</v>
      </c>
      <c r="CZ567">
        <f t="shared" ref="CZ567:CZ573" si="113">AE567</f>
        <v>30.4</v>
      </c>
      <c r="DA567">
        <f t="shared" ref="DA567:DA573" si="114">AI567</f>
        <v>7.92</v>
      </c>
      <c r="DB567">
        <f t="shared" ref="DB567:DB573" si="115">ROUND(ROUND(AT567*CZ567,2),2)</f>
        <v>4.8600000000000003</v>
      </c>
      <c r="DC567">
        <f t="shared" ref="DC567:DC573" si="116">ROUND(ROUND(AT567*AG567,2),2)</f>
        <v>0</v>
      </c>
    </row>
    <row r="568" spans="1:107" x14ac:dyDescent="0.2">
      <c r="A568">
        <f>ROW(Source!A224)</f>
        <v>224</v>
      </c>
      <c r="B568">
        <v>68990560</v>
      </c>
      <c r="C568">
        <v>68992661</v>
      </c>
      <c r="D568">
        <v>64253321</v>
      </c>
      <c r="E568">
        <v>1</v>
      </c>
      <c r="F568">
        <v>1</v>
      </c>
      <c r="G568">
        <v>1</v>
      </c>
      <c r="H568">
        <v>3</v>
      </c>
      <c r="I568" t="s">
        <v>1222</v>
      </c>
      <c r="J568" t="s">
        <v>1223</v>
      </c>
      <c r="K568" t="s">
        <v>1224</v>
      </c>
      <c r="L568">
        <v>1348</v>
      </c>
      <c r="N568">
        <v>1009</v>
      </c>
      <c r="O568" t="s">
        <v>71</v>
      </c>
      <c r="P568" t="s">
        <v>71</v>
      </c>
      <c r="Q568">
        <v>1000</v>
      </c>
      <c r="W568">
        <v>0</v>
      </c>
      <c r="X568">
        <v>803804222</v>
      </c>
      <c r="Y568">
        <v>5.9999999999999995E-4</v>
      </c>
      <c r="AA568">
        <v>12812.8</v>
      </c>
      <c r="AB568">
        <v>0</v>
      </c>
      <c r="AC568">
        <v>0</v>
      </c>
      <c r="AD568">
        <v>0</v>
      </c>
      <c r="AE568">
        <v>1820</v>
      </c>
      <c r="AF568">
        <v>0</v>
      </c>
      <c r="AG568">
        <v>0</v>
      </c>
      <c r="AH568">
        <v>0</v>
      </c>
      <c r="AI568">
        <v>7.04</v>
      </c>
      <c r="AJ568">
        <v>1</v>
      </c>
      <c r="AK568">
        <v>1</v>
      </c>
      <c r="AL568">
        <v>1</v>
      </c>
      <c r="AN568">
        <v>0</v>
      </c>
      <c r="AO568">
        <v>1</v>
      </c>
      <c r="AP568">
        <v>0</v>
      </c>
      <c r="AQ568">
        <v>0</v>
      </c>
      <c r="AR568">
        <v>0</v>
      </c>
      <c r="AS568" t="s">
        <v>3</v>
      </c>
      <c r="AT568">
        <v>5.9999999999999995E-4</v>
      </c>
      <c r="AU568" t="s">
        <v>3</v>
      </c>
      <c r="AV568">
        <v>0</v>
      </c>
      <c r="AW568">
        <v>2</v>
      </c>
      <c r="AX568">
        <v>68992678</v>
      </c>
      <c r="AY568">
        <v>1</v>
      </c>
      <c r="AZ568">
        <v>0</v>
      </c>
      <c r="BA568">
        <v>544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Y568*Source!I224</f>
        <v>2.9999999999999997E-4</v>
      </c>
      <c r="CY568">
        <f t="shared" si="112"/>
        <v>12812.8</v>
      </c>
      <c r="CZ568">
        <f t="shared" si="113"/>
        <v>1820</v>
      </c>
      <c r="DA568">
        <f t="shared" si="114"/>
        <v>7.04</v>
      </c>
      <c r="DB568">
        <f t="shared" si="115"/>
        <v>1.0900000000000001</v>
      </c>
      <c r="DC568">
        <f t="shared" si="116"/>
        <v>0</v>
      </c>
    </row>
    <row r="569" spans="1:107" x14ac:dyDescent="0.2">
      <c r="A569">
        <f>ROW(Source!A224)</f>
        <v>224</v>
      </c>
      <c r="B569">
        <v>68990560</v>
      </c>
      <c r="C569">
        <v>68992661</v>
      </c>
      <c r="D569">
        <v>64284267</v>
      </c>
      <c r="E569">
        <v>1</v>
      </c>
      <c r="F569">
        <v>1</v>
      </c>
      <c r="G569">
        <v>1</v>
      </c>
      <c r="H569">
        <v>3</v>
      </c>
      <c r="I569" t="s">
        <v>1225</v>
      </c>
      <c r="J569" t="s">
        <v>1226</v>
      </c>
      <c r="K569" t="s">
        <v>1227</v>
      </c>
      <c r="L569">
        <v>1346</v>
      </c>
      <c r="N569">
        <v>1009</v>
      </c>
      <c r="O569" t="s">
        <v>170</v>
      </c>
      <c r="P569" t="s">
        <v>170</v>
      </c>
      <c r="Q569">
        <v>1</v>
      </c>
      <c r="W569">
        <v>0</v>
      </c>
      <c r="X569">
        <v>654902681</v>
      </c>
      <c r="Y569">
        <v>0.02</v>
      </c>
      <c r="AA569">
        <v>125.27</v>
      </c>
      <c r="AB569">
        <v>0</v>
      </c>
      <c r="AC569">
        <v>0</v>
      </c>
      <c r="AD569">
        <v>0</v>
      </c>
      <c r="AE569">
        <v>28.6</v>
      </c>
      <c r="AF569">
        <v>0</v>
      </c>
      <c r="AG569">
        <v>0</v>
      </c>
      <c r="AH569">
        <v>0</v>
      </c>
      <c r="AI569">
        <v>4.38</v>
      </c>
      <c r="AJ569">
        <v>1</v>
      </c>
      <c r="AK569">
        <v>1</v>
      </c>
      <c r="AL569">
        <v>1</v>
      </c>
      <c r="AN569">
        <v>0</v>
      </c>
      <c r="AO569">
        <v>1</v>
      </c>
      <c r="AP569">
        <v>0</v>
      </c>
      <c r="AQ569">
        <v>0</v>
      </c>
      <c r="AR569">
        <v>0</v>
      </c>
      <c r="AS569" t="s">
        <v>3</v>
      </c>
      <c r="AT569">
        <v>0.02</v>
      </c>
      <c r="AU569" t="s">
        <v>3</v>
      </c>
      <c r="AV569">
        <v>0</v>
      </c>
      <c r="AW569">
        <v>2</v>
      </c>
      <c r="AX569">
        <v>68992679</v>
      </c>
      <c r="AY569">
        <v>1</v>
      </c>
      <c r="AZ569">
        <v>0</v>
      </c>
      <c r="BA569">
        <v>545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Y569*Source!I224</f>
        <v>0.01</v>
      </c>
      <c r="CY569">
        <f t="shared" si="112"/>
        <v>125.27</v>
      </c>
      <c r="CZ569">
        <f t="shared" si="113"/>
        <v>28.6</v>
      </c>
      <c r="DA569">
        <f t="shared" si="114"/>
        <v>4.38</v>
      </c>
      <c r="DB569">
        <f t="shared" si="115"/>
        <v>0.56999999999999995</v>
      </c>
      <c r="DC569">
        <f t="shared" si="116"/>
        <v>0</v>
      </c>
    </row>
    <row r="570" spans="1:107" x14ac:dyDescent="0.2">
      <c r="A570">
        <f>ROW(Source!A224)</f>
        <v>224</v>
      </c>
      <c r="B570">
        <v>68990560</v>
      </c>
      <c r="C570">
        <v>68992661</v>
      </c>
      <c r="D570">
        <v>64297623</v>
      </c>
      <c r="E570">
        <v>1</v>
      </c>
      <c r="F570">
        <v>1</v>
      </c>
      <c r="G570">
        <v>1</v>
      </c>
      <c r="H570">
        <v>3</v>
      </c>
      <c r="I570" t="s">
        <v>1234</v>
      </c>
      <c r="J570" t="s">
        <v>1235</v>
      </c>
      <c r="K570" t="s">
        <v>1236</v>
      </c>
      <c r="L570">
        <v>1425</v>
      </c>
      <c r="N570">
        <v>1013</v>
      </c>
      <c r="O570" t="s">
        <v>18</v>
      </c>
      <c r="P570" t="s">
        <v>18</v>
      </c>
      <c r="Q570">
        <v>1</v>
      </c>
      <c r="W570">
        <v>0</v>
      </c>
      <c r="X570">
        <v>-627387212</v>
      </c>
      <c r="Y570">
        <v>0.05</v>
      </c>
      <c r="AA570">
        <v>704</v>
      </c>
      <c r="AB570">
        <v>0</v>
      </c>
      <c r="AC570">
        <v>0</v>
      </c>
      <c r="AD570">
        <v>0</v>
      </c>
      <c r="AE570">
        <v>110</v>
      </c>
      <c r="AF570">
        <v>0</v>
      </c>
      <c r="AG570">
        <v>0</v>
      </c>
      <c r="AH570">
        <v>0</v>
      </c>
      <c r="AI570">
        <v>6.4</v>
      </c>
      <c r="AJ570">
        <v>1</v>
      </c>
      <c r="AK570">
        <v>1</v>
      </c>
      <c r="AL570">
        <v>1</v>
      </c>
      <c r="AN570">
        <v>0</v>
      </c>
      <c r="AO570">
        <v>1</v>
      </c>
      <c r="AP570">
        <v>0</v>
      </c>
      <c r="AQ570">
        <v>0</v>
      </c>
      <c r="AR570">
        <v>0</v>
      </c>
      <c r="AS570" t="s">
        <v>3</v>
      </c>
      <c r="AT570">
        <v>0.05</v>
      </c>
      <c r="AU570" t="s">
        <v>3</v>
      </c>
      <c r="AV570">
        <v>0</v>
      </c>
      <c r="AW570">
        <v>2</v>
      </c>
      <c r="AX570">
        <v>68992680</v>
      </c>
      <c r="AY570">
        <v>1</v>
      </c>
      <c r="AZ570">
        <v>0</v>
      </c>
      <c r="BA570">
        <v>546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Y570*Source!I224</f>
        <v>2.5000000000000001E-2</v>
      </c>
      <c r="CY570">
        <f t="shared" si="112"/>
        <v>704</v>
      </c>
      <c r="CZ570">
        <f t="shared" si="113"/>
        <v>110</v>
      </c>
      <c r="DA570">
        <f t="shared" si="114"/>
        <v>6.4</v>
      </c>
      <c r="DB570">
        <f t="shared" si="115"/>
        <v>5.5</v>
      </c>
      <c r="DC570">
        <f t="shared" si="116"/>
        <v>0</v>
      </c>
    </row>
    <row r="571" spans="1:107" x14ac:dyDescent="0.2">
      <c r="A571">
        <f>ROW(Source!A224)</f>
        <v>224</v>
      </c>
      <c r="B571">
        <v>68990560</v>
      </c>
      <c r="C571">
        <v>68992661</v>
      </c>
      <c r="D571">
        <v>64297674</v>
      </c>
      <c r="E571">
        <v>1</v>
      </c>
      <c r="F571">
        <v>1</v>
      </c>
      <c r="G571">
        <v>1</v>
      </c>
      <c r="H571">
        <v>3</v>
      </c>
      <c r="I571" t="s">
        <v>1237</v>
      </c>
      <c r="J571" t="s">
        <v>1238</v>
      </c>
      <c r="K571" t="s">
        <v>1239</v>
      </c>
      <c r="L571">
        <v>1407</v>
      </c>
      <c r="N571">
        <v>1013</v>
      </c>
      <c r="O571" t="s">
        <v>1171</v>
      </c>
      <c r="P571" t="s">
        <v>1171</v>
      </c>
      <c r="Q571">
        <v>1</v>
      </c>
      <c r="W571">
        <v>0</v>
      </c>
      <c r="X571">
        <v>-2090374150</v>
      </c>
      <c r="Y571">
        <v>1.2200000000000001E-2</v>
      </c>
      <c r="AA571">
        <v>499.8</v>
      </c>
      <c r="AB571">
        <v>0</v>
      </c>
      <c r="AC571">
        <v>0</v>
      </c>
      <c r="AD571">
        <v>0</v>
      </c>
      <c r="AE571">
        <v>119</v>
      </c>
      <c r="AF571">
        <v>0</v>
      </c>
      <c r="AG571">
        <v>0</v>
      </c>
      <c r="AH571">
        <v>0</v>
      </c>
      <c r="AI571">
        <v>4.2</v>
      </c>
      <c r="AJ571">
        <v>1</v>
      </c>
      <c r="AK571">
        <v>1</v>
      </c>
      <c r="AL571">
        <v>1</v>
      </c>
      <c r="AN571">
        <v>0</v>
      </c>
      <c r="AO571">
        <v>1</v>
      </c>
      <c r="AP571">
        <v>0</v>
      </c>
      <c r="AQ571">
        <v>0</v>
      </c>
      <c r="AR571">
        <v>0</v>
      </c>
      <c r="AS571" t="s">
        <v>3</v>
      </c>
      <c r="AT571">
        <v>1.2200000000000001E-2</v>
      </c>
      <c r="AU571" t="s">
        <v>3</v>
      </c>
      <c r="AV571">
        <v>0</v>
      </c>
      <c r="AW571">
        <v>2</v>
      </c>
      <c r="AX571">
        <v>68992681</v>
      </c>
      <c r="AY571">
        <v>1</v>
      </c>
      <c r="AZ571">
        <v>0</v>
      </c>
      <c r="BA571">
        <v>547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Y571*Source!I224</f>
        <v>6.1000000000000004E-3</v>
      </c>
      <c r="CY571">
        <f t="shared" si="112"/>
        <v>499.8</v>
      </c>
      <c r="CZ571">
        <f t="shared" si="113"/>
        <v>119</v>
      </c>
      <c r="DA571">
        <f t="shared" si="114"/>
        <v>4.2</v>
      </c>
      <c r="DB571">
        <f t="shared" si="115"/>
        <v>1.45</v>
      </c>
      <c r="DC571">
        <f t="shared" si="116"/>
        <v>0</v>
      </c>
    </row>
    <row r="572" spans="1:107" x14ac:dyDescent="0.2">
      <c r="A572">
        <f>ROW(Source!A224)</f>
        <v>224</v>
      </c>
      <c r="B572">
        <v>68990560</v>
      </c>
      <c r="C572">
        <v>68992661</v>
      </c>
      <c r="D572">
        <v>53903934</v>
      </c>
      <c r="E572">
        <v>1</v>
      </c>
      <c r="F572">
        <v>1</v>
      </c>
      <c r="G572">
        <v>1</v>
      </c>
      <c r="H572">
        <v>3</v>
      </c>
      <c r="I572" t="s">
        <v>701</v>
      </c>
      <c r="J572" t="s">
        <v>702</v>
      </c>
      <c r="K572" t="s">
        <v>1344</v>
      </c>
      <c r="L572">
        <v>1301</v>
      </c>
      <c r="N572">
        <v>1003</v>
      </c>
      <c r="O572" t="s">
        <v>379</v>
      </c>
      <c r="P572" t="s">
        <v>379</v>
      </c>
      <c r="Q572">
        <v>1</v>
      </c>
      <c r="W572">
        <v>0</v>
      </c>
      <c r="X572">
        <v>-1153376764</v>
      </c>
      <c r="Y572">
        <v>100</v>
      </c>
      <c r="AA572">
        <v>23.22</v>
      </c>
      <c r="AB572">
        <v>0</v>
      </c>
      <c r="AC572">
        <v>0</v>
      </c>
      <c r="AD572">
        <v>0</v>
      </c>
      <c r="AE572">
        <v>7.49</v>
      </c>
      <c r="AF572">
        <v>0</v>
      </c>
      <c r="AG572">
        <v>0</v>
      </c>
      <c r="AH572">
        <v>0</v>
      </c>
      <c r="AI572">
        <v>3.1</v>
      </c>
      <c r="AJ572">
        <v>1</v>
      </c>
      <c r="AK572">
        <v>1</v>
      </c>
      <c r="AL572">
        <v>1</v>
      </c>
      <c r="AN572">
        <v>0</v>
      </c>
      <c r="AO572">
        <v>0</v>
      </c>
      <c r="AP572">
        <v>0</v>
      </c>
      <c r="AQ572">
        <v>0</v>
      </c>
      <c r="AR572">
        <v>0</v>
      </c>
      <c r="AS572" t="s">
        <v>3</v>
      </c>
      <c r="AT572">
        <v>100</v>
      </c>
      <c r="AU572" t="s">
        <v>3</v>
      </c>
      <c r="AV572">
        <v>0</v>
      </c>
      <c r="AW572">
        <v>1</v>
      </c>
      <c r="AX572">
        <v>-1</v>
      </c>
      <c r="AY572">
        <v>0</v>
      </c>
      <c r="AZ572">
        <v>0</v>
      </c>
      <c r="BA572" t="s">
        <v>3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Y572*Source!I224</f>
        <v>50</v>
      </c>
      <c r="CY572">
        <f t="shared" si="112"/>
        <v>23.22</v>
      </c>
      <c r="CZ572">
        <f t="shared" si="113"/>
        <v>7.49</v>
      </c>
      <c r="DA572">
        <f t="shared" si="114"/>
        <v>3.1</v>
      </c>
      <c r="DB572">
        <f t="shared" si="115"/>
        <v>749</v>
      </c>
      <c r="DC572">
        <f t="shared" si="116"/>
        <v>0</v>
      </c>
    </row>
    <row r="573" spans="1:107" x14ac:dyDescent="0.2">
      <c r="A573">
        <f>ROW(Source!A224)</f>
        <v>224</v>
      </c>
      <c r="B573">
        <v>68990560</v>
      </c>
      <c r="C573">
        <v>68992661</v>
      </c>
      <c r="D573">
        <v>64245580</v>
      </c>
      <c r="E573">
        <v>56</v>
      </c>
      <c r="F573">
        <v>1</v>
      </c>
      <c r="G573">
        <v>1</v>
      </c>
      <c r="H573">
        <v>3</v>
      </c>
      <c r="I573" t="s">
        <v>837</v>
      </c>
      <c r="J573" t="s">
        <v>3</v>
      </c>
      <c r="K573" t="s">
        <v>838</v>
      </c>
      <c r="L573">
        <v>1374</v>
      </c>
      <c r="N573">
        <v>1013</v>
      </c>
      <c r="O573" t="s">
        <v>839</v>
      </c>
      <c r="P573" t="s">
        <v>839</v>
      </c>
      <c r="Q573">
        <v>1</v>
      </c>
      <c r="W573">
        <v>0</v>
      </c>
      <c r="X573">
        <v>-1731369543</v>
      </c>
      <c r="Y573">
        <v>1.01</v>
      </c>
      <c r="AA573">
        <v>1</v>
      </c>
      <c r="AB573">
        <v>0</v>
      </c>
      <c r="AC573">
        <v>0</v>
      </c>
      <c r="AD573">
        <v>0</v>
      </c>
      <c r="AE573">
        <v>1</v>
      </c>
      <c r="AF573">
        <v>0</v>
      </c>
      <c r="AG573">
        <v>0</v>
      </c>
      <c r="AH573">
        <v>0</v>
      </c>
      <c r="AI573">
        <v>1</v>
      </c>
      <c r="AJ573">
        <v>1</v>
      </c>
      <c r="AK573">
        <v>1</v>
      </c>
      <c r="AL573">
        <v>1</v>
      </c>
      <c r="AN573">
        <v>0</v>
      </c>
      <c r="AO573">
        <v>1</v>
      </c>
      <c r="AP573">
        <v>0</v>
      </c>
      <c r="AQ573">
        <v>0</v>
      </c>
      <c r="AR573">
        <v>0</v>
      </c>
      <c r="AS573" t="s">
        <v>3</v>
      </c>
      <c r="AT573">
        <v>1.01</v>
      </c>
      <c r="AU573" t="s">
        <v>3</v>
      </c>
      <c r="AV573">
        <v>0</v>
      </c>
      <c r="AW573">
        <v>2</v>
      </c>
      <c r="AX573">
        <v>68992682</v>
      </c>
      <c r="AY573">
        <v>1</v>
      </c>
      <c r="AZ573">
        <v>0</v>
      </c>
      <c r="BA573">
        <v>548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Y573*Source!I224</f>
        <v>0.505</v>
      </c>
      <c r="CY573">
        <f t="shared" si="112"/>
        <v>1</v>
      </c>
      <c r="CZ573">
        <f t="shared" si="113"/>
        <v>1</v>
      </c>
      <c r="DA573">
        <f t="shared" si="114"/>
        <v>1</v>
      </c>
      <c r="DB573">
        <f t="shared" si="115"/>
        <v>1.01</v>
      </c>
      <c r="DC573">
        <f t="shared" si="116"/>
        <v>0</v>
      </c>
    </row>
    <row r="574" spans="1:107" x14ac:dyDescent="0.2">
      <c r="A574">
        <f>ROW(Source!A226)</f>
        <v>226</v>
      </c>
      <c r="B574">
        <v>68990560</v>
      </c>
      <c r="C574">
        <v>68992684</v>
      </c>
      <c r="D574">
        <v>37070202</v>
      </c>
      <c r="E574">
        <v>56</v>
      </c>
      <c r="F574">
        <v>1</v>
      </c>
      <c r="G574">
        <v>1</v>
      </c>
      <c r="H574">
        <v>1</v>
      </c>
      <c r="I574" t="s">
        <v>1240</v>
      </c>
      <c r="J574" t="s">
        <v>3</v>
      </c>
      <c r="K574" t="s">
        <v>1241</v>
      </c>
      <c r="L574">
        <v>1191</v>
      </c>
      <c r="N574">
        <v>1013</v>
      </c>
      <c r="O574" t="s">
        <v>818</v>
      </c>
      <c r="P574" t="s">
        <v>818</v>
      </c>
      <c r="Q574">
        <v>1</v>
      </c>
      <c r="W574">
        <v>0</v>
      </c>
      <c r="X574">
        <v>1983201532</v>
      </c>
      <c r="Y574">
        <v>21.991500000000002</v>
      </c>
      <c r="AA574">
        <v>0</v>
      </c>
      <c r="AB574">
        <v>0</v>
      </c>
      <c r="AC574">
        <v>0</v>
      </c>
      <c r="AD574">
        <v>9.51</v>
      </c>
      <c r="AE574">
        <v>0</v>
      </c>
      <c r="AF574">
        <v>0</v>
      </c>
      <c r="AG574">
        <v>0</v>
      </c>
      <c r="AH574">
        <v>9.51</v>
      </c>
      <c r="AI574">
        <v>1</v>
      </c>
      <c r="AJ574">
        <v>1</v>
      </c>
      <c r="AK574">
        <v>1</v>
      </c>
      <c r="AL574">
        <v>1</v>
      </c>
      <c r="AN574">
        <v>0</v>
      </c>
      <c r="AO574">
        <v>1</v>
      </c>
      <c r="AP574">
        <v>1</v>
      </c>
      <c r="AQ574">
        <v>0</v>
      </c>
      <c r="AR574">
        <v>0</v>
      </c>
      <c r="AS574" t="s">
        <v>3</v>
      </c>
      <c r="AT574">
        <v>16.29</v>
      </c>
      <c r="AU574" t="s">
        <v>200</v>
      </c>
      <c r="AV574">
        <v>1</v>
      </c>
      <c r="AW574">
        <v>2</v>
      </c>
      <c r="AX574">
        <v>68992692</v>
      </c>
      <c r="AY574">
        <v>1</v>
      </c>
      <c r="AZ574">
        <v>0</v>
      </c>
      <c r="BA574">
        <v>549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Y574*Source!I226</f>
        <v>2.3091075000000001</v>
      </c>
      <c r="CY574">
        <f>AD574</f>
        <v>9.51</v>
      </c>
      <c r="CZ574">
        <f>AH574</f>
        <v>9.51</v>
      </c>
      <c r="DA574">
        <f>AL574</f>
        <v>1</v>
      </c>
      <c r="DB574">
        <f>ROUND((ROUND(AT574*CZ574,2)*1.35),2)</f>
        <v>209.14</v>
      </c>
      <c r="DC574">
        <f>ROUND((ROUND(AT574*AG574,2)*1.35),2)</f>
        <v>0</v>
      </c>
    </row>
    <row r="575" spans="1:107" x14ac:dyDescent="0.2">
      <c r="A575">
        <f>ROW(Source!A226)</f>
        <v>226</v>
      </c>
      <c r="B575">
        <v>68990560</v>
      </c>
      <c r="C575">
        <v>68992684</v>
      </c>
      <c r="D575">
        <v>37064876</v>
      </c>
      <c r="E575">
        <v>56</v>
      </c>
      <c r="F575">
        <v>1</v>
      </c>
      <c r="G575">
        <v>1</v>
      </c>
      <c r="H575">
        <v>1</v>
      </c>
      <c r="I575" t="s">
        <v>819</v>
      </c>
      <c r="J575" t="s">
        <v>3</v>
      </c>
      <c r="K575" t="s">
        <v>820</v>
      </c>
      <c r="L575">
        <v>1191</v>
      </c>
      <c r="N575">
        <v>1013</v>
      </c>
      <c r="O575" t="s">
        <v>818</v>
      </c>
      <c r="P575" t="s">
        <v>818</v>
      </c>
      <c r="Q575">
        <v>1</v>
      </c>
      <c r="W575">
        <v>0</v>
      </c>
      <c r="X575">
        <v>-1417349443</v>
      </c>
      <c r="Y575">
        <v>1.3500000000000002E-2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1</v>
      </c>
      <c r="AJ575">
        <v>1</v>
      </c>
      <c r="AK575">
        <v>1</v>
      </c>
      <c r="AL575">
        <v>1</v>
      </c>
      <c r="AN575">
        <v>0</v>
      </c>
      <c r="AO575">
        <v>1</v>
      </c>
      <c r="AP575">
        <v>1</v>
      </c>
      <c r="AQ575">
        <v>0</v>
      </c>
      <c r="AR575">
        <v>0</v>
      </c>
      <c r="AS575" t="s">
        <v>3</v>
      </c>
      <c r="AT575">
        <v>0.01</v>
      </c>
      <c r="AU575" t="s">
        <v>200</v>
      </c>
      <c r="AV575">
        <v>2</v>
      </c>
      <c r="AW575">
        <v>2</v>
      </c>
      <c r="AX575">
        <v>68992693</v>
      </c>
      <c r="AY575">
        <v>1</v>
      </c>
      <c r="AZ575">
        <v>0</v>
      </c>
      <c r="BA575">
        <v>550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Y575*Source!I226</f>
        <v>1.4175000000000001E-3</v>
      </c>
      <c r="CY575">
        <f>AD575</f>
        <v>0</v>
      </c>
      <c r="CZ575">
        <f>AH575</f>
        <v>0</v>
      </c>
      <c r="DA575">
        <f>AL575</f>
        <v>1</v>
      </c>
      <c r="DB575">
        <f>ROUND((ROUND(AT575*CZ575,2)*1.35),2)</f>
        <v>0</v>
      </c>
      <c r="DC575">
        <f>ROUND((ROUND(AT575*AG575,2)*1.35),2)</f>
        <v>0</v>
      </c>
    </row>
    <row r="576" spans="1:107" x14ac:dyDescent="0.2">
      <c r="A576">
        <f>ROW(Source!A226)</f>
        <v>226</v>
      </c>
      <c r="B576">
        <v>68990560</v>
      </c>
      <c r="C576">
        <v>68992684</v>
      </c>
      <c r="D576">
        <v>64401959</v>
      </c>
      <c r="E576">
        <v>1</v>
      </c>
      <c r="F576">
        <v>1</v>
      </c>
      <c r="G576">
        <v>1</v>
      </c>
      <c r="H576">
        <v>2</v>
      </c>
      <c r="I576" t="s">
        <v>859</v>
      </c>
      <c r="J576" t="s">
        <v>860</v>
      </c>
      <c r="K576" t="s">
        <v>861</v>
      </c>
      <c r="L576">
        <v>1368</v>
      </c>
      <c r="N576">
        <v>1011</v>
      </c>
      <c r="O576" t="s">
        <v>824</v>
      </c>
      <c r="P576" t="s">
        <v>824</v>
      </c>
      <c r="Q576">
        <v>1</v>
      </c>
      <c r="W576">
        <v>0</v>
      </c>
      <c r="X576">
        <v>10009565</v>
      </c>
      <c r="Y576">
        <v>1.3500000000000002E-2</v>
      </c>
      <c r="AA576">
        <v>0</v>
      </c>
      <c r="AB576">
        <v>465.15</v>
      </c>
      <c r="AC576">
        <v>454.28</v>
      </c>
      <c r="AD576">
        <v>0</v>
      </c>
      <c r="AE576">
        <v>0</v>
      </c>
      <c r="AF576">
        <v>31.26</v>
      </c>
      <c r="AG576">
        <v>13.5</v>
      </c>
      <c r="AH576">
        <v>0</v>
      </c>
      <c r="AI576">
        <v>1</v>
      </c>
      <c r="AJ576">
        <v>14.88</v>
      </c>
      <c r="AK576">
        <v>33.65</v>
      </c>
      <c r="AL576">
        <v>1</v>
      </c>
      <c r="AN576">
        <v>0</v>
      </c>
      <c r="AO576">
        <v>1</v>
      </c>
      <c r="AP576">
        <v>1</v>
      </c>
      <c r="AQ576">
        <v>0</v>
      </c>
      <c r="AR576">
        <v>0</v>
      </c>
      <c r="AS576" t="s">
        <v>3</v>
      </c>
      <c r="AT576">
        <v>0.01</v>
      </c>
      <c r="AU576" t="s">
        <v>200</v>
      </c>
      <c r="AV576">
        <v>0</v>
      </c>
      <c r="AW576">
        <v>2</v>
      </c>
      <c r="AX576">
        <v>68992694</v>
      </c>
      <c r="AY576">
        <v>1</v>
      </c>
      <c r="AZ576">
        <v>0</v>
      </c>
      <c r="BA576">
        <v>551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Y576*Source!I226</f>
        <v>1.4175000000000001E-3</v>
      </c>
      <c r="CY576">
        <f>AB576</f>
        <v>465.15</v>
      </c>
      <c r="CZ576">
        <f>AF576</f>
        <v>31.26</v>
      </c>
      <c r="DA576">
        <f>AJ576</f>
        <v>14.88</v>
      </c>
      <c r="DB576">
        <f>ROUND((ROUND(AT576*CZ576,2)*1.35),2)</f>
        <v>0.42</v>
      </c>
      <c r="DC576">
        <f>ROUND((ROUND(AT576*AG576,2)*1.35),2)</f>
        <v>0.19</v>
      </c>
    </row>
    <row r="577" spans="1:107" x14ac:dyDescent="0.2">
      <c r="A577">
        <f>ROW(Source!A226)</f>
        <v>226</v>
      </c>
      <c r="B577">
        <v>68990560</v>
      </c>
      <c r="C577">
        <v>68992684</v>
      </c>
      <c r="D577">
        <v>64255147</v>
      </c>
      <c r="E577">
        <v>1</v>
      </c>
      <c r="F577">
        <v>1</v>
      </c>
      <c r="G577">
        <v>1</v>
      </c>
      <c r="H577">
        <v>3</v>
      </c>
      <c r="I577" t="s">
        <v>1242</v>
      </c>
      <c r="J577" t="s">
        <v>1243</v>
      </c>
      <c r="K577" t="s">
        <v>1244</v>
      </c>
      <c r="L577">
        <v>1407</v>
      </c>
      <c r="N577">
        <v>1013</v>
      </c>
      <c r="O577" t="s">
        <v>1171</v>
      </c>
      <c r="P577" t="s">
        <v>1171</v>
      </c>
      <c r="Q577">
        <v>1</v>
      </c>
      <c r="W577">
        <v>0</v>
      </c>
      <c r="X577">
        <v>1180275829</v>
      </c>
      <c r="Y577">
        <v>0.2</v>
      </c>
      <c r="AA577">
        <v>1188</v>
      </c>
      <c r="AB577">
        <v>0</v>
      </c>
      <c r="AC577">
        <v>0</v>
      </c>
      <c r="AD577">
        <v>0</v>
      </c>
      <c r="AE577">
        <v>180</v>
      </c>
      <c r="AF577">
        <v>0</v>
      </c>
      <c r="AG577">
        <v>0</v>
      </c>
      <c r="AH577">
        <v>0</v>
      </c>
      <c r="AI577">
        <v>6.6</v>
      </c>
      <c r="AJ577">
        <v>1</v>
      </c>
      <c r="AK577">
        <v>1</v>
      </c>
      <c r="AL577">
        <v>1</v>
      </c>
      <c r="AN577">
        <v>0</v>
      </c>
      <c r="AO577">
        <v>1</v>
      </c>
      <c r="AP577">
        <v>0</v>
      </c>
      <c r="AQ577">
        <v>0</v>
      </c>
      <c r="AR577">
        <v>0</v>
      </c>
      <c r="AS577" t="s">
        <v>3</v>
      </c>
      <c r="AT577">
        <v>0.2</v>
      </c>
      <c r="AU577" t="s">
        <v>3</v>
      </c>
      <c r="AV577">
        <v>0</v>
      </c>
      <c r="AW577">
        <v>2</v>
      </c>
      <c r="AX577">
        <v>68992695</v>
      </c>
      <c r="AY577">
        <v>1</v>
      </c>
      <c r="AZ577">
        <v>0</v>
      </c>
      <c r="BA577">
        <v>552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Y577*Source!I226</f>
        <v>2.1000000000000001E-2</v>
      </c>
      <c r="CY577">
        <f>AA577</f>
        <v>1188</v>
      </c>
      <c r="CZ577">
        <f>AE577</f>
        <v>180</v>
      </c>
      <c r="DA577">
        <f>AI577</f>
        <v>6.6</v>
      </c>
      <c r="DB577">
        <f>ROUND(ROUND(AT577*CZ577,2),2)</f>
        <v>36</v>
      </c>
      <c r="DC577">
        <f>ROUND(ROUND(AT577*AG577,2),2)</f>
        <v>0</v>
      </c>
    </row>
    <row r="578" spans="1:107" x14ac:dyDescent="0.2">
      <c r="A578">
        <f>ROW(Source!A226)</f>
        <v>226</v>
      </c>
      <c r="B578">
        <v>68990560</v>
      </c>
      <c r="C578">
        <v>68992684</v>
      </c>
      <c r="D578">
        <v>64255521</v>
      </c>
      <c r="E578">
        <v>1</v>
      </c>
      <c r="F578">
        <v>1</v>
      </c>
      <c r="G578">
        <v>1</v>
      </c>
      <c r="H578">
        <v>3</v>
      </c>
      <c r="I578" t="s">
        <v>1213</v>
      </c>
      <c r="J578" t="s">
        <v>1214</v>
      </c>
      <c r="K578" t="s">
        <v>1215</v>
      </c>
      <c r="L578">
        <v>1348</v>
      </c>
      <c r="N578">
        <v>1009</v>
      </c>
      <c r="O578" t="s">
        <v>71</v>
      </c>
      <c r="P578" t="s">
        <v>71</v>
      </c>
      <c r="Q578">
        <v>1000</v>
      </c>
      <c r="W578">
        <v>0</v>
      </c>
      <c r="X578">
        <v>939189209</v>
      </c>
      <c r="Y578">
        <v>1E-3</v>
      </c>
      <c r="AA578">
        <v>66749.100000000006</v>
      </c>
      <c r="AB578">
        <v>0</v>
      </c>
      <c r="AC578">
        <v>0</v>
      </c>
      <c r="AD578">
        <v>0</v>
      </c>
      <c r="AE578">
        <v>12430</v>
      </c>
      <c r="AF578">
        <v>0</v>
      </c>
      <c r="AG578">
        <v>0</v>
      </c>
      <c r="AH578">
        <v>0</v>
      </c>
      <c r="AI578">
        <v>5.37</v>
      </c>
      <c r="AJ578">
        <v>1</v>
      </c>
      <c r="AK578">
        <v>1</v>
      </c>
      <c r="AL578">
        <v>1</v>
      </c>
      <c r="AN578">
        <v>0</v>
      </c>
      <c r="AO578">
        <v>1</v>
      </c>
      <c r="AP578">
        <v>0</v>
      </c>
      <c r="AQ578">
        <v>0</v>
      </c>
      <c r="AR578">
        <v>0</v>
      </c>
      <c r="AS578" t="s">
        <v>3</v>
      </c>
      <c r="AT578">
        <v>1E-3</v>
      </c>
      <c r="AU578" t="s">
        <v>3</v>
      </c>
      <c r="AV578">
        <v>0</v>
      </c>
      <c r="AW578">
        <v>2</v>
      </c>
      <c r="AX578">
        <v>68992696</v>
      </c>
      <c r="AY578">
        <v>1</v>
      </c>
      <c r="AZ578">
        <v>0</v>
      </c>
      <c r="BA578">
        <v>553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Y578*Source!I226</f>
        <v>1.05E-4</v>
      </c>
      <c r="CY578">
        <f>AA578</f>
        <v>66749.100000000006</v>
      </c>
      <c r="CZ578">
        <f>AE578</f>
        <v>12430</v>
      </c>
      <c r="DA578">
        <f>AI578</f>
        <v>5.37</v>
      </c>
      <c r="DB578">
        <f>ROUND(ROUND(AT578*CZ578,2),2)</f>
        <v>12.43</v>
      </c>
      <c r="DC578">
        <f>ROUND(ROUND(AT578*AG578,2),2)</f>
        <v>0</v>
      </c>
    </row>
    <row r="579" spans="1:107" x14ac:dyDescent="0.2">
      <c r="A579">
        <f>ROW(Source!A226)</f>
        <v>226</v>
      </c>
      <c r="B579">
        <v>68990560</v>
      </c>
      <c r="C579">
        <v>68992684</v>
      </c>
      <c r="D579">
        <v>53929730</v>
      </c>
      <c r="E579">
        <v>1</v>
      </c>
      <c r="F579">
        <v>1</v>
      </c>
      <c r="G579">
        <v>1</v>
      </c>
      <c r="H579">
        <v>3</v>
      </c>
      <c r="I579" t="s">
        <v>710</v>
      </c>
      <c r="J579" t="s">
        <v>712</v>
      </c>
      <c r="K579" t="s">
        <v>711</v>
      </c>
      <c r="L579">
        <v>1308</v>
      </c>
      <c r="N579">
        <v>1003</v>
      </c>
      <c r="O579" t="s">
        <v>90</v>
      </c>
      <c r="P579" t="s">
        <v>90</v>
      </c>
      <c r="Q579">
        <v>100</v>
      </c>
      <c r="W579">
        <v>0</v>
      </c>
      <c r="X579">
        <v>-2062817535</v>
      </c>
      <c r="Y579">
        <v>4.7619000000000002E-2</v>
      </c>
      <c r="AA579">
        <v>8183.3</v>
      </c>
      <c r="AB579">
        <v>0</v>
      </c>
      <c r="AC579">
        <v>0</v>
      </c>
      <c r="AD579">
        <v>0</v>
      </c>
      <c r="AE579">
        <v>730</v>
      </c>
      <c r="AF579">
        <v>0</v>
      </c>
      <c r="AG579">
        <v>0</v>
      </c>
      <c r="AH579">
        <v>0</v>
      </c>
      <c r="AI579">
        <v>11.21</v>
      </c>
      <c r="AJ579">
        <v>1</v>
      </c>
      <c r="AK579">
        <v>1</v>
      </c>
      <c r="AL579">
        <v>1</v>
      </c>
      <c r="AN579">
        <v>0</v>
      </c>
      <c r="AO579">
        <v>0</v>
      </c>
      <c r="AP579">
        <v>0</v>
      </c>
      <c r="AQ579">
        <v>0</v>
      </c>
      <c r="AR579">
        <v>0</v>
      </c>
      <c r="AS579" t="s">
        <v>3</v>
      </c>
      <c r="AT579">
        <v>4.7619000000000002E-2</v>
      </c>
      <c r="AU579" t="s">
        <v>3</v>
      </c>
      <c r="AV579">
        <v>0</v>
      </c>
      <c r="AW579">
        <v>1</v>
      </c>
      <c r="AX579">
        <v>-1</v>
      </c>
      <c r="AY579">
        <v>0</v>
      </c>
      <c r="AZ579">
        <v>0</v>
      </c>
      <c r="BA579" t="s">
        <v>3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Y579*Source!I226</f>
        <v>4.9999950000000001E-3</v>
      </c>
      <c r="CY579">
        <f>AA579</f>
        <v>8183.3</v>
      </c>
      <c r="CZ579">
        <f>AE579</f>
        <v>730</v>
      </c>
      <c r="DA579">
        <f>AI579</f>
        <v>11.21</v>
      </c>
      <c r="DB579">
        <f>ROUND(ROUND(AT579*CZ579,2),2)</f>
        <v>34.76</v>
      </c>
      <c r="DC579">
        <f>ROUND(ROUND(AT579*AG579,2),2)</f>
        <v>0</v>
      </c>
    </row>
    <row r="580" spans="1:107" x14ac:dyDescent="0.2">
      <c r="A580">
        <f>ROW(Source!A226)</f>
        <v>226</v>
      </c>
      <c r="B580">
        <v>68990560</v>
      </c>
      <c r="C580">
        <v>68992684</v>
      </c>
      <c r="D580">
        <v>64298485</v>
      </c>
      <c r="E580">
        <v>1</v>
      </c>
      <c r="F580">
        <v>1</v>
      </c>
      <c r="G580">
        <v>1</v>
      </c>
      <c r="H580">
        <v>3</v>
      </c>
      <c r="I580" t="s">
        <v>587</v>
      </c>
      <c r="J580" t="s">
        <v>705</v>
      </c>
      <c r="K580" t="s">
        <v>588</v>
      </c>
      <c r="L580">
        <v>1301</v>
      </c>
      <c r="N580">
        <v>1003</v>
      </c>
      <c r="O580" t="s">
        <v>379</v>
      </c>
      <c r="P580" t="s">
        <v>379</v>
      </c>
      <c r="Q580">
        <v>1</v>
      </c>
      <c r="W580">
        <v>0</v>
      </c>
      <c r="X580">
        <v>-1011760881</v>
      </c>
      <c r="Y580">
        <v>95.238095000000001</v>
      </c>
      <c r="AA580">
        <v>63.28</v>
      </c>
      <c r="AB580">
        <v>0</v>
      </c>
      <c r="AC580">
        <v>0</v>
      </c>
      <c r="AD580">
        <v>0</v>
      </c>
      <c r="AE580">
        <v>7.15</v>
      </c>
      <c r="AF580">
        <v>0</v>
      </c>
      <c r="AG580">
        <v>0</v>
      </c>
      <c r="AH580">
        <v>0</v>
      </c>
      <c r="AI580">
        <v>8.85</v>
      </c>
      <c r="AJ580">
        <v>1</v>
      </c>
      <c r="AK580">
        <v>1</v>
      </c>
      <c r="AL580">
        <v>1</v>
      </c>
      <c r="AN580">
        <v>0</v>
      </c>
      <c r="AO580">
        <v>0</v>
      </c>
      <c r="AP580">
        <v>0</v>
      </c>
      <c r="AQ580">
        <v>0</v>
      </c>
      <c r="AR580">
        <v>0</v>
      </c>
      <c r="AS580" t="s">
        <v>3</v>
      </c>
      <c r="AT580">
        <v>95.238095000000001</v>
      </c>
      <c r="AU580" t="s">
        <v>3</v>
      </c>
      <c r="AV580">
        <v>0</v>
      </c>
      <c r="AW580">
        <v>1</v>
      </c>
      <c r="AX580">
        <v>-1</v>
      </c>
      <c r="AY580">
        <v>0</v>
      </c>
      <c r="AZ580">
        <v>0</v>
      </c>
      <c r="BA580" t="s">
        <v>3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Y580*Source!I226</f>
        <v>9.9999999749999997</v>
      </c>
      <c r="CY580">
        <f>AA580</f>
        <v>63.28</v>
      </c>
      <c r="CZ580">
        <f>AE580</f>
        <v>7.15</v>
      </c>
      <c r="DA580">
        <f>AI580</f>
        <v>8.85</v>
      </c>
      <c r="DB580">
        <f>ROUND(ROUND(AT580*CZ580,2),2)</f>
        <v>680.95</v>
      </c>
      <c r="DC580">
        <f>ROUND(ROUND(AT580*AG580,2),2)</f>
        <v>0</v>
      </c>
    </row>
    <row r="581" spans="1:107" x14ac:dyDescent="0.2">
      <c r="A581">
        <f>ROW(Source!A226)</f>
        <v>226</v>
      </c>
      <c r="B581">
        <v>68990560</v>
      </c>
      <c r="C581">
        <v>68992684</v>
      </c>
      <c r="D581">
        <v>64245580</v>
      </c>
      <c r="E581">
        <v>56</v>
      </c>
      <c r="F581">
        <v>1</v>
      </c>
      <c r="G581">
        <v>1</v>
      </c>
      <c r="H581">
        <v>3</v>
      </c>
      <c r="I581" t="s">
        <v>837</v>
      </c>
      <c r="J581" t="s">
        <v>3</v>
      </c>
      <c r="K581" t="s">
        <v>838</v>
      </c>
      <c r="L581">
        <v>1374</v>
      </c>
      <c r="N581">
        <v>1013</v>
      </c>
      <c r="O581" t="s">
        <v>839</v>
      </c>
      <c r="P581" t="s">
        <v>839</v>
      </c>
      <c r="Q581">
        <v>1</v>
      </c>
      <c r="W581">
        <v>0</v>
      </c>
      <c r="X581">
        <v>-1731369543</v>
      </c>
      <c r="Y581">
        <v>3.1</v>
      </c>
      <c r="AA581">
        <v>1</v>
      </c>
      <c r="AB581">
        <v>0</v>
      </c>
      <c r="AC581">
        <v>0</v>
      </c>
      <c r="AD581">
        <v>0</v>
      </c>
      <c r="AE581">
        <v>1</v>
      </c>
      <c r="AF581">
        <v>0</v>
      </c>
      <c r="AG581">
        <v>0</v>
      </c>
      <c r="AH581">
        <v>0</v>
      </c>
      <c r="AI581">
        <v>1</v>
      </c>
      <c r="AJ581">
        <v>1</v>
      </c>
      <c r="AK581">
        <v>1</v>
      </c>
      <c r="AL581">
        <v>1</v>
      </c>
      <c r="AN581">
        <v>0</v>
      </c>
      <c r="AO581">
        <v>1</v>
      </c>
      <c r="AP581">
        <v>0</v>
      </c>
      <c r="AQ581">
        <v>0</v>
      </c>
      <c r="AR581">
        <v>0</v>
      </c>
      <c r="AS581" t="s">
        <v>3</v>
      </c>
      <c r="AT581">
        <v>3.1</v>
      </c>
      <c r="AU581" t="s">
        <v>3</v>
      </c>
      <c r="AV581">
        <v>0</v>
      </c>
      <c r="AW581">
        <v>2</v>
      </c>
      <c r="AX581">
        <v>68992697</v>
      </c>
      <c r="AY581">
        <v>1</v>
      </c>
      <c r="AZ581">
        <v>0</v>
      </c>
      <c r="BA581">
        <v>554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Y581*Source!I226</f>
        <v>0.32550000000000001</v>
      </c>
      <c r="CY581">
        <f>AA581</f>
        <v>1</v>
      </c>
      <c r="CZ581">
        <f>AE581</f>
        <v>1</v>
      </c>
      <c r="DA581">
        <f>AI581</f>
        <v>1</v>
      </c>
      <c r="DB581">
        <f>ROUND(ROUND(AT581*CZ581,2),2)</f>
        <v>3.1</v>
      </c>
      <c r="DC581">
        <f>ROUND(ROUND(AT581*AG581,2),2)</f>
        <v>0</v>
      </c>
    </row>
    <row r="582" spans="1:107" x14ac:dyDescent="0.2">
      <c r="A582">
        <f>ROW(Source!A229)</f>
        <v>229</v>
      </c>
      <c r="B582">
        <v>68990560</v>
      </c>
      <c r="C582">
        <v>68992699</v>
      </c>
      <c r="D582">
        <v>37064878</v>
      </c>
      <c r="E582">
        <v>56</v>
      </c>
      <c r="F582">
        <v>1</v>
      </c>
      <c r="G582">
        <v>1</v>
      </c>
      <c r="H582">
        <v>1</v>
      </c>
      <c r="I582" t="s">
        <v>955</v>
      </c>
      <c r="J582" t="s">
        <v>3</v>
      </c>
      <c r="K582" t="s">
        <v>956</v>
      </c>
      <c r="L582">
        <v>1191</v>
      </c>
      <c r="N582">
        <v>1013</v>
      </c>
      <c r="O582" t="s">
        <v>818</v>
      </c>
      <c r="P582" t="s">
        <v>818</v>
      </c>
      <c r="Q582">
        <v>1</v>
      </c>
      <c r="W582">
        <v>0</v>
      </c>
      <c r="X582">
        <v>-1081351934</v>
      </c>
      <c r="Y582">
        <v>3.8069999999999999</v>
      </c>
      <c r="AA582">
        <v>0</v>
      </c>
      <c r="AB582">
        <v>0</v>
      </c>
      <c r="AC582">
        <v>0</v>
      </c>
      <c r="AD582">
        <v>9.4</v>
      </c>
      <c r="AE582">
        <v>0</v>
      </c>
      <c r="AF582">
        <v>0</v>
      </c>
      <c r="AG582">
        <v>0</v>
      </c>
      <c r="AH582">
        <v>9.4</v>
      </c>
      <c r="AI582">
        <v>1</v>
      </c>
      <c r="AJ582">
        <v>1</v>
      </c>
      <c r="AK582">
        <v>1</v>
      </c>
      <c r="AL582">
        <v>1</v>
      </c>
      <c r="AN582">
        <v>0</v>
      </c>
      <c r="AO582">
        <v>1</v>
      </c>
      <c r="AP582">
        <v>1</v>
      </c>
      <c r="AQ582">
        <v>0</v>
      </c>
      <c r="AR582">
        <v>0</v>
      </c>
      <c r="AS582" t="s">
        <v>3</v>
      </c>
      <c r="AT582">
        <v>2.82</v>
      </c>
      <c r="AU582" t="s">
        <v>200</v>
      </c>
      <c r="AV582">
        <v>1</v>
      </c>
      <c r="AW582">
        <v>2</v>
      </c>
      <c r="AX582">
        <v>68992709</v>
      </c>
      <c r="AY582">
        <v>1</v>
      </c>
      <c r="AZ582">
        <v>0</v>
      </c>
      <c r="BA582">
        <v>555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Y582*Source!I229</f>
        <v>0.39973499999999995</v>
      </c>
      <c r="CY582">
        <f>AD582</f>
        <v>9.4</v>
      </c>
      <c r="CZ582">
        <f>AH582</f>
        <v>9.4</v>
      </c>
      <c r="DA582">
        <f>AL582</f>
        <v>1</v>
      </c>
      <c r="DB582">
        <f>ROUND((ROUND(AT582*CZ582,2)*1.35),2)</f>
        <v>35.79</v>
      </c>
      <c r="DC582">
        <f>ROUND((ROUND(AT582*AG582,2)*1.35),2)</f>
        <v>0</v>
      </c>
    </row>
    <row r="583" spans="1:107" x14ac:dyDescent="0.2">
      <c r="A583">
        <f>ROW(Source!A229)</f>
        <v>229</v>
      </c>
      <c r="B583">
        <v>68990560</v>
      </c>
      <c r="C583">
        <v>68992699</v>
      </c>
      <c r="D583">
        <v>37064876</v>
      </c>
      <c r="E583">
        <v>56</v>
      </c>
      <c r="F583">
        <v>1</v>
      </c>
      <c r="G583">
        <v>1</v>
      </c>
      <c r="H583">
        <v>1</v>
      </c>
      <c r="I583" t="s">
        <v>819</v>
      </c>
      <c r="J583" t="s">
        <v>3</v>
      </c>
      <c r="K583" t="s">
        <v>820</v>
      </c>
      <c r="L583">
        <v>1191</v>
      </c>
      <c r="N583">
        <v>1013</v>
      </c>
      <c r="O583" t="s">
        <v>818</v>
      </c>
      <c r="P583" t="s">
        <v>818</v>
      </c>
      <c r="Q583">
        <v>1</v>
      </c>
      <c r="W583">
        <v>0</v>
      </c>
      <c r="X583">
        <v>-1417349443</v>
      </c>
      <c r="Y583">
        <v>2.7000000000000003E-2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1</v>
      </c>
      <c r="AJ583">
        <v>1</v>
      </c>
      <c r="AK583">
        <v>1</v>
      </c>
      <c r="AL583">
        <v>1</v>
      </c>
      <c r="AN583">
        <v>0</v>
      </c>
      <c r="AO583">
        <v>1</v>
      </c>
      <c r="AP583">
        <v>1</v>
      </c>
      <c r="AQ583">
        <v>0</v>
      </c>
      <c r="AR583">
        <v>0</v>
      </c>
      <c r="AS583" t="s">
        <v>3</v>
      </c>
      <c r="AT583">
        <v>0.02</v>
      </c>
      <c r="AU583" t="s">
        <v>200</v>
      </c>
      <c r="AV583">
        <v>2</v>
      </c>
      <c r="AW583">
        <v>2</v>
      </c>
      <c r="AX583">
        <v>68992710</v>
      </c>
      <c r="AY583">
        <v>1</v>
      </c>
      <c r="AZ583">
        <v>0</v>
      </c>
      <c r="BA583">
        <v>556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Y583*Source!I229</f>
        <v>2.8350000000000003E-3</v>
      </c>
      <c r="CY583">
        <f>AD583</f>
        <v>0</v>
      </c>
      <c r="CZ583">
        <f>AH583</f>
        <v>0</v>
      </c>
      <c r="DA583">
        <f>AL583</f>
        <v>1</v>
      </c>
      <c r="DB583">
        <f>ROUND((ROUND(AT583*CZ583,2)*1.35),2)</f>
        <v>0</v>
      </c>
      <c r="DC583">
        <f>ROUND((ROUND(AT583*AG583,2)*1.35),2)</f>
        <v>0</v>
      </c>
    </row>
    <row r="584" spans="1:107" x14ac:dyDescent="0.2">
      <c r="A584">
        <f>ROW(Source!A229)</f>
        <v>229</v>
      </c>
      <c r="B584">
        <v>68990560</v>
      </c>
      <c r="C584">
        <v>68992699</v>
      </c>
      <c r="D584">
        <v>64401763</v>
      </c>
      <c r="E584">
        <v>1</v>
      </c>
      <c r="F584">
        <v>1</v>
      </c>
      <c r="G584">
        <v>1</v>
      </c>
      <c r="H584">
        <v>2</v>
      </c>
      <c r="I584" t="s">
        <v>821</v>
      </c>
      <c r="J584" t="s">
        <v>822</v>
      </c>
      <c r="K584" t="s">
        <v>823</v>
      </c>
      <c r="L584">
        <v>1368</v>
      </c>
      <c r="N584">
        <v>1011</v>
      </c>
      <c r="O584" t="s">
        <v>824</v>
      </c>
      <c r="P584" t="s">
        <v>824</v>
      </c>
      <c r="Q584">
        <v>1</v>
      </c>
      <c r="W584">
        <v>0</v>
      </c>
      <c r="X584">
        <v>-1346461524</v>
      </c>
      <c r="Y584">
        <v>1.3500000000000002E-2</v>
      </c>
      <c r="AA584">
        <v>0</v>
      </c>
      <c r="AB584">
        <v>1074.3699999999999</v>
      </c>
      <c r="AC584">
        <v>454.28</v>
      </c>
      <c r="AD584">
        <v>0</v>
      </c>
      <c r="AE584">
        <v>0</v>
      </c>
      <c r="AF584">
        <v>115.4</v>
      </c>
      <c r="AG584">
        <v>13.5</v>
      </c>
      <c r="AH584">
        <v>0</v>
      </c>
      <c r="AI584">
        <v>1</v>
      </c>
      <c r="AJ584">
        <v>9.31</v>
      </c>
      <c r="AK584">
        <v>33.65</v>
      </c>
      <c r="AL584">
        <v>1</v>
      </c>
      <c r="AN584">
        <v>0</v>
      </c>
      <c r="AO584">
        <v>1</v>
      </c>
      <c r="AP584">
        <v>1</v>
      </c>
      <c r="AQ584">
        <v>0</v>
      </c>
      <c r="AR584">
        <v>0</v>
      </c>
      <c r="AS584" t="s">
        <v>3</v>
      </c>
      <c r="AT584">
        <v>0.01</v>
      </c>
      <c r="AU584" t="s">
        <v>200</v>
      </c>
      <c r="AV584">
        <v>0</v>
      </c>
      <c r="AW584">
        <v>2</v>
      </c>
      <c r="AX584">
        <v>68992711</v>
      </c>
      <c r="AY584">
        <v>1</v>
      </c>
      <c r="AZ584">
        <v>0</v>
      </c>
      <c r="BA584">
        <v>557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Y584*Source!I229</f>
        <v>1.4175000000000001E-3</v>
      </c>
      <c r="CY584">
        <f>AB584</f>
        <v>1074.3699999999999</v>
      </c>
      <c r="CZ584">
        <f>AF584</f>
        <v>115.4</v>
      </c>
      <c r="DA584">
        <f>AJ584</f>
        <v>9.31</v>
      </c>
      <c r="DB584">
        <f>ROUND((ROUND(AT584*CZ584,2)*1.35),2)</f>
        <v>1.55</v>
      </c>
      <c r="DC584">
        <f>ROUND((ROUND(AT584*AG584,2)*1.35),2)</f>
        <v>0.19</v>
      </c>
    </row>
    <row r="585" spans="1:107" x14ac:dyDescent="0.2">
      <c r="A585">
        <f>ROW(Source!A229)</f>
        <v>229</v>
      </c>
      <c r="B585">
        <v>68990560</v>
      </c>
      <c r="C585">
        <v>68992699</v>
      </c>
      <c r="D585">
        <v>64402691</v>
      </c>
      <c r="E585">
        <v>1</v>
      </c>
      <c r="F585">
        <v>1</v>
      </c>
      <c r="G585">
        <v>1</v>
      </c>
      <c r="H585">
        <v>2</v>
      </c>
      <c r="I585" t="s">
        <v>825</v>
      </c>
      <c r="J585" t="s">
        <v>826</v>
      </c>
      <c r="K585" t="s">
        <v>827</v>
      </c>
      <c r="L585">
        <v>1368</v>
      </c>
      <c r="N585">
        <v>1011</v>
      </c>
      <c r="O585" t="s">
        <v>824</v>
      </c>
      <c r="P585" t="s">
        <v>824</v>
      </c>
      <c r="Q585">
        <v>1</v>
      </c>
      <c r="W585">
        <v>0</v>
      </c>
      <c r="X585">
        <v>-841254546</v>
      </c>
      <c r="Y585">
        <v>1.3500000000000002E-2</v>
      </c>
      <c r="AA585">
        <v>0</v>
      </c>
      <c r="AB585">
        <v>776.04</v>
      </c>
      <c r="AC585">
        <v>390.34</v>
      </c>
      <c r="AD585">
        <v>0</v>
      </c>
      <c r="AE585">
        <v>0</v>
      </c>
      <c r="AF585">
        <v>65.709999999999994</v>
      </c>
      <c r="AG585">
        <v>11.6</v>
      </c>
      <c r="AH585">
        <v>0</v>
      </c>
      <c r="AI585">
        <v>1</v>
      </c>
      <c r="AJ585">
        <v>11.81</v>
      </c>
      <c r="AK585">
        <v>33.65</v>
      </c>
      <c r="AL585">
        <v>1</v>
      </c>
      <c r="AN585">
        <v>0</v>
      </c>
      <c r="AO585">
        <v>1</v>
      </c>
      <c r="AP585">
        <v>1</v>
      </c>
      <c r="AQ585">
        <v>0</v>
      </c>
      <c r="AR585">
        <v>0</v>
      </c>
      <c r="AS585" t="s">
        <v>3</v>
      </c>
      <c r="AT585">
        <v>0.01</v>
      </c>
      <c r="AU585" t="s">
        <v>200</v>
      </c>
      <c r="AV585">
        <v>0</v>
      </c>
      <c r="AW585">
        <v>2</v>
      </c>
      <c r="AX585">
        <v>68992712</v>
      </c>
      <c r="AY585">
        <v>1</v>
      </c>
      <c r="AZ585">
        <v>0</v>
      </c>
      <c r="BA585">
        <v>558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Y585*Source!I229</f>
        <v>1.4175000000000001E-3</v>
      </c>
      <c r="CY585">
        <f>AB585</f>
        <v>776.04</v>
      </c>
      <c r="CZ585">
        <f>AF585</f>
        <v>65.709999999999994</v>
      </c>
      <c r="DA585">
        <f>AJ585</f>
        <v>11.81</v>
      </c>
      <c r="DB585">
        <f>ROUND((ROUND(AT585*CZ585,2)*1.35),2)</f>
        <v>0.89</v>
      </c>
      <c r="DC585">
        <f>ROUND((ROUND(AT585*AG585,2)*1.35),2)</f>
        <v>0.16</v>
      </c>
    </row>
    <row r="586" spans="1:107" x14ac:dyDescent="0.2">
      <c r="A586">
        <f>ROW(Source!A229)</f>
        <v>229</v>
      </c>
      <c r="B586">
        <v>68990560</v>
      </c>
      <c r="C586">
        <v>68992699</v>
      </c>
      <c r="D586">
        <v>64253038</v>
      </c>
      <c r="E586">
        <v>1</v>
      </c>
      <c r="F586">
        <v>1</v>
      </c>
      <c r="G586">
        <v>1</v>
      </c>
      <c r="H586">
        <v>3</v>
      </c>
      <c r="I586" t="s">
        <v>828</v>
      </c>
      <c r="J586" t="s">
        <v>829</v>
      </c>
      <c r="K586" t="s">
        <v>830</v>
      </c>
      <c r="L586">
        <v>1346</v>
      </c>
      <c r="N586">
        <v>1009</v>
      </c>
      <c r="O586" t="s">
        <v>170</v>
      </c>
      <c r="P586" t="s">
        <v>170</v>
      </c>
      <c r="Q586">
        <v>1</v>
      </c>
      <c r="W586">
        <v>0</v>
      </c>
      <c r="X586">
        <v>456480056</v>
      </c>
      <c r="Y586">
        <v>0.16</v>
      </c>
      <c r="AA586">
        <v>240.77</v>
      </c>
      <c r="AB586">
        <v>0</v>
      </c>
      <c r="AC586">
        <v>0</v>
      </c>
      <c r="AD586">
        <v>0</v>
      </c>
      <c r="AE586">
        <v>30.4</v>
      </c>
      <c r="AF586">
        <v>0</v>
      </c>
      <c r="AG586">
        <v>0</v>
      </c>
      <c r="AH586">
        <v>0</v>
      </c>
      <c r="AI586">
        <v>7.92</v>
      </c>
      <c r="AJ586">
        <v>1</v>
      </c>
      <c r="AK586">
        <v>1</v>
      </c>
      <c r="AL586">
        <v>1</v>
      </c>
      <c r="AN586">
        <v>0</v>
      </c>
      <c r="AO586">
        <v>1</v>
      </c>
      <c r="AP586">
        <v>0</v>
      </c>
      <c r="AQ586">
        <v>0</v>
      </c>
      <c r="AR586">
        <v>0</v>
      </c>
      <c r="AS586" t="s">
        <v>3</v>
      </c>
      <c r="AT586">
        <v>0.16</v>
      </c>
      <c r="AU586" t="s">
        <v>3</v>
      </c>
      <c r="AV586">
        <v>0</v>
      </c>
      <c r="AW586">
        <v>2</v>
      </c>
      <c r="AX586">
        <v>68992713</v>
      </c>
      <c r="AY586">
        <v>1</v>
      </c>
      <c r="AZ586">
        <v>0</v>
      </c>
      <c r="BA586">
        <v>559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Y586*Source!I229</f>
        <v>1.6799999999999999E-2</v>
      </c>
      <c r="CY586">
        <f>AA586</f>
        <v>240.77</v>
      </c>
      <c r="CZ586">
        <f>AE586</f>
        <v>30.4</v>
      </c>
      <c r="DA586">
        <f>AI586</f>
        <v>7.92</v>
      </c>
      <c r="DB586">
        <f>ROUND(ROUND(AT586*CZ586,2),2)</f>
        <v>4.8600000000000003</v>
      </c>
      <c r="DC586">
        <f>ROUND(ROUND(AT586*AG586,2),2)</f>
        <v>0</v>
      </c>
    </row>
    <row r="587" spans="1:107" x14ac:dyDescent="0.2">
      <c r="A587">
        <f>ROW(Source!A229)</f>
        <v>229</v>
      </c>
      <c r="B587">
        <v>68990560</v>
      </c>
      <c r="C587">
        <v>68992699</v>
      </c>
      <c r="D587">
        <v>64253056</v>
      </c>
      <c r="E587">
        <v>1</v>
      </c>
      <c r="F587">
        <v>1</v>
      </c>
      <c r="G587">
        <v>1</v>
      </c>
      <c r="H587">
        <v>3</v>
      </c>
      <c r="I587" t="s">
        <v>1245</v>
      </c>
      <c r="J587" t="s">
        <v>1246</v>
      </c>
      <c r="K587" t="s">
        <v>1247</v>
      </c>
      <c r="L587">
        <v>1302</v>
      </c>
      <c r="N587">
        <v>1003</v>
      </c>
      <c r="O587" t="s">
        <v>395</v>
      </c>
      <c r="P587" t="s">
        <v>395</v>
      </c>
      <c r="Q587">
        <v>10</v>
      </c>
      <c r="W587">
        <v>0</v>
      </c>
      <c r="X587">
        <v>-660802197</v>
      </c>
      <c r="Y587">
        <v>0.5</v>
      </c>
      <c r="AA587">
        <v>41.4</v>
      </c>
      <c r="AB587">
        <v>0</v>
      </c>
      <c r="AC587">
        <v>0</v>
      </c>
      <c r="AD587">
        <v>0</v>
      </c>
      <c r="AE587">
        <v>6.9</v>
      </c>
      <c r="AF587">
        <v>0</v>
      </c>
      <c r="AG587">
        <v>0</v>
      </c>
      <c r="AH587">
        <v>0</v>
      </c>
      <c r="AI587">
        <v>6</v>
      </c>
      <c r="AJ587">
        <v>1</v>
      </c>
      <c r="AK587">
        <v>1</v>
      </c>
      <c r="AL587">
        <v>1</v>
      </c>
      <c r="AN587">
        <v>0</v>
      </c>
      <c r="AO587">
        <v>1</v>
      </c>
      <c r="AP587">
        <v>0</v>
      </c>
      <c r="AQ587">
        <v>0</v>
      </c>
      <c r="AR587">
        <v>0</v>
      </c>
      <c r="AS587" t="s">
        <v>3</v>
      </c>
      <c r="AT587">
        <v>0.5</v>
      </c>
      <c r="AU587" t="s">
        <v>3</v>
      </c>
      <c r="AV587">
        <v>0</v>
      </c>
      <c r="AW587">
        <v>2</v>
      </c>
      <c r="AX587">
        <v>68992714</v>
      </c>
      <c r="AY587">
        <v>1</v>
      </c>
      <c r="AZ587">
        <v>0</v>
      </c>
      <c r="BA587">
        <v>560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Y587*Source!I229</f>
        <v>5.2499999999999998E-2</v>
      </c>
      <c r="CY587">
        <f>AA587</f>
        <v>41.4</v>
      </c>
      <c r="CZ587">
        <f>AE587</f>
        <v>6.9</v>
      </c>
      <c r="DA587">
        <f>AI587</f>
        <v>6</v>
      </c>
      <c r="DB587">
        <f>ROUND(ROUND(AT587*CZ587,2),2)</f>
        <v>3.45</v>
      </c>
      <c r="DC587">
        <f>ROUND(ROUND(AT587*AG587,2),2)</f>
        <v>0</v>
      </c>
    </row>
    <row r="588" spans="1:107" x14ac:dyDescent="0.2">
      <c r="A588">
        <f>ROW(Source!A229)</f>
        <v>229</v>
      </c>
      <c r="B588">
        <v>68990560</v>
      </c>
      <c r="C588">
        <v>68992699</v>
      </c>
      <c r="D588">
        <v>64284267</v>
      </c>
      <c r="E588">
        <v>1</v>
      </c>
      <c r="F588">
        <v>1</v>
      </c>
      <c r="G588">
        <v>1</v>
      </c>
      <c r="H588">
        <v>3</v>
      </c>
      <c r="I588" t="s">
        <v>1225</v>
      </c>
      <c r="J588" t="s">
        <v>1226</v>
      </c>
      <c r="K588" t="s">
        <v>1227</v>
      </c>
      <c r="L588">
        <v>1346</v>
      </c>
      <c r="N588">
        <v>1009</v>
      </c>
      <c r="O588" t="s">
        <v>170</v>
      </c>
      <c r="P588" t="s">
        <v>170</v>
      </c>
      <c r="Q588">
        <v>1</v>
      </c>
      <c r="W588">
        <v>0</v>
      </c>
      <c r="X588">
        <v>654902681</v>
      </c>
      <c r="Y588">
        <v>0.05</v>
      </c>
      <c r="AA588">
        <v>125.27</v>
      </c>
      <c r="AB588">
        <v>0</v>
      </c>
      <c r="AC588">
        <v>0</v>
      </c>
      <c r="AD588">
        <v>0</v>
      </c>
      <c r="AE588">
        <v>28.6</v>
      </c>
      <c r="AF588">
        <v>0</v>
      </c>
      <c r="AG588">
        <v>0</v>
      </c>
      <c r="AH588">
        <v>0</v>
      </c>
      <c r="AI588">
        <v>4.38</v>
      </c>
      <c r="AJ588">
        <v>1</v>
      </c>
      <c r="AK588">
        <v>1</v>
      </c>
      <c r="AL588">
        <v>1</v>
      </c>
      <c r="AN588">
        <v>0</v>
      </c>
      <c r="AO588">
        <v>1</v>
      </c>
      <c r="AP588">
        <v>0</v>
      </c>
      <c r="AQ588">
        <v>0</v>
      </c>
      <c r="AR588">
        <v>0</v>
      </c>
      <c r="AS588" t="s">
        <v>3</v>
      </c>
      <c r="AT588">
        <v>0.05</v>
      </c>
      <c r="AU588" t="s">
        <v>3</v>
      </c>
      <c r="AV588">
        <v>0</v>
      </c>
      <c r="AW588">
        <v>2</v>
      </c>
      <c r="AX588">
        <v>68992715</v>
      </c>
      <c r="AY588">
        <v>1</v>
      </c>
      <c r="AZ588">
        <v>0</v>
      </c>
      <c r="BA588">
        <v>561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Y588*Source!I229</f>
        <v>5.2500000000000003E-3</v>
      </c>
      <c r="CY588">
        <f>AA588</f>
        <v>125.27</v>
      </c>
      <c r="CZ588">
        <f>AE588</f>
        <v>28.6</v>
      </c>
      <c r="DA588">
        <f>AI588</f>
        <v>4.38</v>
      </c>
      <c r="DB588">
        <f>ROUND(ROUND(AT588*CZ588,2),2)</f>
        <v>1.43</v>
      </c>
      <c r="DC588">
        <f>ROUND(ROUND(AT588*AG588,2),2)</f>
        <v>0</v>
      </c>
    </row>
    <row r="589" spans="1:107" x14ac:dyDescent="0.2">
      <c r="A589">
        <f>ROW(Source!A229)</f>
        <v>229</v>
      </c>
      <c r="B589">
        <v>68990560</v>
      </c>
      <c r="C589">
        <v>68992699</v>
      </c>
      <c r="D589">
        <v>53903934</v>
      </c>
      <c r="E589">
        <v>1</v>
      </c>
      <c r="F589">
        <v>1</v>
      </c>
      <c r="G589">
        <v>1</v>
      </c>
      <c r="H589">
        <v>3</v>
      </c>
      <c r="I589" t="s">
        <v>701</v>
      </c>
      <c r="J589" t="s">
        <v>702</v>
      </c>
      <c r="K589" t="s">
        <v>1344</v>
      </c>
      <c r="L589">
        <v>1301</v>
      </c>
      <c r="N589">
        <v>1003</v>
      </c>
      <c r="O589" t="s">
        <v>379</v>
      </c>
      <c r="P589" t="s">
        <v>379</v>
      </c>
      <c r="Q589">
        <v>1</v>
      </c>
      <c r="W589">
        <v>0</v>
      </c>
      <c r="X589">
        <v>-1153376764</v>
      </c>
      <c r="Y589">
        <v>100</v>
      </c>
      <c r="AA589">
        <v>23.22</v>
      </c>
      <c r="AB589">
        <v>0</v>
      </c>
      <c r="AC589">
        <v>0</v>
      </c>
      <c r="AD589">
        <v>0</v>
      </c>
      <c r="AE589">
        <v>7.49</v>
      </c>
      <c r="AF589">
        <v>0</v>
      </c>
      <c r="AG589">
        <v>0</v>
      </c>
      <c r="AH589">
        <v>0</v>
      </c>
      <c r="AI589">
        <v>3.1</v>
      </c>
      <c r="AJ589">
        <v>1</v>
      </c>
      <c r="AK589">
        <v>1</v>
      </c>
      <c r="AL589">
        <v>1</v>
      </c>
      <c r="AN589">
        <v>0</v>
      </c>
      <c r="AO589">
        <v>0</v>
      </c>
      <c r="AP589">
        <v>0</v>
      </c>
      <c r="AQ589">
        <v>0</v>
      </c>
      <c r="AR589">
        <v>0</v>
      </c>
      <c r="AS589" t="s">
        <v>3</v>
      </c>
      <c r="AT589">
        <v>100</v>
      </c>
      <c r="AU589" t="s">
        <v>3</v>
      </c>
      <c r="AV589">
        <v>0</v>
      </c>
      <c r="AW589">
        <v>1</v>
      </c>
      <c r="AX589">
        <v>-1</v>
      </c>
      <c r="AY589">
        <v>0</v>
      </c>
      <c r="AZ589">
        <v>0</v>
      </c>
      <c r="BA589" t="s">
        <v>3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Y589*Source!I229</f>
        <v>10.5</v>
      </c>
      <c r="CY589">
        <f>AA589</f>
        <v>23.22</v>
      </c>
      <c r="CZ589">
        <f>AE589</f>
        <v>7.49</v>
      </c>
      <c r="DA589">
        <f>AI589</f>
        <v>3.1</v>
      </c>
      <c r="DB589">
        <f>ROUND(ROUND(AT589*CZ589,2),2)</f>
        <v>749</v>
      </c>
      <c r="DC589">
        <f>ROUND(ROUND(AT589*AG589,2),2)</f>
        <v>0</v>
      </c>
    </row>
    <row r="590" spans="1:107" x14ac:dyDescent="0.2">
      <c r="A590">
        <f>ROW(Source!A229)</f>
        <v>229</v>
      </c>
      <c r="B590">
        <v>68990560</v>
      </c>
      <c r="C590">
        <v>68992699</v>
      </c>
      <c r="D590">
        <v>64245580</v>
      </c>
      <c r="E590">
        <v>56</v>
      </c>
      <c r="F590">
        <v>1</v>
      </c>
      <c r="G590">
        <v>1</v>
      </c>
      <c r="H590">
        <v>3</v>
      </c>
      <c r="I590" t="s">
        <v>837</v>
      </c>
      <c r="J590" t="s">
        <v>3</v>
      </c>
      <c r="K590" t="s">
        <v>838</v>
      </c>
      <c r="L590">
        <v>1374</v>
      </c>
      <c r="N590">
        <v>1013</v>
      </c>
      <c r="O590" t="s">
        <v>839</v>
      </c>
      <c r="P590" t="s">
        <v>839</v>
      </c>
      <c r="Q590">
        <v>1</v>
      </c>
      <c r="W590">
        <v>0</v>
      </c>
      <c r="X590">
        <v>-1731369543</v>
      </c>
      <c r="Y590">
        <v>0.53</v>
      </c>
      <c r="AA590">
        <v>1</v>
      </c>
      <c r="AB590">
        <v>0</v>
      </c>
      <c r="AC590">
        <v>0</v>
      </c>
      <c r="AD590">
        <v>0</v>
      </c>
      <c r="AE590">
        <v>1</v>
      </c>
      <c r="AF590">
        <v>0</v>
      </c>
      <c r="AG590">
        <v>0</v>
      </c>
      <c r="AH590">
        <v>0</v>
      </c>
      <c r="AI590">
        <v>1</v>
      </c>
      <c r="AJ590">
        <v>1</v>
      </c>
      <c r="AK590">
        <v>1</v>
      </c>
      <c r="AL590">
        <v>1</v>
      </c>
      <c r="AN590">
        <v>0</v>
      </c>
      <c r="AO590">
        <v>1</v>
      </c>
      <c r="AP590">
        <v>0</v>
      </c>
      <c r="AQ590">
        <v>0</v>
      </c>
      <c r="AR590">
        <v>0</v>
      </c>
      <c r="AS590" t="s">
        <v>3</v>
      </c>
      <c r="AT590">
        <v>0.53</v>
      </c>
      <c r="AU590" t="s">
        <v>3</v>
      </c>
      <c r="AV590">
        <v>0</v>
      </c>
      <c r="AW590">
        <v>2</v>
      </c>
      <c r="AX590">
        <v>68992716</v>
      </c>
      <c r="AY590">
        <v>1</v>
      </c>
      <c r="AZ590">
        <v>0</v>
      </c>
      <c r="BA590">
        <v>562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Y590*Source!I229</f>
        <v>5.5649999999999998E-2</v>
      </c>
      <c r="CY590">
        <f>AA590</f>
        <v>1</v>
      </c>
      <c r="CZ590">
        <f>AE590</f>
        <v>1</v>
      </c>
      <c r="DA590">
        <f>AI590</f>
        <v>1</v>
      </c>
      <c r="DB590">
        <f>ROUND(ROUND(AT590*CZ590,2),2)</f>
        <v>0.53</v>
      </c>
      <c r="DC590">
        <f>ROUND(ROUND(AT590*AG590,2),2)</f>
        <v>0</v>
      </c>
    </row>
    <row r="591" spans="1:107" x14ac:dyDescent="0.2">
      <c r="A591">
        <f>ROW(Source!A231)</f>
        <v>231</v>
      </c>
      <c r="B591">
        <v>68990560</v>
      </c>
      <c r="C591">
        <v>68992718</v>
      </c>
      <c r="D591">
        <v>37080781</v>
      </c>
      <c r="E591">
        <v>56</v>
      </c>
      <c r="F591">
        <v>1</v>
      </c>
      <c r="G591">
        <v>1</v>
      </c>
      <c r="H591">
        <v>1</v>
      </c>
      <c r="I591" t="s">
        <v>816</v>
      </c>
      <c r="J591" t="s">
        <v>3</v>
      </c>
      <c r="K591" t="s">
        <v>817</v>
      </c>
      <c r="L591">
        <v>1191</v>
      </c>
      <c r="N591">
        <v>1013</v>
      </c>
      <c r="O591" t="s">
        <v>818</v>
      </c>
      <c r="P591" t="s">
        <v>818</v>
      </c>
      <c r="Q591">
        <v>1</v>
      </c>
      <c r="W591">
        <v>0</v>
      </c>
      <c r="X591">
        <v>912892513</v>
      </c>
      <c r="Y591">
        <v>46.656000000000006</v>
      </c>
      <c r="AA591">
        <v>0</v>
      </c>
      <c r="AB591">
        <v>0</v>
      </c>
      <c r="AC591">
        <v>0</v>
      </c>
      <c r="AD591">
        <v>9.92</v>
      </c>
      <c r="AE591">
        <v>0</v>
      </c>
      <c r="AF591">
        <v>0</v>
      </c>
      <c r="AG591">
        <v>0</v>
      </c>
      <c r="AH591">
        <v>9.92</v>
      </c>
      <c r="AI591">
        <v>1</v>
      </c>
      <c r="AJ591">
        <v>1</v>
      </c>
      <c r="AK591">
        <v>1</v>
      </c>
      <c r="AL591">
        <v>1</v>
      </c>
      <c r="AN591">
        <v>0</v>
      </c>
      <c r="AO591">
        <v>1</v>
      </c>
      <c r="AP591">
        <v>1</v>
      </c>
      <c r="AQ591">
        <v>0</v>
      </c>
      <c r="AR591">
        <v>0</v>
      </c>
      <c r="AS591" t="s">
        <v>3</v>
      </c>
      <c r="AT591">
        <v>34.56</v>
      </c>
      <c r="AU591" t="s">
        <v>200</v>
      </c>
      <c r="AV591">
        <v>1</v>
      </c>
      <c r="AW591">
        <v>2</v>
      </c>
      <c r="AX591">
        <v>68992729</v>
      </c>
      <c r="AY591">
        <v>1</v>
      </c>
      <c r="AZ591">
        <v>0</v>
      </c>
      <c r="BA591">
        <v>563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Y591*Source!I231</f>
        <v>0.46656000000000009</v>
      </c>
      <c r="CY591">
        <f>AD591</f>
        <v>9.92</v>
      </c>
      <c r="CZ591">
        <f>AH591</f>
        <v>9.92</v>
      </c>
      <c r="DA591">
        <f>AL591</f>
        <v>1</v>
      </c>
      <c r="DB591">
        <f>ROUND((ROUND(AT591*CZ591,2)*1.35),2)</f>
        <v>462.83</v>
      </c>
      <c r="DC591">
        <f>ROUND((ROUND(AT591*AG591,2)*1.35),2)</f>
        <v>0</v>
      </c>
    </row>
    <row r="592" spans="1:107" x14ac:dyDescent="0.2">
      <c r="A592">
        <f>ROW(Source!A231)</f>
        <v>231</v>
      </c>
      <c r="B592">
        <v>68990560</v>
      </c>
      <c r="C592">
        <v>68992718</v>
      </c>
      <c r="D592">
        <v>37064876</v>
      </c>
      <c r="E592">
        <v>56</v>
      </c>
      <c r="F592">
        <v>1</v>
      </c>
      <c r="G592">
        <v>1</v>
      </c>
      <c r="H592">
        <v>1</v>
      </c>
      <c r="I592" t="s">
        <v>819</v>
      </c>
      <c r="J592" t="s">
        <v>3</v>
      </c>
      <c r="K592" t="s">
        <v>820</v>
      </c>
      <c r="L592">
        <v>1191</v>
      </c>
      <c r="N592">
        <v>1013</v>
      </c>
      <c r="O592" t="s">
        <v>818</v>
      </c>
      <c r="P592" t="s">
        <v>818</v>
      </c>
      <c r="Q592">
        <v>1</v>
      </c>
      <c r="W592">
        <v>0</v>
      </c>
      <c r="X592">
        <v>-1417349443</v>
      </c>
      <c r="Y592">
        <v>6.7500000000000004E-2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1</v>
      </c>
      <c r="AJ592">
        <v>1</v>
      </c>
      <c r="AK592">
        <v>1</v>
      </c>
      <c r="AL592">
        <v>1</v>
      </c>
      <c r="AN592">
        <v>0</v>
      </c>
      <c r="AO592">
        <v>1</v>
      </c>
      <c r="AP592">
        <v>1</v>
      </c>
      <c r="AQ592">
        <v>0</v>
      </c>
      <c r="AR592">
        <v>0</v>
      </c>
      <c r="AS592" t="s">
        <v>3</v>
      </c>
      <c r="AT592">
        <v>0.05</v>
      </c>
      <c r="AU592" t="s">
        <v>200</v>
      </c>
      <c r="AV592">
        <v>2</v>
      </c>
      <c r="AW592">
        <v>2</v>
      </c>
      <c r="AX592">
        <v>68992730</v>
      </c>
      <c r="AY592">
        <v>1</v>
      </c>
      <c r="AZ592">
        <v>0</v>
      </c>
      <c r="BA592">
        <v>564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Y592*Source!I231</f>
        <v>6.7500000000000004E-4</v>
      </c>
      <c r="CY592">
        <f>AD592</f>
        <v>0</v>
      </c>
      <c r="CZ592">
        <f>AH592</f>
        <v>0</v>
      </c>
      <c r="DA592">
        <f>AL592</f>
        <v>1</v>
      </c>
      <c r="DB592">
        <f>ROUND((ROUND(AT592*CZ592,2)*1.35),2)</f>
        <v>0</v>
      </c>
      <c r="DC592">
        <f>ROUND((ROUND(AT592*AG592,2)*1.35),2)</f>
        <v>0</v>
      </c>
    </row>
    <row r="593" spans="1:107" x14ac:dyDescent="0.2">
      <c r="A593">
        <f>ROW(Source!A231)</f>
        <v>231</v>
      </c>
      <c r="B593">
        <v>68990560</v>
      </c>
      <c r="C593">
        <v>68992718</v>
      </c>
      <c r="D593">
        <v>64401763</v>
      </c>
      <c r="E593">
        <v>1</v>
      </c>
      <c r="F593">
        <v>1</v>
      </c>
      <c r="G593">
        <v>1</v>
      </c>
      <c r="H593">
        <v>2</v>
      </c>
      <c r="I593" t="s">
        <v>821</v>
      </c>
      <c r="J593" t="s">
        <v>822</v>
      </c>
      <c r="K593" t="s">
        <v>823</v>
      </c>
      <c r="L593">
        <v>1368</v>
      </c>
      <c r="N593">
        <v>1011</v>
      </c>
      <c r="O593" t="s">
        <v>824</v>
      </c>
      <c r="P593" t="s">
        <v>824</v>
      </c>
      <c r="Q593">
        <v>1</v>
      </c>
      <c r="W593">
        <v>0</v>
      </c>
      <c r="X593">
        <v>-1346461524</v>
      </c>
      <c r="Y593">
        <v>4.0500000000000001E-2</v>
      </c>
      <c r="AA593">
        <v>0</v>
      </c>
      <c r="AB593">
        <v>1074.3699999999999</v>
      </c>
      <c r="AC593">
        <v>454.28</v>
      </c>
      <c r="AD593">
        <v>0</v>
      </c>
      <c r="AE593">
        <v>0</v>
      </c>
      <c r="AF593">
        <v>115.4</v>
      </c>
      <c r="AG593">
        <v>13.5</v>
      </c>
      <c r="AH593">
        <v>0</v>
      </c>
      <c r="AI593">
        <v>1</v>
      </c>
      <c r="AJ593">
        <v>9.31</v>
      </c>
      <c r="AK593">
        <v>33.65</v>
      </c>
      <c r="AL593">
        <v>1</v>
      </c>
      <c r="AN593">
        <v>0</v>
      </c>
      <c r="AO593">
        <v>1</v>
      </c>
      <c r="AP593">
        <v>1</v>
      </c>
      <c r="AQ593">
        <v>0</v>
      </c>
      <c r="AR593">
        <v>0</v>
      </c>
      <c r="AS593" t="s">
        <v>3</v>
      </c>
      <c r="AT593">
        <v>0.03</v>
      </c>
      <c r="AU593" t="s">
        <v>200</v>
      </c>
      <c r="AV593">
        <v>0</v>
      </c>
      <c r="AW593">
        <v>2</v>
      </c>
      <c r="AX593">
        <v>68992731</v>
      </c>
      <c r="AY593">
        <v>1</v>
      </c>
      <c r="AZ593">
        <v>0</v>
      </c>
      <c r="BA593">
        <v>565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Y593*Source!I231</f>
        <v>4.0500000000000003E-4</v>
      </c>
      <c r="CY593">
        <f>AB593</f>
        <v>1074.3699999999999</v>
      </c>
      <c r="CZ593">
        <f>AF593</f>
        <v>115.4</v>
      </c>
      <c r="DA593">
        <f>AJ593</f>
        <v>9.31</v>
      </c>
      <c r="DB593">
        <f>ROUND((ROUND(AT593*CZ593,2)*1.35),2)</f>
        <v>4.67</v>
      </c>
      <c r="DC593">
        <f>ROUND((ROUND(AT593*AG593,2)*1.35),2)</f>
        <v>0.55000000000000004</v>
      </c>
    </row>
    <row r="594" spans="1:107" x14ac:dyDescent="0.2">
      <c r="A594">
        <f>ROW(Source!A231)</f>
        <v>231</v>
      </c>
      <c r="B594">
        <v>68990560</v>
      </c>
      <c r="C594">
        <v>68992718</v>
      </c>
      <c r="D594">
        <v>64402691</v>
      </c>
      <c r="E594">
        <v>1</v>
      </c>
      <c r="F594">
        <v>1</v>
      </c>
      <c r="G594">
        <v>1</v>
      </c>
      <c r="H594">
        <v>2</v>
      </c>
      <c r="I594" t="s">
        <v>825</v>
      </c>
      <c r="J594" t="s">
        <v>826</v>
      </c>
      <c r="K594" t="s">
        <v>827</v>
      </c>
      <c r="L594">
        <v>1368</v>
      </c>
      <c r="N594">
        <v>1011</v>
      </c>
      <c r="O594" t="s">
        <v>824</v>
      </c>
      <c r="P594" t="s">
        <v>824</v>
      </c>
      <c r="Q594">
        <v>1</v>
      </c>
      <c r="W594">
        <v>0</v>
      </c>
      <c r="X594">
        <v>-841254546</v>
      </c>
      <c r="Y594">
        <v>2.7000000000000003E-2</v>
      </c>
      <c r="AA594">
        <v>0</v>
      </c>
      <c r="AB594">
        <v>776.04</v>
      </c>
      <c r="AC594">
        <v>390.34</v>
      </c>
      <c r="AD594">
        <v>0</v>
      </c>
      <c r="AE594">
        <v>0</v>
      </c>
      <c r="AF594">
        <v>65.709999999999994</v>
      </c>
      <c r="AG594">
        <v>11.6</v>
      </c>
      <c r="AH594">
        <v>0</v>
      </c>
      <c r="AI594">
        <v>1</v>
      </c>
      <c r="AJ594">
        <v>11.81</v>
      </c>
      <c r="AK594">
        <v>33.65</v>
      </c>
      <c r="AL594">
        <v>1</v>
      </c>
      <c r="AN594">
        <v>0</v>
      </c>
      <c r="AO594">
        <v>1</v>
      </c>
      <c r="AP594">
        <v>1</v>
      </c>
      <c r="AQ594">
        <v>0</v>
      </c>
      <c r="AR594">
        <v>0</v>
      </c>
      <c r="AS594" t="s">
        <v>3</v>
      </c>
      <c r="AT594">
        <v>0.02</v>
      </c>
      <c r="AU594" t="s">
        <v>200</v>
      </c>
      <c r="AV594">
        <v>0</v>
      </c>
      <c r="AW594">
        <v>2</v>
      </c>
      <c r="AX594">
        <v>68992732</v>
      </c>
      <c r="AY594">
        <v>1</v>
      </c>
      <c r="AZ594">
        <v>0</v>
      </c>
      <c r="BA594">
        <v>566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Y594*Source!I231</f>
        <v>2.7000000000000006E-4</v>
      </c>
      <c r="CY594">
        <f>AB594</f>
        <v>776.04</v>
      </c>
      <c r="CZ594">
        <f>AF594</f>
        <v>65.709999999999994</v>
      </c>
      <c r="DA594">
        <f>AJ594</f>
        <v>11.81</v>
      </c>
      <c r="DB594">
        <f>ROUND((ROUND(AT594*CZ594,2)*1.35),2)</f>
        <v>1.77</v>
      </c>
      <c r="DC594">
        <f>ROUND((ROUND(AT594*AG594,2)*1.35),2)</f>
        <v>0.31</v>
      </c>
    </row>
    <row r="595" spans="1:107" x14ac:dyDescent="0.2">
      <c r="A595">
        <f>ROW(Source!A231)</f>
        <v>231</v>
      </c>
      <c r="B595">
        <v>68990560</v>
      </c>
      <c r="C595">
        <v>68992718</v>
      </c>
      <c r="D595">
        <v>64253038</v>
      </c>
      <c r="E595">
        <v>1</v>
      </c>
      <c r="F595">
        <v>1</v>
      </c>
      <c r="G595">
        <v>1</v>
      </c>
      <c r="H595">
        <v>3</v>
      </c>
      <c r="I595" t="s">
        <v>828</v>
      </c>
      <c r="J595" t="s">
        <v>829</v>
      </c>
      <c r="K595" t="s">
        <v>830</v>
      </c>
      <c r="L595">
        <v>1346</v>
      </c>
      <c r="N595">
        <v>1009</v>
      </c>
      <c r="O595" t="s">
        <v>170</v>
      </c>
      <c r="P595" t="s">
        <v>170</v>
      </c>
      <c r="Q595">
        <v>1</v>
      </c>
      <c r="W595">
        <v>0</v>
      </c>
      <c r="X595">
        <v>456480056</v>
      </c>
      <c r="Y595">
        <v>0.11</v>
      </c>
      <c r="AA595">
        <v>240.77</v>
      </c>
      <c r="AB595">
        <v>0</v>
      </c>
      <c r="AC595">
        <v>0</v>
      </c>
      <c r="AD595">
        <v>0</v>
      </c>
      <c r="AE595">
        <v>30.4</v>
      </c>
      <c r="AF595">
        <v>0</v>
      </c>
      <c r="AG595">
        <v>0</v>
      </c>
      <c r="AH595">
        <v>0</v>
      </c>
      <c r="AI595">
        <v>7.92</v>
      </c>
      <c r="AJ595">
        <v>1</v>
      </c>
      <c r="AK595">
        <v>1</v>
      </c>
      <c r="AL595">
        <v>1</v>
      </c>
      <c r="AN595">
        <v>0</v>
      </c>
      <c r="AO595">
        <v>1</v>
      </c>
      <c r="AP595">
        <v>0</v>
      </c>
      <c r="AQ595">
        <v>0</v>
      </c>
      <c r="AR595">
        <v>0</v>
      </c>
      <c r="AS595" t="s">
        <v>3</v>
      </c>
      <c r="AT595">
        <v>0.11</v>
      </c>
      <c r="AU595" t="s">
        <v>3</v>
      </c>
      <c r="AV595">
        <v>0</v>
      </c>
      <c r="AW595">
        <v>2</v>
      </c>
      <c r="AX595">
        <v>68992733</v>
      </c>
      <c r="AY595">
        <v>1</v>
      </c>
      <c r="AZ595">
        <v>0</v>
      </c>
      <c r="BA595">
        <v>567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Y595*Source!I231</f>
        <v>1.1000000000000001E-3</v>
      </c>
      <c r="CY595">
        <f t="shared" ref="CY595:CY600" si="117">AA595</f>
        <v>240.77</v>
      </c>
      <c r="CZ595">
        <f t="shared" ref="CZ595:CZ600" si="118">AE595</f>
        <v>30.4</v>
      </c>
      <c r="DA595">
        <f t="shared" ref="DA595:DA600" si="119">AI595</f>
        <v>7.92</v>
      </c>
      <c r="DB595">
        <f t="shared" ref="DB595:DB600" si="120">ROUND(ROUND(AT595*CZ595,2),2)</f>
        <v>3.34</v>
      </c>
      <c r="DC595">
        <f t="shared" ref="DC595:DC600" si="121">ROUND(ROUND(AT595*AG595,2),2)</f>
        <v>0</v>
      </c>
    </row>
    <row r="596" spans="1:107" x14ac:dyDescent="0.2">
      <c r="A596">
        <f>ROW(Source!A231)</f>
        <v>231</v>
      </c>
      <c r="B596">
        <v>68990560</v>
      </c>
      <c r="C596">
        <v>68992718</v>
      </c>
      <c r="D596">
        <v>64255145</v>
      </c>
      <c r="E596">
        <v>1</v>
      </c>
      <c r="F596">
        <v>1</v>
      </c>
      <c r="G596">
        <v>1</v>
      </c>
      <c r="H596">
        <v>3</v>
      </c>
      <c r="I596" t="s">
        <v>831</v>
      </c>
      <c r="J596" t="s">
        <v>832</v>
      </c>
      <c r="K596" t="s">
        <v>833</v>
      </c>
      <c r="L596">
        <v>1425</v>
      </c>
      <c r="N596">
        <v>1013</v>
      </c>
      <c r="O596" t="s">
        <v>18</v>
      </c>
      <c r="P596" t="s">
        <v>18</v>
      </c>
      <c r="Q596">
        <v>1</v>
      </c>
      <c r="W596">
        <v>0</v>
      </c>
      <c r="X596">
        <v>1014360486</v>
      </c>
      <c r="Y596">
        <v>1.02</v>
      </c>
      <c r="AA596">
        <v>441.18</v>
      </c>
      <c r="AB596">
        <v>0</v>
      </c>
      <c r="AC596">
        <v>0</v>
      </c>
      <c r="AD596">
        <v>0</v>
      </c>
      <c r="AE596">
        <v>86</v>
      </c>
      <c r="AF596">
        <v>0</v>
      </c>
      <c r="AG596">
        <v>0</v>
      </c>
      <c r="AH596">
        <v>0</v>
      </c>
      <c r="AI596">
        <v>5.13</v>
      </c>
      <c r="AJ596">
        <v>1</v>
      </c>
      <c r="AK596">
        <v>1</v>
      </c>
      <c r="AL596">
        <v>1</v>
      </c>
      <c r="AN596">
        <v>0</v>
      </c>
      <c r="AO596">
        <v>1</v>
      </c>
      <c r="AP596">
        <v>0</v>
      </c>
      <c r="AQ596">
        <v>0</v>
      </c>
      <c r="AR596">
        <v>0</v>
      </c>
      <c r="AS596" t="s">
        <v>3</v>
      </c>
      <c r="AT596">
        <v>1.02</v>
      </c>
      <c r="AU596" t="s">
        <v>3</v>
      </c>
      <c r="AV596">
        <v>0</v>
      </c>
      <c r="AW596">
        <v>2</v>
      </c>
      <c r="AX596">
        <v>68992734</v>
      </c>
      <c r="AY596">
        <v>1</v>
      </c>
      <c r="AZ596">
        <v>0</v>
      </c>
      <c r="BA596">
        <v>568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Y596*Source!I231</f>
        <v>1.0200000000000001E-2</v>
      </c>
      <c r="CY596">
        <f t="shared" si="117"/>
        <v>441.18</v>
      </c>
      <c r="CZ596">
        <f t="shared" si="118"/>
        <v>86</v>
      </c>
      <c r="DA596">
        <f t="shared" si="119"/>
        <v>5.13</v>
      </c>
      <c r="DB596">
        <f t="shared" si="120"/>
        <v>87.72</v>
      </c>
      <c r="DC596">
        <f t="shared" si="121"/>
        <v>0</v>
      </c>
    </row>
    <row r="597" spans="1:107" x14ac:dyDescent="0.2">
      <c r="A597">
        <f>ROW(Source!A231)</f>
        <v>231</v>
      </c>
      <c r="B597">
        <v>68990560</v>
      </c>
      <c r="C597">
        <v>68992718</v>
      </c>
      <c r="D597">
        <v>64255517</v>
      </c>
      <c r="E597">
        <v>1</v>
      </c>
      <c r="F597">
        <v>1</v>
      </c>
      <c r="G597">
        <v>1</v>
      </c>
      <c r="H597">
        <v>3</v>
      </c>
      <c r="I597" t="s">
        <v>1219</v>
      </c>
      <c r="J597" t="s">
        <v>1220</v>
      </c>
      <c r="K597" t="s">
        <v>1221</v>
      </c>
      <c r="L597">
        <v>1348</v>
      </c>
      <c r="N597">
        <v>1009</v>
      </c>
      <c r="O597" t="s">
        <v>71</v>
      </c>
      <c r="P597" t="s">
        <v>71</v>
      </c>
      <c r="Q597">
        <v>1000</v>
      </c>
      <c r="W597">
        <v>0</v>
      </c>
      <c r="X597">
        <v>616764269</v>
      </c>
      <c r="Y597">
        <v>1.6000000000000001E-4</v>
      </c>
      <c r="AA597">
        <v>110260</v>
      </c>
      <c r="AB597">
        <v>0</v>
      </c>
      <c r="AC597">
        <v>0</v>
      </c>
      <c r="AD597">
        <v>0</v>
      </c>
      <c r="AE597">
        <v>29800</v>
      </c>
      <c r="AF597">
        <v>0</v>
      </c>
      <c r="AG597">
        <v>0</v>
      </c>
      <c r="AH597">
        <v>0</v>
      </c>
      <c r="AI597">
        <v>3.7</v>
      </c>
      <c r="AJ597">
        <v>1</v>
      </c>
      <c r="AK597">
        <v>1</v>
      </c>
      <c r="AL597">
        <v>1</v>
      </c>
      <c r="AN597">
        <v>0</v>
      </c>
      <c r="AO597">
        <v>1</v>
      </c>
      <c r="AP597">
        <v>0</v>
      </c>
      <c r="AQ597">
        <v>0</v>
      </c>
      <c r="AR597">
        <v>0</v>
      </c>
      <c r="AS597" t="s">
        <v>3</v>
      </c>
      <c r="AT597">
        <v>1.6000000000000001E-4</v>
      </c>
      <c r="AU597" t="s">
        <v>3</v>
      </c>
      <c r="AV597">
        <v>0</v>
      </c>
      <c r="AW597">
        <v>2</v>
      </c>
      <c r="AX597">
        <v>68992735</v>
      </c>
      <c r="AY597">
        <v>1</v>
      </c>
      <c r="AZ597">
        <v>0</v>
      </c>
      <c r="BA597">
        <v>569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Y597*Source!I231</f>
        <v>1.6000000000000001E-6</v>
      </c>
      <c r="CY597">
        <f t="shared" si="117"/>
        <v>110260</v>
      </c>
      <c r="CZ597">
        <f t="shared" si="118"/>
        <v>29800</v>
      </c>
      <c r="DA597">
        <f t="shared" si="119"/>
        <v>3.7</v>
      </c>
      <c r="DB597">
        <f t="shared" si="120"/>
        <v>4.7699999999999996</v>
      </c>
      <c r="DC597">
        <f t="shared" si="121"/>
        <v>0</v>
      </c>
    </row>
    <row r="598" spans="1:107" x14ac:dyDescent="0.2">
      <c r="A598">
        <f>ROW(Source!A231)</f>
        <v>231</v>
      </c>
      <c r="B598">
        <v>68990560</v>
      </c>
      <c r="C598">
        <v>68992718</v>
      </c>
      <c r="D598">
        <v>64255521</v>
      </c>
      <c r="E598">
        <v>1</v>
      </c>
      <c r="F598">
        <v>1</v>
      </c>
      <c r="G598">
        <v>1</v>
      </c>
      <c r="H598">
        <v>3</v>
      </c>
      <c r="I598" t="s">
        <v>1213</v>
      </c>
      <c r="J598" t="s">
        <v>1214</v>
      </c>
      <c r="K598" t="s">
        <v>1215</v>
      </c>
      <c r="L598">
        <v>1348</v>
      </c>
      <c r="N598">
        <v>1009</v>
      </c>
      <c r="O598" t="s">
        <v>71</v>
      </c>
      <c r="P598" t="s">
        <v>71</v>
      </c>
      <c r="Q598">
        <v>1000</v>
      </c>
      <c r="W598">
        <v>0</v>
      </c>
      <c r="X598">
        <v>939189209</v>
      </c>
      <c r="Y598">
        <v>2.9999999999999997E-4</v>
      </c>
      <c r="AA598">
        <v>66749.100000000006</v>
      </c>
      <c r="AB598">
        <v>0</v>
      </c>
      <c r="AC598">
        <v>0</v>
      </c>
      <c r="AD598">
        <v>0</v>
      </c>
      <c r="AE598">
        <v>12430</v>
      </c>
      <c r="AF598">
        <v>0</v>
      </c>
      <c r="AG598">
        <v>0</v>
      </c>
      <c r="AH598">
        <v>0</v>
      </c>
      <c r="AI598">
        <v>5.37</v>
      </c>
      <c r="AJ598">
        <v>1</v>
      </c>
      <c r="AK598">
        <v>1</v>
      </c>
      <c r="AL598">
        <v>1</v>
      </c>
      <c r="AN598">
        <v>0</v>
      </c>
      <c r="AO598">
        <v>1</v>
      </c>
      <c r="AP598">
        <v>0</v>
      </c>
      <c r="AQ598">
        <v>0</v>
      </c>
      <c r="AR598">
        <v>0</v>
      </c>
      <c r="AS598" t="s">
        <v>3</v>
      </c>
      <c r="AT598">
        <v>2.9999999999999997E-4</v>
      </c>
      <c r="AU598" t="s">
        <v>3</v>
      </c>
      <c r="AV598">
        <v>0</v>
      </c>
      <c r="AW598">
        <v>2</v>
      </c>
      <c r="AX598">
        <v>68992736</v>
      </c>
      <c r="AY598">
        <v>1</v>
      </c>
      <c r="AZ598">
        <v>0</v>
      </c>
      <c r="BA598">
        <v>570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Y598*Source!I231</f>
        <v>2.9999999999999997E-6</v>
      </c>
      <c r="CY598">
        <f t="shared" si="117"/>
        <v>66749.100000000006</v>
      </c>
      <c r="CZ598">
        <f t="shared" si="118"/>
        <v>12430</v>
      </c>
      <c r="DA598">
        <f t="shared" si="119"/>
        <v>5.37</v>
      </c>
      <c r="DB598">
        <f t="shared" si="120"/>
        <v>3.73</v>
      </c>
      <c r="DC598">
        <f t="shared" si="121"/>
        <v>0</v>
      </c>
    </row>
    <row r="599" spans="1:107" x14ac:dyDescent="0.2">
      <c r="A599">
        <f>ROW(Source!A231)</f>
        <v>231</v>
      </c>
      <c r="B599">
        <v>68990560</v>
      </c>
      <c r="C599">
        <v>68992718</v>
      </c>
      <c r="D599">
        <v>64300721</v>
      </c>
      <c r="E599">
        <v>1</v>
      </c>
      <c r="F599">
        <v>1</v>
      </c>
      <c r="G599">
        <v>1</v>
      </c>
      <c r="H599">
        <v>3</v>
      </c>
      <c r="I599" t="s">
        <v>720</v>
      </c>
      <c r="J599" t="s">
        <v>722</v>
      </c>
      <c r="K599" t="s">
        <v>721</v>
      </c>
      <c r="L599">
        <v>1425</v>
      </c>
      <c r="N599">
        <v>1013</v>
      </c>
      <c r="O599" t="s">
        <v>18</v>
      </c>
      <c r="P599" t="s">
        <v>18</v>
      </c>
      <c r="Q599">
        <v>1</v>
      </c>
      <c r="W599">
        <v>0</v>
      </c>
      <c r="X599">
        <v>423955288</v>
      </c>
      <c r="Y599">
        <v>1</v>
      </c>
      <c r="AA599">
        <v>54599.45</v>
      </c>
      <c r="AB599">
        <v>0</v>
      </c>
      <c r="AC599">
        <v>0</v>
      </c>
      <c r="AD599">
        <v>0</v>
      </c>
      <c r="AE599">
        <v>3217.41</v>
      </c>
      <c r="AF599">
        <v>0</v>
      </c>
      <c r="AG599">
        <v>0</v>
      </c>
      <c r="AH599">
        <v>0</v>
      </c>
      <c r="AI599">
        <v>16.97</v>
      </c>
      <c r="AJ599">
        <v>1</v>
      </c>
      <c r="AK599">
        <v>1</v>
      </c>
      <c r="AL599">
        <v>1</v>
      </c>
      <c r="AN599">
        <v>0</v>
      </c>
      <c r="AO599">
        <v>0</v>
      </c>
      <c r="AP599">
        <v>0</v>
      </c>
      <c r="AQ599">
        <v>0</v>
      </c>
      <c r="AR599">
        <v>0</v>
      </c>
      <c r="AS599" t="s">
        <v>3</v>
      </c>
      <c r="AT599">
        <v>1</v>
      </c>
      <c r="AU599" t="s">
        <v>3</v>
      </c>
      <c r="AV599">
        <v>0</v>
      </c>
      <c r="AW599">
        <v>1</v>
      </c>
      <c r="AX599">
        <v>-1</v>
      </c>
      <c r="AY599">
        <v>0</v>
      </c>
      <c r="AZ599">
        <v>0</v>
      </c>
      <c r="BA599" t="s">
        <v>3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Y599*Source!I231</f>
        <v>0.01</v>
      </c>
      <c r="CY599">
        <f t="shared" si="117"/>
        <v>54599.45</v>
      </c>
      <c r="CZ599">
        <f t="shared" si="118"/>
        <v>3217.41</v>
      </c>
      <c r="DA599">
        <f t="shared" si="119"/>
        <v>16.97</v>
      </c>
      <c r="DB599">
        <f t="shared" si="120"/>
        <v>3217.41</v>
      </c>
      <c r="DC599">
        <f t="shared" si="121"/>
        <v>0</v>
      </c>
    </row>
    <row r="600" spans="1:107" x14ac:dyDescent="0.2">
      <c r="A600">
        <f>ROW(Source!A231)</f>
        <v>231</v>
      </c>
      <c r="B600">
        <v>68990560</v>
      </c>
      <c r="C600">
        <v>68992718</v>
      </c>
      <c r="D600">
        <v>64245580</v>
      </c>
      <c r="E600">
        <v>56</v>
      </c>
      <c r="F600">
        <v>1</v>
      </c>
      <c r="G600">
        <v>1</v>
      </c>
      <c r="H600">
        <v>3</v>
      </c>
      <c r="I600" t="s">
        <v>837</v>
      </c>
      <c r="J600" t="s">
        <v>3</v>
      </c>
      <c r="K600" t="s">
        <v>838</v>
      </c>
      <c r="L600">
        <v>1374</v>
      </c>
      <c r="N600">
        <v>1013</v>
      </c>
      <c r="O600" t="s">
        <v>839</v>
      </c>
      <c r="P600" t="s">
        <v>839</v>
      </c>
      <c r="Q600">
        <v>1</v>
      </c>
      <c r="W600">
        <v>0</v>
      </c>
      <c r="X600">
        <v>-1731369543</v>
      </c>
      <c r="Y600">
        <v>6.86</v>
      </c>
      <c r="AA600">
        <v>1</v>
      </c>
      <c r="AB600">
        <v>0</v>
      </c>
      <c r="AC600">
        <v>0</v>
      </c>
      <c r="AD600">
        <v>0</v>
      </c>
      <c r="AE600">
        <v>1</v>
      </c>
      <c r="AF600">
        <v>0</v>
      </c>
      <c r="AG600">
        <v>0</v>
      </c>
      <c r="AH600">
        <v>0</v>
      </c>
      <c r="AI600">
        <v>1</v>
      </c>
      <c r="AJ600">
        <v>1</v>
      </c>
      <c r="AK600">
        <v>1</v>
      </c>
      <c r="AL600">
        <v>1</v>
      </c>
      <c r="AN600">
        <v>0</v>
      </c>
      <c r="AO600">
        <v>1</v>
      </c>
      <c r="AP600">
        <v>0</v>
      </c>
      <c r="AQ600">
        <v>0</v>
      </c>
      <c r="AR600">
        <v>0</v>
      </c>
      <c r="AS600" t="s">
        <v>3</v>
      </c>
      <c r="AT600">
        <v>6.86</v>
      </c>
      <c r="AU600" t="s">
        <v>3</v>
      </c>
      <c r="AV600">
        <v>0</v>
      </c>
      <c r="AW600">
        <v>2</v>
      </c>
      <c r="AX600">
        <v>68992737</v>
      </c>
      <c r="AY600">
        <v>1</v>
      </c>
      <c r="AZ600">
        <v>0</v>
      </c>
      <c r="BA600">
        <v>571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Y600*Source!I231</f>
        <v>6.8600000000000008E-2</v>
      </c>
      <c r="CY600">
        <f t="shared" si="117"/>
        <v>1</v>
      </c>
      <c r="CZ600">
        <f t="shared" si="118"/>
        <v>1</v>
      </c>
      <c r="DA600">
        <f t="shared" si="119"/>
        <v>1</v>
      </c>
      <c r="DB600">
        <f t="shared" si="120"/>
        <v>6.86</v>
      </c>
      <c r="DC600">
        <f t="shared" si="121"/>
        <v>0</v>
      </c>
    </row>
    <row r="601" spans="1:107" x14ac:dyDescent="0.2">
      <c r="A601">
        <f>ROW(Source!A233)</f>
        <v>233</v>
      </c>
      <c r="B601">
        <v>68990560</v>
      </c>
      <c r="C601">
        <v>68992753</v>
      </c>
      <c r="D601">
        <v>37072767</v>
      </c>
      <c r="E601">
        <v>56</v>
      </c>
      <c r="F601">
        <v>1</v>
      </c>
      <c r="G601">
        <v>1</v>
      </c>
      <c r="H601">
        <v>1</v>
      </c>
      <c r="I601" t="s">
        <v>874</v>
      </c>
      <c r="J601" t="s">
        <v>3</v>
      </c>
      <c r="K601" t="s">
        <v>875</v>
      </c>
      <c r="L601">
        <v>1191</v>
      </c>
      <c r="N601">
        <v>1013</v>
      </c>
      <c r="O601" t="s">
        <v>818</v>
      </c>
      <c r="P601" t="s">
        <v>818</v>
      </c>
      <c r="Q601">
        <v>1</v>
      </c>
      <c r="W601">
        <v>0</v>
      </c>
      <c r="X601">
        <v>-1027537862</v>
      </c>
      <c r="Y601">
        <v>100.77449999999999</v>
      </c>
      <c r="AA601">
        <v>0</v>
      </c>
      <c r="AB601">
        <v>0</v>
      </c>
      <c r="AC601">
        <v>0</v>
      </c>
      <c r="AD601">
        <v>9.18</v>
      </c>
      <c r="AE601">
        <v>0</v>
      </c>
      <c r="AF601">
        <v>0</v>
      </c>
      <c r="AG601">
        <v>0</v>
      </c>
      <c r="AH601">
        <v>9.18</v>
      </c>
      <c r="AI601">
        <v>1</v>
      </c>
      <c r="AJ601">
        <v>1</v>
      </c>
      <c r="AK601">
        <v>1</v>
      </c>
      <c r="AL601">
        <v>1</v>
      </c>
      <c r="AN601">
        <v>0</v>
      </c>
      <c r="AO601">
        <v>1</v>
      </c>
      <c r="AP601">
        <v>1</v>
      </c>
      <c r="AQ601">
        <v>0</v>
      </c>
      <c r="AR601">
        <v>0</v>
      </c>
      <c r="AS601" t="s">
        <v>3</v>
      </c>
      <c r="AT601">
        <v>87.63</v>
      </c>
      <c r="AU601" t="s">
        <v>38</v>
      </c>
      <c r="AV601">
        <v>1</v>
      </c>
      <c r="AW601">
        <v>2</v>
      </c>
      <c r="AX601">
        <v>68992756</v>
      </c>
      <c r="AY601">
        <v>1</v>
      </c>
      <c r="AZ601">
        <v>0</v>
      </c>
      <c r="BA601">
        <v>572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Y601*Source!I233</f>
        <v>2.0154899999999998</v>
      </c>
      <c r="CY601">
        <f>AD601</f>
        <v>9.18</v>
      </c>
      <c r="CZ601">
        <f>AH601</f>
        <v>9.18</v>
      </c>
      <c r="DA601">
        <f>AL601</f>
        <v>1</v>
      </c>
      <c r="DB601">
        <f>ROUND((ROUND(AT601*CZ601,2)*1.15),2)</f>
        <v>925.11</v>
      </c>
      <c r="DC601">
        <f>ROUND((ROUND(AT601*AG601,2)*1.15),2)</f>
        <v>0</v>
      </c>
    </row>
    <row r="602" spans="1:107" x14ac:dyDescent="0.2">
      <c r="A602">
        <f>ROW(Source!A233)</f>
        <v>233</v>
      </c>
      <c r="B602">
        <v>68990560</v>
      </c>
      <c r="C602">
        <v>68992753</v>
      </c>
      <c r="D602">
        <v>64402923</v>
      </c>
      <c r="E602">
        <v>1</v>
      </c>
      <c r="F602">
        <v>1</v>
      </c>
      <c r="G602">
        <v>1</v>
      </c>
      <c r="H602">
        <v>2</v>
      </c>
      <c r="I602" t="s">
        <v>886</v>
      </c>
      <c r="J602" t="s">
        <v>887</v>
      </c>
      <c r="K602" t="s">
        <v>888</v>
      </c>
      <c r="L602">
        <v>1368</v>
      </c>
      <c r="N602">
        <v>1011</v>
      </c>
      <c r="O602" t="s">
        <v>824</v>
      </c>
      <c r="P602" t="s">
        <v>824</v>
      </c>
      <c r="Q602">
        <v>1</v>
      </c>
      <c r="W602">
        <v>0</v>
      </c>
      <c r="X602">
        <v>1975152863</v>
      </c>
      <c r="Y602">
        <v>32.683</v>
      </c>
      <c r="AA602">
        <v>0</v>
      </c>
      <c r="AB602">
        <v>135.69</v>
      </c>
      <c r="AC602">
        <v>0</v>
      </c>
      <c r="AD602">
        <v>0</v>
      </c>
      <c r="AE602">
        <v>0</v>
      </c>
      <c r="AF602">
        <v>48.81</v>
      </c>
      <c r="AG602">
        <v>0</v>
      </c>
      <c r="AH602">
        <v>0</v>
      </c>
      <c r="AI602">
        <v>1</v>
      </c>
      <c r="AJ602">
        <v>2.78</v>
      </c>
      <c r="AK602">
        <v>33.65</v>
      </c>
      <c r="AL602">
        <v>1</v>
      </c>
      <c r="AN602">
        <v>0</v>
      </c>
      <c r="AO602">
        <v>1</v>
      </c>
      <c r="AP602">
        <v>1</v>
      </c>
      <c r="AQ602">
        <v>0</v>
      </c>
      <c r="AR602">
        <v>0</v>
      </c>
      <c r="AS602" t="s">
        <v>3</v>
      </c>
      <c r="AT602">
        <v>28.42</v>
      </c>
      <c r="AU602" t="s">
        <v>38</v>
      </c>
      <c r="AV602">
        <v>0</v>
      </c>
      <c r="AW602">
        <v>2</v>
      </c>
      <c r="AX602">
        <v>68992757</v>
      </c>
      <c r="AY602">
        <v>1</v>
      </c>
      <c r="AZ602">
        <v>0</v>
      </c>
      <c r="BA602">
        <v>573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Y602*Source!I233</f>
        <v>0.65366000000000002</v>
      </c>
      <c r="CY602">
        <f>AB602</f>
        <v>135.69</v>
      </c>
      <c r="CZ602">
        <f>AF602</f>
        <v>48.81</v>
      </c>
      <c r="DA602">
        <f>AJ602</f>
        <v>2.78</v>
      </c>
      <c r="DB602">
        <f>ROUND((ROUND(AT602*CZ602,2)*1.15),2)</f>
        <v>1595.26</v>
      </c>
      <c r="DC602">
        <f>ROUND((ROUND(AT602*AG602,2)*1.15),2)</f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3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ROW(Source!A29)</f>
        <v>29</v>
      </c>
      <c r="B1">
        <v>68990689</v>
      </c>
      <c r="C1">
        <v>68990680</v>
      </c>
      <c r="D1">
        <v>37080781</v>
      </c>
      <c r="E1">
        <v>56</v>
      </c>
      <c r="F1">
        <v>1</v>
      </c>
      <c r="G1">
        <v>1</v>
      </c>
      <c r="H1">
        <v>1</v>
      </c>
      <c r="I1" t="s">
        <v>816</v>
      </c>
      <c r="J1" t="s">
        <v>3</v>
      </c>
      <c r="K1" t="s">
        <v>817</v>
      </c>
      <c r="L1">
        <v>1191</v>
      </c>
      <c r="N1">
        <v>1013</v>
      </c>
      <c r="O1" t="s">
        <v>818</v>
      </c>
      <c r="P1" t="s">
        <v>818</v>
      </c>
      <c r="Q1">
        <v>1</v>
      </c>
      <c r="X1">
        <v>78.56</v>
      </c>
      <c r="Y1">
        <v>0</v>
      </c>
      <c r="Z1">
        <v>0</v>
      </c>
      <c r="AA1">
        <v>0</v>
      </c>
      <c r="AB1">
        <v>9.92</v>
      </c>
      <c r="AC1">
        <v>0</v>
      </c>
      <c r="AD1">
        <v>1</v>
      </c>
      <c r="AE1">
        <v>1</v>
      </c>
      <c r="AF1" t="s">
        <v>21</v>
      </c>
      <c r="AG1">
        <v>63.633600000000001</v>
      </c>
      <c r="AH1">
        <v>2</v>
      </c>
      <c r="AI1">
        <v>68990681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ROW(Source!A29)</f>
        <v>29</v>
      </c>
      <c r="B2">
        <v>68990690</v>
      </c>
      <c r="C2">
        <v>68990680</v>
      </c>
      <c r="D2">
        <v>37064876</v>
      </c>
      <c r="E2">
        <v>56</v>
      </c>
      <c r="F2">
        <v>1</v>
      </c>
      <c r="G2">
        <v>1</v>
      </c>
      <c r="H2">
        <v>1</v>
      </c>
      <c r="I2" t="s">
        <v>819</v>
      </c>
      <c r="J2" t="s">
        <v>3</v>
      </c>
      <c r="K2" t="s">
        <v>820</v>
      </c>
      <c r="L2">
        <v>1191</v>
      </c>
      <c r="N2">
        <v>1013</v>
      </c>
      <c r="O2" t="s">
        <v>818</v>
      </c>
      <c r="P2" t="s">
        <v>818</v>
      </c>
      <c r="Q2">
        <v>1</v>
      </c>
      <c r="X2">
        <v>0.4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21</v>
      </c>
      <c r="AG2">
        <v>0.32400000000000001</v>
      </c>
      <c r="AH2">
        <v>2</v>
      </c>
      <c r="AI2">
        <v>68990682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ROW(Source!A29)</f>
        <v>29</v>
      </c>
      <c r="B3">
        <v>68990691</v>
      </c>
      <c r="C3">
        <v>68990680</v>
      </c>
      <c r="D3">
        <v>64401763</v>
      </c>
      <c r="E3">
        <v>1</v>
      </c>
      <c r="F3">
        <v>1</v>
      </c>
      <c r="G3">
        <v>1</v>
      </c>
      <c r="H3">
        <v>2</v>
      </c>
      <c r="I3" t="s">
        <v>821</v>
      </c>
      <c r="J3" t="s">
        <v>822</v>
      </c>
      <c r="K3" t="s">
        <v>823</v>
      </c>
      <c r="L3">
        <v>1368</v>
      </c>
      <c r="N3">
        <v>1011</v>
      </c>
      <c r="O3" t="s">
        <v>824</v>
      </c>
      <c r="P3" t="s">
        <v>824</v>
      </c>
      <c r="Q3">
        <v>1</v>
      </c>
      <c r="X3">
        <v>0.2</v>
      </c>
      <c r="Y3">
        <v>0</v>
      </c>
      <c r="Z3">
        <v>115.4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21</v>
      </c>
      <c r="AG3">
        <v>0.16200000000000001</v>
      </c>
      <c r="AH3">
        <v>2</v>
      </c>
      <c r="AI3">
        <v>68990683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ROW(Source!A29)</f>
        <v>29</v>
      </c>
      <c r="B4">
        <v>68990692</v>
      </c>
      <c r="C4">
        <v>68990680</v>
      </c>
      <c r="D4">
        <v>64402691</v>
      </c>
      <c r="E4">
        <v>1</v>
      </c>
      <c r="F4">
        <v>1</v>
      </c>
      <c r="G4">
        <v>1</v>
      </c>
      <c r="H4">
        <v>2</v>
      </c>
      <c r="I4" t="s">
        <v>825</v>
      </c>
      <c r="J4" t="s">
        <v>826</v>
      </c>
      <c r="K4" t="s">
        <v>827</v>
      </c>
      <c r="L4">
        <v>1368</v>
      </c>
      <c r="N4">
        <v>1011</v>
      </c>
      <c r="O4" t="s">
        <v>824</v>
      </c>
      <c r="P4" t="s">
        <v>824</v>
      </c>
      <c r="Q4">
        <v>1</v>
      </c>
      <c r="X4">
        <v>0.2</v>
      </c>
      <c r="Y4">
        <v>0</v>
      </c>
      <c r="Z4">
        <v>65.709999999999994</v>
      </c>
      <c r="AA4">
        <v>11.6</v>
      </c>
      <c r="AB4">
        <v>0</v>
      </c>
      <c r="AC4">
        <v>0</v>
      </c>
      <c r="AD4">
        <v>1</v>
      </c>
      <c r="AE4">
        <v>0</v>
      </c>
      <c r="AF4" t="s">
        <v>21</v>
      </c>
      <c r="AG4">
        <v>0.16200000000000001</v>
      </c>
      <c r="AH4">
        <v>2</v>
      </c>
      <c r="AI4">
        <v>68990684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ROW(Source!A29)</f>
        <v>29</v>
      </c>
      <c r="B5">
        <v>68990693</v>
      </c>
      <c r="C5">
        <v>68990680</v>
      </c>
      <c r="D5">
        <v>64253038</v>
      </c>
      <c r="E5">
        <v>1</v>
      </c>
      <c r="F5">
        <v>1</v>
      </c>
      <c r="G5">
        <v>1</v>
      </c>
      <c r="H5">
        <v>3</v>
      </c>
      <c r="I5" t="s">
        <v>828</v>
      </c>
      <c r="J5" t="s">
        <v>829</v>
      </c>
      <c r="K5" t="s">
        <v>830</v>
      </c>
      <c r="L5">
        <v>1346</v>
      </c>
      <c r="N5">
        <v>1009</v>
      </c>
      <c r="O5" t="s">
        <v>170</v>
      </c>
      <c r="P5" t="s">
        <v>170</v>
      </c>
      <c r="Q5">
        <v>1</v>
      </c>
      <c r="X5">
        <v>0.21</v>
      </c>
      <c r="Y5">
        <v>30.4</v>
      </c>
      <c r="Z5">
        <v>0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20</v>
      </c>
      <c r="AG5">
        <v>0</v>
      </c>
      <c r="AH5">
        <v>2</v>
      </c>
      <c r="AI5">
        <v>68990685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68990694</v>
      </c>
      <c r="C6">
        <v>68990680</v>
      </c>
      <c r="D6">
        <v>64255145</v>
      </c>
      <c r="E6">
        <v>1</v>
      </c>
      <c r="F6">
        <v>1</v>
      </c>
      <c r="G6">
        <v>1</v>
      </c>
      <c r="H6">
        <v>3</v>
      </c>
      <c r="I6" t="s">
        <v>831</v>
      </c>
      <c r="J6" t="s">
        <v>832</v>
      </c>
      <c r="K6" t="s">
        <v>833</v>
      </c>
      <c r="L6">
        <v>1425</v>
      </c>
      <c r="N6">
        <v>1013</v>
      </c>
      <c r="O6" t="s">
        <v>18</v>
      </c>
      <c r="P6" t="s">
        <v>18</v>
      </c>
      <c r="Q6">
        <v>1</v>
      </c>
      <c r="X6">
        <v>4.08</v>
      </c>
      <c r="Y6">
        <v>86</v>
      </c>
      <c r="Z6">
        <v>0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20</v>
      </c>
      <c r="AG6">
        <v>0</v>
      </c>
      <c r="AH6">
        <v>2</v>
      </c>
      <c r="AI6">
        <v>68990686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ROW(Source!A29)</f>
        <v>29</v>
      </c>
      <c r="B7">
        <v>68990695</v>
      </c>
      <c r="C7">
        <v>68990680</v>
      </c>
      <c r="D7">
        <v>64305045</v>
      </c>
      <c r="E7">
        <v>1</v>
      </c>
      <c r="F7">
        <v>1</v>
      </c>
      <c r="G7">
        <v>1</v>
      </c>
      <c r="H7">
        <v>3</v>
      </c>
      <c r="I7" t="s">
        <v>834</v>
      </c>
      <c r="J7" t="s">
        <v>835</v>
      </c>
      <c r="K7" t="s">
        <v>836</v>
      </c>
      <c r="L7">
        <v>1348</v>
      </c>
      <c r="N7">
        <v>1009</v>
      </c>
      <c r="O7" t="s">
        <v>71</v>
      </c>
      <c r="P7" t="s">
        <v>71</v>
      </c>
      <c r="Q7">
        <v>1000</v>
      </c>
      <c r="X7">
        <v>1.5299999999999999E-3</v>
      </c>
      <c r="Y7">
        <v>96440</v>
      </c>
      <c r="Z7">
        <v>0</v>
      </c>
      <c r="AA7">
        <v>0</v>
      </c>
      <c r="AB7">
        <v>0</v>
      </c>
      <c r="AC7">
        <v>0</v>
      </c>
      <c r="AD7">
        <v>1</v>
      </c>
      <c r="AE7">
        <v>0</v>
      </c>
      <c r="AF7" t="s">
        <v>20</v>
      </c>
      <c r="AG7">
        <v>0</v>
      </c>
      <c r="AH7">
        <v>2</v>
      </c>
      <c r="AI7">
        <v>68990687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ROW(Source!A29)</f>
        <v>29</v>
      </c>
      <c r="B8">
        <v>68990696</v>
      </c>
      <c r="C8">
        <v>68990680</v>
      </c>
      <c r="D8">
        <v>64245580</v>
      </c>
      <c r="E8">
        <v>56</v>
      </c>
      <c r="F8">
        <v>1</v>
      </c>
      <c r="G8">
        <v>1</v>
      </c>
      <c r="H8">
        <v>3</v>
      </c>
      <c r="I8" t="s">
        <v>837</v>
      </c>
      <c r="J8" t="s">
        <v>3</v>
      </c>
      <c r="K8" t="s">
        <v>838</v>
      </c>
      <c r="L8">
        <v>1374</v>
      </c>
      <c r="N8">
        <v>1013</v>
      </c>
      <c r="O8" t="s">
        <v>839</v>
      </c>
      <c r="P8" t="s">
        <v>839</v>
      </c>
      <c r="Q8">
        <v>1</v>
      </c>
      <c r="X8">
        <v>15.59</v>
      </c>
      <c r="Y8">
        <v>1</v>
      </c>
      <c r="Z8">
        <v>0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20</v>
      </c>
      <c r="AG8">
        <v>0</v>
      </c>
      <c r="AH8">
        <v>2</v>
      </c>
      <c r="AI8">
        <v>68990688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ROW(Source!A30)</f>
        <v>30</v>
      </c>
      <c r="B9">
        <v>68990598</v>
      </c>
      <c r="C9">
        <v>68990590</v>
      </c>
      <c r="D9">
        <v>37071037</v>
      </c>
      <c r="E9">
        <v>56</v>
      </c>
      <c r="F9">
        <v>1</v>
      </c>
      <c r="G9">
        <v>1</v>
      </c>
      <c r="H9">
        <v>1</v>
      </c>
      <c r="I9" t="s">
        <v>840</v>
      </c>
      <c r="J9" t="s">
        <v>3</v>
      </c>
      <c r="K9" t="s">
        <v>841</v>
      </c>
      <c r="L9">
        <v>1191</v>
      </c>
      <c r="N9">
        <v>1013</v>
      </c>
      <c r="O9" t="s">
        <v>818</v>
      </c>
      <c r="P9" t="s">
        <v>818</v>
      </c>
      <c r="Q9">
        <v>1</v>
      </c>
      <c r="X9">
        <v>0.84</v>
      </c>
      <c r="Y9">
        <v>0</v>
      </c>
      <c r="Z9">
        <v>0</v>
      </c>
      <c r="AA9">
        <v>0</v>
      </c>
      <c r="AB9">
        <v>9.6199999999999992</v>
      </c>
      <c r="AC9">
        <v>0</v>
      </c>
      <c r="AD9">
        <v>1</v>
      </c>
      <c r="AE9">
        <v>1</v>
      </c>
      <c r="AF9" t="s">
        <v>21</v>
      </c>
      <c r="AG9">
        <v>0.6804</v>
      </c>
      <c r="AH9">
        <v>2</v>
      </c>
      <c r="AI9">
        <v>68990591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ROW(Source!A30)</f>
        <v>30</v>
      </c>
      <c r="B10">
        <v>68990599</v>
      </c>
      <c r="C10">
        <v>68990590</v>
      </c>
      <c r="D10">
        <v>64251442</v>
      </c>
      <c r="E10">
        <v>1</v>
      </c>
      <c r="F10">
        <v>1</v>
      </c>
      <c r="G10">
        <v>1</v>
      </c>
      <c r="H10">
        <v>3</v>
      </c>
      <c r="I10" t="s">
        <v>842</v>
      </c>
      <c r="J10" t="s">
        <v>843</v>
      </c>
      <c r="K10" t="s">
        <v>844</v>
      </c>
      <c r="L10">
        <v>1346</v>
      </c>
      <c r="N10">
        <v>1009</v>
      </c>
      <c r="O10" t="s">
        <v>170</v>
      </c>
      <c r="P10" t="s">
        <v>170</v>
      </c>
      <c r="Q10">
        <v>1</v>
      </c>
      <c r="X10">
        <v>2.0000000000000001E-4</v>
      </c>
      <c r="Y10">
        <v>27.74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20</v>
      </c>
      <c r="AG10">
        <v>0</v>
      </c>
      <c r="AH10">
        <v>2</v>
      </c>
      <c r="AI10">
        <v>68990592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ROW(Source!A30)</f>
        <v>30</v>
      </c>
      <c r="B11">
        <v>68990600</v>
      </c>
      <c r="C11">
        <v>68990590</v>
      </c>
      <c r="D11">
        <v>64255524</v>
      </c>
      <c r="E11">
        <v>1</v>
      </c>
      <c r="F11">
        <v>1</v>
      </c>
      <c r="G11">
        <v>1</v>
      </c>
      <c r="H11">
        <v>3</v>
      </c>
      <c r="I11" t="s">
        <v>845</v>
      </c>
      <c r="J11" t="s">
        <v>846</v>
      </c>
      <c r="K11" t="s">
        <v>847</v>
      </c>
      <c r="L11">
        <v>1348</v>
      </c>
      <c r="N11">
        <v>1009</v>
      </c>
      <c r="O11" t="s">
        <v>71</v>
      </c>
      <c r="P11" t="s">
        <v>71</v>
      </c>
      <c r="Q11">
        <v>1000</v>
      </c>
      <c r="X11">
        <v>1E-4</v>
      </c>
      <c r="Y11">
        <v>12430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20</v>
      </c>
      <c r="AG11">
        <v>0</v>
      </c>
      <c r="AH11">
        <v>2</v>
      </c>
      <c r="AI11">
        <v>68990593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ROW(Source!A30)</f>
        <v>30</v>
      </c>
      <c r="B12">
        <v>68990601</v>
      </c>
      <c r="C12">
        <v>68990590</v>
      </c>
      <c r="D12">
        <v>64275490</v>
      </c>
      <c r="E12">
        <v>1</v>
      </c>
      <c r="F12">
        <v>1</v>
      </c>
      <c r="G12">
        <v>1</v>
      </c>
      <c r="H12">
        <v>3</v>
      </c>
      <c r="I12" t="s">
        <v>848</v>
      </c>
      <c r="J12" t="s">
        <v>849</v>
      </c>
      <c r="K12" t="s">
        <v>850</v>
      </c>
      <c r="L12">
        <v>1348</v>
      </c>
      <c r="N12">
        <v>1009</v>
      </c>
      <c r="O12" t="s">
        <v>71</v>
      </c>
      <c r="P12" t="s">
        <v>71</v>
      </c>
      <c r="Q12">
        <v>1000</v>
      </c>
      <c r="X12">
        <v>1.9999999999999999E-6</v>
      </c>
      <c r="Y12">
        <v>65750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20</v>
      </c>
      <c r="AG12">
        <v>0</v>
      </c>
      <c r="AH12">
        <v>2</v>
      </c>
      <c r="AI12">
        <v>68990594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ROW(Source!A30)</f>
        <v>30</v>
      </c>
      <c r="B13">
        <v>68990602</v>
      </c>
      <c r="C13">
        <v>68990590</v>
      </c>
      <c r="D13">
        <v>64283070</v>
      </c>
      <c r="E13">
        <v>1</v>
      </c>
      <c r="F13">
        <v>1</v>
      </c>
      <c r="G13">
        <v>1</v>
      </c>
      <c r="H13">
        <v>3</v>
      </c>
      <c r="I13" t="s">
        <v>851</v>
      </c>
      <c r="J13" t="s">
        <v>852</v>
      </c>
      <c r="K13" t="s">
        <v>853</v>
      </c>
      <c r="L13">
        <v>1346</v>
      </c>
      <c r="N13">
        <v>1009</v>
      </c>
      <c r="O13" t="s">
        <v>170</v>
      </c>
      <c r="P13" t="s">
        <v>170</v>
      </c>
      <c r="Q13">
        <v>1</v>
      </c>
      <c r="X13">
        <v>0.01</v>
      </c>
      <c r="Y13">
        <v>28.93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20</v>
      </c>
      <c r="AG13">
        <v>0</v>
      </c>
      <c r="AH13">
        <v>2</v>
      </c>
      <c r="AI13">
        <v>68990595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ROW(Source!A30)</f>
        <v>30</v>
      </c>
      <c r="B14">
        <v>68990603</v>
      </c>
      <c r="C14">
        <v>68990590</v>
      </c>
      <c r="D14">
        <v>64312702</v>
      </c>
      <c r="E14">
        <v>1</v>
      </c>
      <c r="F14">
        <v>1</v>
      </c>
      <c r="G14">
        <v>1</v>
      </c>
      <c r="H14">
        <v>3</v>
      </c>
      <c r="I14" t="s">
        <v>854</v>
      </c>
      <c r="J14" t="s">
        <v>855</v>
      </c>
      <c r="K14" t="s">
        <v>856</v>
      </c>
      <c r="L14">
        <v>1346</v>
      </c>
      <c r="N14">
        <v>1009</v>
      </c>
      <c r="O14" t="s">
        <v>170</v>
      </c>
      <c r="P14" t="s">
        <v>170</v>
      </c>
      <c r="Q14">
        <v>1</v>
      </c>
      <c r="X14">
        <v>1.42E-3</v>
      </c>
      <c r="Y14">
        <v>38.340000000000003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20</v>
      </c>
      <c r="AG14">
        <v>0</v>
      </c>
      <c r="AH14">
        <v>2</v>
      </c>
      <c r="AI14">
        <v>68990596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ROW(Source!A30)</f>
        <v>30</v>
      </c>
      <c r="B15">
        <v>68990604</v>
      </c>
      <c r="C15">
        <v>68990590</v>
      </c>
      <c r="D15">
        <v>64245580</v>
      </c>
      <c r="E15">
        <v>56</v>
      </c>
      <c r="F15">
        <v>1</v>
      </c>
      <c r="G15">
        <v>1</v>
      </c>
      <c r="H15">
        <v>3</v>
      </c>
      <c r="I15" t="s">
        <v>837</v>
      </c>
      <c r="J15" t="s">
        <v>3</v>
      </c>
      <c r="K15" t="s">
        <v>838</v>
      </c>
      <c r="L15">
        <v>1374</v>
      </c>
      <c r="N15">
        <v>1013</v>
      </c>
      <c r="O15" t="s">
        <v>839</v>
      </c>
      <c r="P15" t="s">
        <v>839</v>
      </c>
      <c r="Q15">
        <v>1</v>
      </c>
      <c r="X15">
        <v>0.16</v>
      </c>
      <c r="Y15">
        <v>1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20</v>
      </c>
      <c r="AG15">
        <v>0</v>
      </c>
      <c r="AH15">
        <v>2</v>
      </c>
      <c r="AI15">
        <v>68990597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ROW(Source!A31)</f>
        <v>31</v>
      </c>
      <c r="B16">
        <v>68990737</v>
      </c>
      <c r="C16">
        <v>68990736</v>
      </c>
      <c r="D16">
        <v>64240975</v>
      </c>
      <c r="E16">
        <v>56</v>
      </c>
      <c r="F16">
        <v>1</v>
      </c>
      <c r="G16">
        <v>1</v>
      </c>
      <c r="H16">
        <v>1</v>
      </c>
      <c r="I16" t="s">
        <v>857</v>
      </c>
      <c r="J16" t="s">
        <v>3</v>
      </c>
      <c r="K16" t="s">
        <v>858</v>
      </c>
      <c r="L16">
        <v>1191</v>
      </c>
      <c r="N16">
        <v>1013</v>
      </c>
      <c r="O16" t="s">
        <v>818</v>
      </c>
      <c r="P16" t="s">
        <v>818</v>
      </c>
      <c r="Q16">
        <v>1</v>
      </c>
      <c r="X16">
        <v>23</v>
      </c>
      <c r="Y16">
        <v>0</v>
      </c>
      <c r="Z16">
        <v>0</v>
      </c>
      <c r="AA16">
        <v>0</v>
      </c>
      <c r="AB16">
        <v>8.5299999999999994</v>
      </c>
      <c r="AC16">
        <v>0</v>
      </c>
      <c r="AD16">
        <v>1</v>
      </c>
      <c r="AE16">
        <v>1</v>
      </c>
      <c r="AF16" t="s">
        <v>38</v>
      </c>
      <c r="AG16">
        <v>26.45</v>
      </c>
      <c r="AH16">
        <v>2</v>
      </c>
      <c r="AI16">
        <v>68990737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ROW(Source!A31)</f>
        <v>31</v>
      </c>
      <c r="B17">
        <v>68990738</v>
      </c>
      <c r="C17">
        <v>68990736</v>
      </c>
      <c r="D17">
        <v>64241154</v>
      </c>
      <c r="E17">
        <v>56</v>
      </c>
      <c r="F17">
        <v>1</v>
      </c>
      <c r="G17">
        <v>1</v>
      </c>
      <c r="H17">
        <v>1</v>
      </c>
      <c r="I17" t="s">
        <v>819</v>
      </c>
      <c r="J17" t="s">
        <v>3</v>
      </c>
      <c r="K17" t="s">
        <v>820</v>
      </c>
      <c r="L17">
        <v>1191</v>
      </c>
      <c r="N17">
        <v>1013</v>
      </c>
      <c r="O17" t="s">
        <v>818</v>
      </c>
      <c r="P17" t="s">
        <v>818</v>
      </c>
      <c r="Q17">
        <v>1</v>
      </c>
      <c r="X17">
        <v>0.75</v>
      </c>
      <c r="Y17">
        <v>0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2</v>
      </c>
      <c r="AF17" t="s">
        <v>38</v>
      </c>
      <c r="AG17">
        <v>0.86249999999999993</v>
      </c>
      <c r="AH17">
        <v>2</v>
      </c>
      <c r="AI17">
        <v>68990738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ROW(Source!A31)</f>
        <v>31</v>
      </c>
      <c r="B18">
        <v>68990739</v>
      </c>
      <c r="C18">
        <v>68990736</v>
      </c>
      <c r="D18">
        <v>64401959</v>
      </c>
      <c r="E18">
        <v>1</v>
      </c>
      <c r="F18">
        <v>1</v>
      </c>
      <c r="G18">
        <v>1</v>
      </c>
      <c r="H18">
        <v>2</v>
      </c>
      <c r="I18" t="s">
        <v>859</v>
      </c>
      <c r="J18" t="s">
        <v>860</v>
      </c>
      <c r="K18" t="s">
        <v>861</v>
      </c>
      <c r="L18">
        <v>1368</v>
      </c>
      <c r="N18">
        <v>1011</v>
      </c>
      <c r="O18" t="s">
        <v>824</v>
      </c>
      <c r="P18" t="s">
        <v>824</v>
      </c>
      <c r="Q18">
        <v>1</v>
      </c>
      <c r="X18">
        <v>0.75</v>
      </c>
      <c r="Y18">
        <v>0</v>
      </c>
      <c r="Z18">
        <v>31.26</v>
      </c>
      <c r="AA18">
        <v>13.5</v>
      </c>
      <c r="AB18">
        <v>0</v>
      </c>
      <c r="AC18">
        <v>0</v>
      </c>
      <c r="AD18">
        <v>1</v>
      </c>
      <c r="AE18">
        <v>0</v>
      </c>
      <c r="AF18" t="s">
        <v>38</v>
      </c>
      <c r="AG18">
        <v>0.86249999999999993</v>
      </c>
      <c r="AH18">
        <v>2</v>
      </c>
      <c r="AI18">
        <v>68990739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ROW(Source!A32)</f>
        <v>32</v>
      </c>
      <c r="B19">
        <v>68990748</v>
      </c>
      <c r="C19">
        <v>68990740</v>
      </c>
      <c r="D19">
        <v>37080781</v>
      </c>
      <c r="E19">
        <v>56</v>
      </c>
      <c r="F19">
        <v>1</v>
      </c>
      <c r="G19">
        <v>1</v>
      </c>
      <c r="H19">
        <v>1</v>
      </c>
      <c r="I19" t="s">
        <v>816</v>
      </c>
      <c r="J19" t="s">
        <v>3</v>
      </c>
      <c r="K19" t="s">
        <v>817</v>
      </c>
      <c r="L19">
        <v>1191</v>
      </c>
      <c r="N19">
        <v>1013</v>
      </c>
      <c r="O19" t="s">
        <v>818</v>
      </c>
      <c r="P19" t="s">
        <v>818</v>
      </c>
      <c r="Q19">
        <v>1</v>
      </c>
      <c r="X19">
        <v>2.4</v>
      </c>
      <c r="Y19">
        <v>0</v>
      </c>
      <c r="Z19">
        <v>0</v>
      </c>
      <c r="AA19">
        <v>0</v>
      </c>
      <c r="AB19">
        <v>9.92</v>
      </c>
      <c r="AC19">
        <v>0</v>
      </c>
      <c r="AD19">
        <v>1</v>
      </c>
      <c r="AE19">
        <v>1</v>
      </c>
      <c r="AF19" t="s">
        <v>48</v>
      </c>
      <c r="AG19">
        <v>2.2679999999999998</v>
      </c>
      <c r="AH19">
        <v>2</v>
      </c>
      <c r="AI19">
        <v>68990741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ROW(Source!A32)</f>
        <v>32</v>
      </c>
      <c r="B20">
        <v>68990749</v>
      </c>
      <c r="C20">
        <v>68990740</v>
      </c>
      <c r="D20">
        <v>37064876</v>
      </c>
      <c r="E20">
        <v>56</v>
      </c>
      <c r="F20">
        <v>1</v>
      </c>
      <c r="G20">
        <v>1</v>
      </c>
      <c r="H20">
        <v>1</v>
      </c>
      <c r="I20" t="s">
        <v>819</v>
      </c>
      <c r="J20" t="s">
        <v>3</v>
      </c>
      <c r="K20" t="s">
        <v>820</v>
      </c>
      <c r="L20">
        <v>1191</v>
      </c>
      <c r="N20">
        <v>1013</v>
      </c>
      <c r="O20" t="s">
        <v>818</v>
      </c>
      <c r="P20" t="s">
        <v>818</v>
      </c>
      <c r="Q20">
        <v>1</v>
      </c>
      <c r="X20">
        <v>0.17</v>
      </c>
      <c r="Y20">
        <v>0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2</v>
      </c>
      <c r="AF20" t="s">
        <v>48</v>
      </c>
      <c r="AG20">
        <v>0.16065000000000002</v>
      </c>
      <c r="AH20">
        <v>2</v>
      </c>
      <c r="AI20">
        <v>68990742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ROW(Source!A32)</f>
        <v>32</v>
      </c>
      <c r="B21">
        <v>68990750</v>
      </c>
      <c r="C21">
        <v>68990740</v>
      </c>
      <c r="D21">
        <v>64402691</v>
      </c>
      <c r="E21">
        <v>1</v>
      </c>
      <c r="F21">
        <v>1</v>
      </c>
      <c r="G21">
        <v>1</v>
      </c>
      <c r="H21">
        <v>2</v>
      </c>
      <c r="I21" t="s">
        <v>825</v>
      </c>
      <c r="J21" t="s">
        <v>826</v>
      </c>
      <c r="K21" t="s">
        <v>827</v>
      </c>
      <c r="L21">
        <v>1368</v>
      </c>
      <c r="N21">
        <v>1011</v>
      </c>
      <c r="O21" t="s">
        <v>824</v>
      </c>
      <c r="P21" t="s">
        <v>824</v>
      </c>
      <c r="Q21">
        <v>1</v>
      </c>
      <c r="X21">
        <v>0.17</v>
      </c>
      <c r="Y21">
        <v>0</v>
      </c>
      <c r="Z21">
        <v>65.709999999999994</v>
      </c>
      <c r="AA21">
        <v>11.6</v>
      </c>
      <c r="AB21">
        <v>0</v>
      </c>
      <c r="AC21">
        <v>0</v>
      </c>
      <c r="AD21">
        <v>1</v>
      </c>
      <c r="AE21">
        <v>0</v>
      </c>
      <c r="AF21" t="s">
        <v>48</v>
      </c>
      <c r="AG21">
        <v>0.16065000000000002</v>
      </c>
      <c r="AH21">
        <v>2</v>
      </c>
      <c r="AI21">
        <v>68990743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ROW(Source!A32)</f>
        <v>32</v>
      </c>
      <c r="B22">
        <v>68990751</v>
      </c>
      <c r="C22">
        <v>68990740</v>
      </c>
      <c r="D22">
        <v>64402901</v>
      </c>
      <c r="E22">
        <v>1</v>
      </c>
      <c r="F22">
        <v>1</v>
      </c>
      <c r="G22">
        <v>1</v>
      </c>
      <c r="H22">
        <v>2</v>
      </c>
      <c r="I22" t="s">
        <v>862</v>
      </c>
      <c r="J22" t="s">
        <v>863</v>
      </c>
      <c r="K22" t="s">
        <v>864</v>
      </c>
      <c r="L22">
        <v>1368</v>
      </c>
      <c r="N22">
        <v>1011</v>
      </c>
      <c r="O22" t="s">
        <v>824</v>
      </c>
      <c r="P22" t="s">
        <v>824</v>
      </c>
      <c r="Q22">
        <v>1</v>
      </c>
      <c r="X22">
        <v>0.4</v>
      </c>
      <c r="Y22">
        <v>0</v>
      </c>
      <c r="Z22">
        <v>8.1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48</v>
      </c>
      <c r="AG22">
        <v>0.378</v>
      </c>
      <c r="AH22">
        <v>2</v>
      </c>
      <c r="AI22">
        <v>68990744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ROW(Source!A32)</f>
        <v>32</v>
      </c>
      <c r="B23">
        <v>68990752</v>
      </c>
      <c r="C23">
        <v>68990740</v>
      </c>
      <c r="D23">
        <v>64241300</v>
      </c>
      <c r="E23">
        <v>56</v>
      </c>
      <c r="F23">
        <v>1</v>
      </c>
      <c r="G23">
        <v>1</v>
      </c>
      <c r="H23">
        <v>3</v>
      </c>
      <c r="I23" t="s">
        <v>1260</v>
      </c>
      <c r="J23" t="s">
        <v>3</v>
      </c>
      <c r="K23" t="s">
        <v>1261</v>
      </c>
      <c r="L23">
        <v>1377</v>
      </c>
      <c r="N23">
        <v>1013</v>
      </c>
      <c r="O23" t="s">
        <v>1262</v>
      </c>
      <c r="P23" t="s">
        <v>1262</v>
      </c>
      <c r="Q23">
        <v>1</v>
      </c>
      <c r="X23">
        <v>0</v>
      </c>
      <c r="Y23">
        <v>0</v>
      </c>
      <c r="Z23">
        <v>0</v>
      </c>
      <c r="AA23">
        <v>0</v>
      </c>
      <c r="AB23">
        <v>0</v>
      </c>
      <c r="AC23">
        <v>1</v>
      </c>
      <c r="AD23">
        <v>0</v>
      </c>
      <c r="AE23">
        <v>0</v>
      </c>
      <c r="AF23" t="s">
        <v>20</v>
      </c>
      <c r="AG23">
        <v>0</v>
      </c>
      <c r="AH23">
        <v>3</v>
      </c>
      <c r="AI23">
        <v>-1</v>
      </c>
      <c r="AJ23" t="s">
        <v>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ROW(Source!A32)</f>
        <v>32</v>
      </c>
      <c r="B24">
        <v>68990753</v>
      </c>
      <c r="C24">
        <v>68990740</v>
      </c>
      <c r="D24">
        <v>64253859</v>
      </c>
      <c r="E24">
        <v>1</v>
      </c>
      <c r="F24">
        <v>1</v>
      </c>
      <c r="G24">
        <v>1</v>
      </c>
      <c r="H24">
        <v>3</v>
      </c>
      <c r="I24" t="s">
        <v>865</v>
      </c>
      <c r="J24" t="s">
        <v>866</v>
      </c>
      <c r="K24" t="s">
        <v>867</v>
      </c>
      <c r="L24">
        <v>1348</v>
      </c>
      <c r="N24">
        <v>1009</v>
      </c>
      <c r="O24" t="s">
        <v>71</v>
      </c>
      <c r="P24" t="s">
        <v>71</v>
      </c>
      <c r="Q24">
        <v>1000</v>
      </c>
      <c r="X24">
        <v>1E-4</v>
      </c>
      <c r="Y24">
        <v>10315.01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20</v>
      </c>
      <c r="AG24">
        <v>0</v>
      </c>
      <c r="AH24">
        <v>2</v>
      </c>
      <c r="AI24">
        <v>68990745</v>
      </c>
      <c r="AJ24">
        <v>23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ROW(Source!A32)</f>
        <v>32</v>
      </c>
      <c r="B25">
        <v>68990754</v>
      </c>
      <c r="C25">
        <v>68990740</v>
      </c>
      <c r="D25">
        <v>64242656</v>
      </c>
      <c r="E25">
        <v>56</v>
      </c>
      <c r="F25">
        <v>1</v>
      </c>
      <c r="G25">
        <v>1</v>
      </c>
      <c r="H25">
        <v>3</v>
      </c>
      <c r="I25" t="s">
        <v>1263</v>
      </c>
      <c r="J25" t="s">
        <v>3</v>
      </c>
      <c r="K25" t="s">
        <v>1264</v>
      </c>
      <c r="L25">
        <v>1327</v>
      </c>
      <c r="N25">
        <v>1005</v>
      </c>
      <c r="O25" t="s">
        <v>46</v>
      </c>
      <c r="P25" t="s">
        <v>46</v>
      </c>
      <c r="Q25">
        <v>1</v>
      </c>
      <c r="X25">
        <v>1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 t="s">
        <v>20</v>
      </c>
      <c r="AG25">
        <v>0</v>
      </c>
      <c r="AH25">
        <v>3</v>
      </c>
      <c r="AI25">
        <v>-1</v>
      </c>
      <c r="AJ25" t="s">
        <v>3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ROW(Source!A32)</f>
        <v>32</v>
      </c>
      <c r="B26">
        <v>68990755</v>
      </c>
      <c r="C26">
        <v>68990740</v>
      </c>
      <c r="D26">
        <v>64273055</v>
      </c>
      <c r="E26">
        <v>1</v>
      </c>
      <c r="F26">
        <v>1</v>
      </c>
      <c r="G26">
        <v>1</v>
      </c>
      <c r="H26">
        <v>3</v>
      </c>
      <c r="I26" t="s">
        <v>868</v>
      </c>
      <c r="J26" t="s">
        <v>869</v>
      </c>
      <c r="K26" t="s">
        <v>870</v>
      </c>
      <c r="L26">
        <v>1348</v>
      </c>
      <c r="N26">
        <v>1009</v>
      </c>
      <c r="O26" t="s">
        <v>71</v>
      </c>
      <c r="P26" t="s">
        <v>71</v>
      </c>
      <c r="Q26">
        <v>1000</v>
      </c>
      <c r="X26">
        <v>3.0000000000000001E-3</v>
      </c>
      <c r="Y26">
        <v>5804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20</v>
      </c>
      <c r="AG26">
        <v>0</v>
      </c>
      <c r="AH26">
        <v>2</v>
      </c>
      <c r="AI26">
        <v>68990746</v>
      </c>
      <c r="AJ26">
        <v>24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ROW(Source!A32)</f>
        <v>32</v>
      </c>
      <c r="B27">
        <v>68990756</v>
      </c>
      <c r="C27">
        <v>68990740</v>
      </c>
      <c r="D27">
        <v>64284746</v>
      </c>
      <c r="E27">
        <v>1</v>
      </c>
      <c r="F27">
        <v>1</v>
      </c>
      <c r="G27">
        <v>1</v>
      </c>
      <c r="H27">
        <v>3</v>
      </c>
      <c r="I27" t="s">
        <v>871</v>
      </c>
      <c r="J27" t="s">
        <v>872</v>
      </c>
      <c r="K27" t="s">
        <v>873</v>
      </c>
      <c r="L27">
        <v>1371</v>
      </c>
      <c r="N27">
        <v>1013</v>
      </c>
      <c r="O27" t="s">
        <v>29</v>
      </c>
      <c r="P27" t="s">
        <v>29</v>
      </c>
      <c r="Q27">
        <v>1</v>
      </c>
      <c r="X27">
        <v>0.1</v>
      </c>
      <c r="Y27">
        <v>72.8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20</v>
      </c>
      <c r="AG27">
        <v>0</v>
      </c>
      <c r="AH27">
        <v>2</v>
      </c>
      <c r="AI27">
        <v>68990747</v>
      </c>
      <c r="AJ27">
        <v>25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ROW(Source!A33)</f>
        <v>33</v>
      </c>
      <c r="B28">
        <v>68990762</v>
      </c>
      <c r="C28">
        <v>68990761</v>
      </c>
      <c r="D28">
        <v>64240997</v>
      </c>
      <c r="E28">
        <v>56</v>
      </c>
      <c r="F28">
        <v>1</v>
      </c>
      <c r="G28">
        <v>1</v>
      </c>
      <c r="H28">
        <v>1</v>
      </c>
      <c r="I28" t="s">
        <v>874</v>
      </c>
      <c r="J28" t="s">
        <v>3</v>
      </c>
      <c r="K28" t="s">
        <v>875</v>
      </c>
      <c r="L28">
        <v>1191</v>
      </c>
      <c r="N28">
        <v>1013</v>
      </c>
      <c r="O28" t="s">
        <v>818</v>
      </c>
      <c r="P28" t="s">
        <v>818</v>
      </c>
      <c r="Q28">
        <v>1</v>
      </c>
      <c r="X28">
        <v>47.8</v>
      </c>
      <c r="Y28">
        <v>0</v>
      </c>
      <c r="Z28">
        <v>0</v>
      </c>
      <c r="AA28">
        <v>0</v>
      </c>
      <c r="AB28">
        <v>9.18</v>
      </c>
      <c r="AC28">
        <v>0</v>
      </c>
      <c r="AD28">
        <v>1</v>
      </c>
      <c r="AE28">
        <v>1</v>
      </c>
      <c r="AF28" t="s">
        <v>48</v>
      </c>
      <c r="AG28">
        <v>45.170999999999999</v>
      </c>
      <c r="AH28">
        <v>2</v>
      </c>
      <c r="AI28">
        <v>68990762</v>
      </c>
      <c r="AJ28">
        <v>26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ROW(Source!A33)</f>
        <v>33</v>
      </c>
      <c r="B29">
        <v>68990763</v>
      </c>
      <c r="C29">
        <v>68990761</v>
      </c>
      <c r="D29">
        <v>64241154</v>
      </c>
      <c r="E29">
        <v>56</v>
      </c>
      <c r="F29">
        <v>1</v>
      </c>
      <c r="G29">
        <v>1</v>
      </c>
      <c r="H29">
        <v>1</v>
      </c>
      <c r="I29" t="s">
        <v>819</v>
      </c>
      <c r="J29" t="s">
        <v>3</v>
      </c>
      <c r="K29" t="s">
        <v>820</v>
      </c>
      <c r="L29">
        <v>1191</v>
      </c>
      <c r="N29">
        <v>1013</v>
      </c>
      <c r="O29" t="s">
        <v>818</v>
      </c>
      <c r="P29" t="s">
        <v>818</v>
      </c>
      <c r="Q29">
        <v>1</v>
      </c>
      <c r="X29">
        <v>0.51</v>
      </c>
      <c r="Y29">
        <v>0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2</v>
      </c>
      <c r="AF29" t="s">
        <v>48</v>
      </c>
      <c r="AG29">
        <v>0.48195000000000005</v>
      </c>
      <c r="AH29">
        <v>2</v>
      </c>
      <c r="AI29">
        <v>68990763</v>
      </c>
      <c r="AJ29">
        <v>27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ROW(Source!A33)</f>
        <v>33</v>
      </c>
      <c r="B30">
        <v>68990764</v>
      </c>
      <c r="C30">
        <v>68990761</v>
      </c>
      <c r="D30">
        <v>64401763</v>
      </c>
      <c r="E30">
        <v>1</v>
      </c>
      <c r="F30">
        <v>1</v>
      </c>
      <c r="G30">
        <v>1</v>
      </c>
      <c r="H30">
        <v>2</v>
      </c>
      <c r="I30" t="s">
        <v>821</v>
      </c>
      <c r="J30" t="s">
        <v>822</v>
      </c>
      <c r="K30" t="s">
        <v>823</v>
      </c>
      <c r="L30">
        <v>1368</v>
      </c>
      <c r="N30">
        <v>1011</v>
      </c>
      <c r="O30" t="s">
        <v>824</v>
      </c>
      <c r="P30" t="s">
        <v>824</v>
      </c>
      <c r="Q30">
        <v>1</v>
      </c>
      <c r="X30">
        <v>0.31</v>
      </c>
      <c r="Y30">
        <v>0</v>
      </c>
      <c r="Z30">
        <v>115.4</v>
      </c>
      <c r="AA30">
        <v>13.5</v>
      </c>
      <c r="AB30">
        <v>0</v>
      </c>
      <c r="AC30">
        <v>0</v>
      </c>
      <c r="AD30">
        <v>1</v>
      </c>
      <c r="AE30">
        <v>0</v>
      </c>
      <c r="AF30" t="s">
        <v>48</v>
      </c>
      <c r="AG30">
        <v>0.29294999999999999</v>
      </c>
      <c r="AH30">
        <v>2</v>
      </c>
      <c r="AI30">
        <v>68990764</v>
      </c>
      <c r="AJ30">
        <v>28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ROW(Source!A33)</f>
        <v>33</v>
      </c>
      <c r="B31">
        <v>68990765</v>
      </c>
      <c r="C31">
        <v>68990761</v>
      </c>
      <c r="D31">
        <v>64402691</v>
      </c>
      <c r="E31">
        <v>1</v>
      </c>
      <c r="F31">
        <v>1</v>
      </c>
      <c r="G31">
        <v>1</v>
      </c>
      <c r="H31">
        <v>2</v>
      </c>
      <c r="I31" t="s">
        <v>825</v>
      </c>
      <c r="J31" t="s">
        <v>826</v>
      </c>
      <c r="K31" t="s">
        <v>827</v>
      </c>
      <c r="L31">
        <v>1368</v>
      </c>
      <c r="N31">
        <v>1011</v>
      </c>
      <c r="O31" t="s">
        <v>824</v>
      </c>
      <c r="P31" t="s">
        <v>824</v>
      </c>
      <c r="Q31">
        <v>1</v>
      </c>
      <c r="X31">
        <v>0.2</v>
      </c>
      <c r="Y31">
        <v>0</v>
      </c>
      <c r="Z31">
        <v>65.709999999999994</v>
      </c>
      <c r="AA31">
        <v>11.6</v>
      </c>
      <c r="AB31">
        <v>0</v>
      </c>
      <c r="AC31">
        <v>0</v>
      </c>
      <c r="AD31">
        <v>1</v>
      </c>
      <c r="AE31">
        <v>0</v>
      </c>
      <c r="AF31" t="s">
        <v>48</v>
      </c>
      <c r="AG31">
        <v>0.189</v>
      </c>
      <c r="AH31">
        <v>2</v>
      </c>
      <c r="AI31">
        <v>68990765</v>
      </c>
      <c r="AJ31">
        <v>29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ROW(Source!A33)</f>
        <v>33</v>
      </c>
      <c r="B32">
        <v>68990766</v>
      </c>
      <c r="C32">
        <v>68990761</v>
      </c>
      <c r="D32">
        <v>64242738</v>
      </c>
      <c r="E32">
        <v>56</v>
      </c>
      <c r="F32">
        <v>1</v>
      </c>
      <c r="G32">
        <v>1</v>
      </c>
      <c r="H32">
        <v>3</v>
      </c>
      <c r="I32" t="s">
        <v>1265</v>
      </c>
      <c r="J32" t="s">
        <v>3</v>
      </c>
      <c r="K32" t="s">
        <v>1266</v>
      </c>
      <c r="L32">
        <v>1348</v>
      </c>
      <c r="N32">
        <v>1009</v>
      </c>
      <c r="O32" t="s">
        <v>71</v>
      </c>
      <c r="P32" t="s">
        <v>71</v>
      </c>
      <c r="Q32">
        <v>1000</v>
      </c>
      <c r="X32">
        <v>0</v>
      </c>
      <c r="Y32">
        <v>0</v>
      </c>
      <c r="Z32">
        <v>0</v>
      </c>
      <c r="AA32">
        <v>0</v>
      </c>
      <c r="AB32">
        <v>0</v>
      </c>
      <c r="AC32">
        <v>1</v>
      </c>
      <c r="AD32">
        <v>0</v>
      </c>
      <c r="AE32">
        <v>0</v>
      </c>
      <c r="AF32" t="s">
        <v>20</v>
      </c>
      <c r="AG32">
        <v>0</v>
      </c>
      <c r="AH32">
        <v>3</v>
      </c>
      <c r="AI32">
        <v>-1</v>
      </c>
      <c r="AJ32" t="s">
        <v>3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ROW(Source!A33)</f>
        <v>33</v>
      </c>
      <c r="B33">
        <v>68990767</v>
      </c>
      <c r="C33">
        <v>68990761</v>
      </c>
      <c r="D33">
        <v>64270788</v>
      </c>
      <c r="E33">
        <v>1</v>
      </c>
      <c r="F33">
        <v>1</v>
      </c>
      <c r="G33">
        <v>1</v>
      </c>
      <c r="H33">
        <v>3</v>
      </c>
      <c r="I33" t="s">
        <v>876</v>
      </c>
      <c r="J33" t="s">
        <v>877</v>
      </c>
      <c r="K33" t="s">
        <v>878</v>
      </c>
      <c r="L33">
        <v>1348</v>
      </c>
      <c r="N33">
        <v>1009</v>
      </c>
      <c r="O33" t="s">
        <v>71</v>
      </c>
      <c r="P33" t="s">
        <v>71</v>
      </c>
      <c r="Q33">
        <v>1000</v>
      </c>
      <c r="X33">
        <v>4.1999999999999997E-3</v>
      </c>
      <c r="Y33">
        <v>5989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20</v>
      </c>
      <c r="AG33">
        <v>0</v>
      </c>
      <c r="AH33">
        <v>2</v>
      </c>
      <c r="AI33">
        <v>68990767</v>
      </c>
      <c r="AJ33">
        <v>30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ROW(Source!A33)</f>
        <v>33</v>
      </c>
      <c r="B34">
        <v>68990768</v>
      </c>
      <c r="C34">
        <v>68990761</v>
      </c>
      <c r="D34">
        <v>64273052</v>
      </c>
      <c r="E34">
        <v>1</v>
      </c>
      <c r="F34">
        <v>1</v>
      </c>
      <c r="G34">
        <v>1</v>
      </c>
      <c r="H34">
        <v>3</v>
      </c>
      <c r="I34" t="s">
        <v>879</v>
      </c>
      <c r="J34" t="s">
        <v>880</v>
      </c>
      <c r="K34" t="s">
        <v>881</v>
      </c>
      <c r="L34">
        <v>1348</v>
      </c>
      <c r="N34">
        <v>1009</v>
      </c>
      <c r="O34" t="s">
        <v>71</v>
      </c>
      <c r="P34" t="s">
        <v>71</v>
      </c>
      <c r="Q34">
        <v>1000</v>
      </c>
      <c r="X34">
        <v>2.5999999999999999E-2</v>
      </c>
      <c r="Y34">
        <v>10100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20</v>
      </c>
      <c r="AG34">
        <v>0</v>
      </c>
      <c r="AH34">
        <v>2</v>
      </c>
      <c r="AI34">
        <v>68990768</v>
      </c>
      <c r="AJ34">
        <v>31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ROW(Source!A34)</f>
        <v>34</v>
      </c>
      <c r="B35">
        <v>68990775</v>
      </c>
      <c r="C35">
        <v>68990771</v>
      </c>
      <c r="D35">
        <v>37068148</v>
      </c>
      <c r="E35">
        <v>56</v>
      </c>
      <c r="F35">
        <v>1</v>
      </c>
      <c r="G35">
        <v>1</v>
      </c>
      <c r="H35">
        <v>1</v>
      </c>
      <c r="I35" t="s">
        <v>882</v>
      </c>
      <c r="J35" t="s">
        <v>3</v>
      </c>
      <c r="K35" t="s">
        <v>883</v>
      </c>
      <c r="L35">
        <v>1191</v>
      </c>
      <c r="N35">
        <v>1013</v>
      </c>
      <c r="O35" t="s">
        <v>818</v>
      </c>
      <c r="P35" t="s">
        <v>818</v>
      </c>
      <c r="Q35">
        <v>1</v>
      </c>
      <c r="X35">
        <v>91.15</v>
      </c>
      <c r="Y35">
        <v>0</v>
      </c>
      <c r="Z35">
        <v>0</v>
      </c>
      <c r="AA35">
        <v>0</v>
      </c>
      <c r="AB35">
        <v>8.09</v>
      </c>
      <c r="AC35">
        <v>0</v>
      </c>
      <c r="AD35">
        <v>1</v>
      </c>
      <c r="AE35">
        <v>1</v>
      </c>
      <c r="AF35" t="s">
        <v>38</v>
      </c>
      <c r="AG35">
        <v>104.82250000000001</v>
      </c>
      <c r="AH35">
        <v>2</v>
      </c>
      <c r="AI35">
        <v>68990772</v>
      </c>
      <c r="AJ35">
        <v>32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ROW(Source!A34)</f>
        <v>34</v>
      </c>
      <c r="B36">
        <v>68990776</v>
      </c>
      <c r="C36">
        <v>68990771</v>
      </c>
      <c r="D36">
        <v>37064876</v>
      </c>
      <c r="E36">
        <v>56</v>
      </c>
      <c r="F36">
        <v>1</v>
      </c>
      <c r="G36">
        <v>1</v>
      </c>
      <c r="H36">
        <v>1</v>
      </c>
      <c r="I36" t="s">
        <v>819</v>
      </c>
      <c r="J36" t="s">
        <v>3</v>
      </c>
      <c r="K36" t="s">
        <v>820</v>
      </c>
      <c r="L36">
        <v>1191</v>
      </c>
      <c r="N36">
        <v>1013</v>
      </c>
      <c r="O36" t="s">
        <v>818</v>
      </c>
      <c r="P36" t="s">
        <v>818</v>
      </c>
      <c r="Q36">
        <v>1</v>
      </c>
      <c r="X36">
        <v>7.74</v>
      </c>
      <c r="Y36">
        <v>0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2</v>
      </c>
      <c r="AF36" t="s">
        <v>38</v>
      </c>
      <c r="AG36">
        <v>8.9009999999999998</v>
      </c>
      <c r="AH36">
        <v>2</v>
      </c>
      <c r="AI36">
        <v>68990773</v>
      </c>
      <c r="AJ36">
        <v>33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ROW(Source!A34)</f>
        <v>34</v>
      </c>
      <c r="B37">
        <v>68990777</v>
      </c>
      <c r="C37">
        <v>68990771</v>
      </c>
      <c r="D37">
        <v>64401959</v>
      </c>
      <c r="E37">
        <v>1</v>
      </c>
      <c r="F37">
        <v>1</v>
      </c>
      <c r="G37">
        <v>1</v>
      </c>
      <c r="H37">
        <v>2</v>
      </c>
      <c r="I37" t="s">
        <v>859</v>
      </c>
      <c r="J37" t="s">
        <v>860</v>
      </c>
      <c r="K37" t="s">
        <v>861</v>
      </c>
      <c r="L37">
        <v>1368</v>
      </c>
      <c r="N37">
        <v>1011</v>
      </c>
      <c r="O37" t="s">
        <v>824</v>
      </c>
      <c r="P37" t="s">
        <v>824</v>
      </c>
      <c r="Q37">
        <v>1</v>
      </c>
      <c r="X37">
        <v>7.74</v>
      </c>
      <c r="Y37">
        <v>0</v>
      </c>
      <c r="Z37">
        <v>31.26</v>
      </c>
      <c r="AA37">
        <v>13.5</v>
      </c>
      <c r="AB37">
        <v>0</v>
      </c>
      <c r="AC37">
        <v>0</v>
      </c>
      <c r="AD37">
        <v>1</v>
      </c>
      <c r="AE37">
        <v>0</v>
      </c>
      <c r="AF37" t="s">
        <v>38</v>
      </c>
      <c r="AG37">
        <v>8.9009999999999998</v>
      </c>
      <c r="AH37">
        <v>2</v>
      </c>
      <c r="AI37">
        <v>68990774</v>
      </c>
      <c r="AJ37">
        <v>34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ROW(Source!A35)</f>
        <v>35</v>
      </c>
      <c r="B38">
        <v>68990779</v>
      </c>
      <c r="C38">
        <v>68990778</v>
      </c>
      <c r="D38">
        <v>64240983</v>
      </c>
      <c r="E38">
        <v>56</v>
      </c>
      <c r="F38">
        <v>1</v>
      </c>
      <c r="G38">
        <v>1</v>
      </c>
      <c r="H38">
        <v>1</v>
      </c>
      <c r="I38" t="s">
        <v>884</v>
      </c>
      <c r="J38" t="s">
        <v>3</v>
      </c>
      <c r="K38" t="s">
        <v>885</v>
      </c>
      <c r="L38">
        <v>1191</v>
      </c>
      <c r="N38">
        <v>1013</v>
      </c>
      <c r="O38" t="s">
        <v>818</v>
      </c>
      <c r="P38" t="s">
        <v>818</v>
      </c>
      <c r="Q38">
        <v>1</v>
      </c>
      <c r="X38">
        <v>31.7</v>
      </c>
      <c r="Y38">
        <v>0</v>
      </c>
      <c r="Z38">
        <v>0</v>
      </c>
      <c r="AA38">
        <v>0</v>
      </c>
      <c r="AB38">
        <v>8.9700000000000006</v>
      </c>
      <c r="AC38">
        <v>0</v>
      </c>
      <c r="AD38">
        <v>1</v>
      </c>
      <c r="AE38">
        <v>1</v>
      </c>
      <c r="AF38" t="s">
        <v>38</v>
      </c>
      <c r="AG38">
        <v>36.454999999999998</v>
      </c>
      <c r="AH38">
        <v>2</v>
      </c>
      <c r="AI38">
        <v>68990779</v>
      </c>
      <c r="AJ38">
        <v>35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ROW(Source!A35)</f>
        <v>35</v>
      </c>
      <c r="B39">
        <v>68990780</v>
      </c>
      <c r="C39">
        <v>68990778</v>
      </c>
      <c r="D39">
        <v>64402923</v>
      </c>
      <c r="E39">
        <v>1</v>
      </c>
      <c r="F39">
        <v>1</v>
      </c>
      <c r="G39">
        <v>1</v>
      </c>
      <c r="H39">
        <v>2</v>
      </c>
      <c r="I39" t="s">
        <v>886</v>
      </c>
      <c r="J39" t="s">
        <v>887</v>
      </c>
      <c r="K39" t="s">
        <v>888</v>
      </c>
      <c r="L39">
        <v>1368</v>
      </c>
      <c r="N39">
        <v>1011</v>
      </c>
      <c r="O39" t="s">
        <v>824</v>
      </c>
      <c r="P39" t="s">
        <v>824</v>
      </c>
      <c r="Q39">
        <v>1</v>
      </c>
      <c r="X39">
        <v>0.46</v>
      </c>
      <c r="Y39">
        <v>0</v>
      </c>
      <c r="Z39">
        <v>48.81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38</v>
      </c>
      <c r="AG39">
        <v>0.52900000000000003</v>
      </c>
      <c r="AH39">
        <v>2</v>
      </c>
      <c r="AI39">
        <v>68990780</v>
      </c>
      <c r="AJ39">
        <v>36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ROW(Source!A35)</f>
        <v>35</v>
      </c>
      <c r="B40">
        <v>68990781</v>
      </c>
      <c r="C40">
        <v>68990778</v>
      </c>
      <c r="D40">
        <v>64403375</v>
      </c>
      <c r="E40">
        <v>1</v>
      </c>
      <c r="F40">
        <v>1</v>
      </c>
      <c r="G40">
        <v>1</v>
      </c>
      <c r="H40">
        <v>2</v>
      </c>
      <c r="I40" t="s">
        <v>889</v>
      </c>
      <c r="J40" t="s">
        <v>890</v>
      </c>
      <c r="K40" t="s">
        <v>891</v>
      </c>
      <c r="L40">
        <v>1368</v>
      </c>
      <c r="N40">
        <v>1011</v>
      </c>
      <c r="O40" t="s">
        <v>824</v>
      </c>
      <c r="P40" t="s">
        <v>824</v>
      </c>
      <c r="Q40">
        <v>1</v>
      </c>
      <c r="X40">
        <v>0.92</v>
      </c>
      <c r="Y40">
        <v>0</v>
      </c>
      <c r="Z40">
        <v>1.53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38</v>
      </c>
      <c r="AG40">
        <v>1.0580000000000001</v>
      </c>
      <c r="AH40">
        <v>2</v>
      </c>
      <c r="AI40">
        <v>68990781</v>
      </c>
      <c r="AJ40">
        <v>37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ROW(Source!A35)</f>
        <v>35</v>
      </c>
      <c r="B41">
        <v>68990782</v>
      </c>
      <c r="C41">
        <v>68990778</v>
      </c>
      <c r="D41">
        <v>64245578</v>
      </c>
      <c r="E41">
        <v>56</v>
      </c>
      <c r="F41">
        <v>1</v>
      </c>
      <c r="G41">
        <v>1</v>
      </c>
      <c r="H41">
        <v>3</v>
      </c>
      <c r="I41" t="s">
        <v>69</v>
      </c>
      <c r="J41" t="s">
        <v>3</v>
      </c>
      <c r="K41" t="s">
        <v>70</v>
      </c>
      <c r="L41">
        <v>1348</v>
      </c>
      <c r="N41">
        <v>1009</v>
      </c>
      <c r="O41" t="s">
        <v>71</v>
      </c>
      <c r="P41" t="s">
        <v>71</v>
      </c>
      <c r="Q41">
        <v>1000</v>
      </c>
      <c r="X41">
        <v>1.42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 t="s">
        <v>3</v>
      </c>
      <c r="AG41">
        <v>1.42</v>
      </c>
      <c r="AH41">
        <v>2</v>
      </c>
      <c r="AI41">
        <v>68990782</v>
      </c>
      <c r="AJ41">
        <v>38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ROW(Source!A37)</f>
        <v>37</v>
      </c>
      <c r="B42">
        <v>68990796</v>
      </c>
      <c r="C42">
        <v>68990791</v>
      </c>
      <c r="D42">
        <v>37064998</v>
      </c>
      <c r="E42">
        <v>56</v>
      </c>
      <c r="F42">
        <v>1</v>
      </c>
      <c r="G42">
        <v>1</v>
      </c>
      <c r="H42">
        <v>1</v>
      </c>
      <c r="I42" t="s">
        <v>892</v>
      </c>
      <c r="J42" t="s">
        <v>3</v>
      </c>
      <c r="K42" t="s">
        <v>893</v>
      </c>
      <c r="L42">
        <v>1191</v>
      </c>
      <c r="N42">
        <v>1013</v>
      </c>
      <c r="O42" t="s">
        <v>818</v>
      </c>
      <c r="P42" t="s">
        <v>818</v>
      </c>
      <c r="Q42">
        <v>1</v>
      </c>
      <c r="X42">
        <v>14.79</v>
      </c>
      <c r="Y42">
        <v>0</v>
      </c>
      <c r="Z42">
        <v>0</v>
      </c>
      <c r="AA42">
        <v>0</v>
      </c>
      <c r="AB42">
        <v>7.8</v>
      </c>
      <c r="AC42">
        <v>0</v>
      </c>
      <c r="AD42">
        <v>1</v>
      </c>
      <c r="AE42">
        <v>1</v>
      </c>
      <c r="AF42" t="s">
        <v>38</v>
      </c>
      <c r="AG42">
        <v>17.008499999999998</v>
      </c>
      <c r="AH42">
        <v>2</v>
      </c>
      <c r="AI42">
        <v>68990792</v>
      </c>
      <c r="AJ42">
        <v>39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ROW(Source!A37)</f>
        <v>37</v>
      </c>
      <c r="B43">
        <v>68990797</v>
      </c>
      <c r="C43">
        <v>68990791</v>
      </c>
      <c r="D43">
        <v>37064876</v>
      </c>
      <c r="E43">
        <v>56</v>
      </c>
      <c r="F43">
        <v>1</v>
      </c>
      <c r="G43">
        <v>1</v>
      </c>
      <c r="H43">
        <v>1</v>
      </c>
      <c r="I43" t="s">
        <v>819</v>
      </c>
      <c r="J43" t="s">
        <v>3</v>
      </c>
      <c r="K43" t="s">
        <v>820</v>
      </c>
      <c r="L43">
        <v>1191</v>
      </c>
      <c r="N43">
        <v>1013</v>
      </c>
      <c r="O43" t="s">
        <v>818</v>
      </c>
      <c r="P43" t="s">
        <v>818</v>
      </c>
      <c r="Q43">
        <v>1</v>
      </c>
      <c r="X43">
        <v>0.09</v>
      </c>
      <c r="Y43">
        <v>0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2</v>
      </c>
      <c r="AF43" t="s">
        <v>38</v>
      </c>
      <c r="AG43">
        <v>0.10349999999999999</v>
      </c>
      <c r="AH43">
        <v>2</v>
      </c>
      <c r="AI43">
        <v>68990793</v>
      </c>
      <c r="AJ43">
        <v>40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ROW(Source!A37)</f>
        <v>37</v>
      </c>
      <c r="B44">
        <v>68990798</v>
      </c>
      <c r="C44">
        <v>68990791</v>
      </c>
      <c r="D44">
        <v>64401959</v>
      </c>
      <c r="E44">
        <v>1</v>
      </c>
      <c r="F44">
        <v>1</v>
      </c>
      <c r="G44">
        <v>1</v>
      </c>
      <c r="H44">
        <v>2</v>
      </c>
      <c r="I44" t="s">
        <v>859</v>
      </c>
      <c r="J44" t="s">
        <v>860</v>
      </c>
      <c r="K44" t="s">
        <v>861</v>
      </c>
      <c r="L44">
        <v>1368</v>
      </c>
      <c r="N44">
        <v>1011</v>
      </c>
      <c r="O44" t="s">
        <v>824</v>
      </c>
      <c r="P44" t="s">
        <v>824</v>
      </c>
      <c r="Q44">
        <v>1</v>
      </c>
      <c r="X44">
        <v>0.09</v>
      </c>
      <c r="Y44">
        <v>0</v>
      </c>
      <c r="Z44">
        <v>31.26</v>
      </c>
      <c r="AA44">
        <v>13.5</v>
      </c>
      <c r="AB44">
        <v>0</v>
      </c>
      <c r="AC44">
        <v>0</v>
      </c>
      <c r="AD44">
        <v>1</v>
      </c>
      <c r="AE44">
        <v>0</v>
      </c>
      <c r="AF44" t="s">
        <v>38</v>
      </c>
      <c r="AG44">
        <v>0.10349999999999999</v>
      </c>
      <c r="AH44">
        <v>2</v>
      </c>
      <c r="AI44">
        <v>68990794</v>
      </c>
      <c r="AJ44">
        <v>41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ROW(Source!A37)</f>
        <v>37</v>
      </c>
      <c r="B45">
        <v>68990799</v>
      </c>
      <c r="C45">
        <v>68990791</v>
      </c>
      <c r="D45">
        <v>64245578</v>
      </c>
      <c r="E45">
        <v>56</v>
      </c>
      <c r="F45">
        <v>1</v>
      </c>
      <c r="G45">
        <v>1</v>
      </c>
      <c r="H45">
        <v>3</v>
      </c>
      <c r="I45" t="s">
        <v>69</v>
      </c>
      <c r="J45" t="s">
        <v>3</v>
      </c>
      <c r="K45" t="s">
        <v>70</v>
      </c>
      <c r="L45">
        <v>1348</v>
      </c>
      <c r="N45">
        <v>1009</v>
      </c>
      <c r="O45" t="s">
        <v>71</v>
      </c>
      <c r="P45" t="s">
        <v>71</v>
      </c>
      <c r="Q45">
        <v>1000</v>
      </c>
      <c r="X45">
        <v>0.35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 t="s">
        <v>3</v>
      </c>
      <c r="AG45">
        <v>0.35</v>
      </c>
      <c r="AH45">
        <v>3</v>
      </c>
      <c r="AI45">
        <v>-1</v>
      </c>
      <c r="AJ45" t="s">
        <v>3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ROW(Source!A38)</f>
        <v>38</v>
      </c>
      <c r="B46">
        <v>68990803</v>
      </c>
      <c r="C46">
        <v>68990802</v>
      </c>
      <c r="D46">
        <v>64240971</v>
      </c>
      <c r="E46">
        <v>56</v>
      </c>
      <c r="F46">
        <v>1</v>
      </c>
      <c r="G46">
        <v>1</v>
      </c>
      <c r="H46">
        <v>1</v>
      </c>
      <c r="I46" t="s">
        <v>894</v>
      </c>
      <c r="J46" t="s">
        <v>3</v>
      </c>
      <c r="K46" t="s">
        <v>895</v>
      </c>
      <c r="L46">
        <v>1191</v>
      </c>
      <c r="N46">
        <v>1013</v>
      </c>
      <c r="O46" t="s">
        <v>818</v>
      </c>
      <c r="P46" t="s">
        <v>818</v>
      </c>
      <c r="Q46">
        <v>1</v>
      </c>
      <c r="X46">
        <v>34.51</v>
      </c>
      <c r="Y46">
        <v>0</v>
      </c>
      <c r="Z46">
        <v>0</v>
      </c>
      <c r="AA46">
        <v>0</v>
      </c>
      <c r="AB46">
        <v>8.4600000000000009</v>
      </c>
      <c r="AC46">
        <v>0</v>
      </c>
      <c r="AD46">
        <v>1</v>
      </c>
      <c r="AE46">
        <v>1</v>
      </c>
      <c r="AF46" t="s">
        <v>38</v>
      </c>
      <c r="AG46">
        <v>39.686499999999995</v>
      </c>
      <c r="AH46">
        <v>2</v>
      </c>
      <c r="AI46">
        <v>68990803</v>
      </c>
      <c r="AJ46">
        <v>42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ROW(Source!A38)</f>
        <v>38</v>
      </c>
      <c r="B47">
        <v>68990804</v>
      </c>
      <c r="C47">
        <v>68990802</v>
      </c>
      <c r="D47">
        <v>64245576</v>
      </c>
      <c r="E47">
        <v>56</v>
      </c>
      <c r="F47">
        <v>1</v>
      </c>
      <c r="G47">
        <v>1</v>
      </c>
      <c r="H47">
        <v>3</v>
      </c>
      <c r="I47" t="s">
        <v>85</v>
      </c>
      <c r="J47" t="s">
        <v>3</v>
      </c>
      <c r="K47" t="s">
        <v>86</v>
      </c>
      <c r="L47">
        <v>1348</v>
      </c>
      <c r="N47">
        <v>1009</v>
      </c>
      <c r="O47" t="s">
        <v>71</v>
      </c>
      <c r="P47" t="s">
        <v>71</v>
      </c>
      <c r="Q47">
        <v>1000</v>
      </c>
      <c r="X47">
        <v>0.35599999999999998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 t="s">
        <v>3</v>
      </c>
      <c r="AG47">
        <v>0.35599999999999998</v>
      </c>
      <c r="AH47">
        <v>2</v>
      </c>
      <c r="AI47">
        <v>68990804</v>
      </c>
      <c r="AJ47">
        <v>43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ROW(Source!A40)</f>
        <v>40</v>
      </c>
      <c r="B48">
        <v>68990807</v>
      </c>
      <c r="C48">
        <v>68990806</v>
      </c>
      <c r="D48">
        <v>64240937</v>
      </c>
      <c r="E48">
        <v>56</v>
      </c>
      <c r="F48">
        <v>1</v>
      </c>
      <c r="G48">
        <v>1</v>
      </c>
      <c r="H48">
        <v>1</v>
      </c>
      <c r="I48" t="s">
        <v>892</v>
      </c>
      <c r="J48" t="s">
        <v>3</v>
      </c>
      <c r="K48" t="s">
        <v>893</v>
      </c>
      <c r="L48">
        <v>1191</v>
      </c>
      <c r="N48">
        <v>1013</v>
      </c>
      <c r="O48" t="s">
        <v>818</v>
      </c>
      <c r="P48" t="s">
        <v>818</v>
      </c>
      <c r="Q48">
        <v>1</v>
      </c>
      <c r="X48">
        <v>3.77</v>
      </c>
      <c r="Y48">
        <v>0</v>
      </c>
      <c r="Z48">
        <v>0</v>
      </c>
      <c r="AA48">
        <v>0</v>
      </c>
      <c r="AB48">
        <v>7.8</v>
      </c>
      <c r="AC48">
        <v>0</v>
      </c>
      <c r="AD48">
        <v>1</v>
      </c>
      <c r="AE48">
        <v>1</v>
      </c>
      <c r="AF48" t="s">
        <v>38</v>
      </c>
      <c r="AG48">
        <v>4.3354999999999997</v>
      </c>
      <c r="AH48">
        <v>2</v>
      </c>
      <c r="AI48">
        <v>68990807</v>
      </c>
      <c r="AJ48">
        <v>44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ROW(Source!A40)</f>
        <v>40</v>
      </c>
      <c r="B49">
        <v>68990808</v>
      </c>
      <c r="C49">
        <v>68990806</v>
      </c>
      <c r="D49">
        <v>64245578</v>
      </c>
      <c r="E49">
        <v>56</v>
      </c>
      <c r="F49">
        <v>1</v>
      </c>
      <c r="G49">
        <v>1</v>
      </c>
      <c r="H49">
        <v>3</v>
      </c>
      <c r="I49" t="s">
        <v>69</v>
      </c>
      <c r="J49" t="s">
        <v>3</v>
      </c>
      <c r="K49" t="s">
        <v>70</v>
      </c>
      <c r="L49">
        <v>1348</v>
      </c>
      <c r="N49">
        <v>1009</v>
      </c>
      <c r="O49" t="s">
        <v>71</v>
      </c>
      <c r="P49" t="s">
        <v>71</v>
      </c>
      <c r="Q49">
        <v>1000</v>
      </c>
      <c r="X49">
        <v>0.11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 t="s">
        <v>3</v>
      </c>
      <c r="AG49">
        <v>0.11</v>
      </c>
      <c r="AH49">
        <v>2</v>
      </c>
      <c r="AI49">
        <v>68990808</v>
      </c>
      <c r="AJ49">
        <v>45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ROW(Source!A42)</f>
        <v>42</v>
      </c>
      <c r="B50">
        <v>68990812</v>
      </c>
      <c r="C50">
        <v>68990810</v>
      </c>
      <c r="D50">
        <v>37066717</v>
      </c>
      <c r="E50">
        <v>56</v>
      </c>
      <c r="F50">
        <v>1</v>
      </c>
      <c r="G50">
        <v>1</v>
      </c>
      <c r="H50">
        <v>1</v>
      </c>
      <c r="I50" t="s">
        <v>896</v>
      </c>
      <c r="J50" t="s">
        <v>3</v>
      </c>
      <c r="K50" t="s">
        <v>897</v>
      </c>
      <c r="L50">
        <v>1191</v>
      </c>
      <c r="N50">
        <v>1013</v>
      </c>
      <c r="O50" t="s">
        <v>818</v>
      </c>
      <c r="P50" t="s">
        <v>818</v>
      </c>
      <c r="Q50">
        <v>1</v>
      </c>
      <c r="X50">
        <v>3.98</v>
      </c>
      <c r="Y50">
        <v>0</v>
      </c>
      <c r="Z50">
        <v>0</v>
      </c>
      <c r="AA50">
        <v>0</v>
      </c>
      <c r="AB50">
        <v>8.17</v>
      </c>
      <c r="AC50">
        <v>0</v>
      </c>
      <c r="AD50">
        <v>1</v>
      </c>
      <c r="AE50">
        <v>1</v>
      </c>
      <c r="AF50" t="s">
        <v>38</v>
      </c>
      <c r="AG50">
        <v>4.577</v>
      </c>
      <c r="AH50">
        <v>2</v>
      </c>
      <c r="AI50">
        <v>68990811</v>
      </c>
      <c r="AJ50">
        <v>46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ROW(Source!A43)</f>
        <v>43</v>
      </c>
      <c r="B51">
        <v>68990814</v>
      </c>
      <c r="C51">
        <v>68990813</v>
      </c>
      <c r="D51">
        <v>64240957</v>
      </c>
      <c r="E51">
        <v>56</v>
      </c>
      <c r="F51">
        <v>1</v>
      </c>
      <c r="G51">
        <v>1</v>
      </c>
      <c r="H51">
        <v>1</v>
      </c>
      <c r="I51" t="s">
        <v>896</v>
      </c>
      <c r="J51" t="s">
        <v>3</v>
      </c>
      <c r="K51" t="s">
        <v>897</v>
      </c>
      <c r="L51">
        <v>1191</v>
      </c>
      <c r="N51">
        <v>1013</v>
      </c>
      <c r="O51" t="s">
        <v>818</v>
      </c>
      <c r="P51" t="s">
        <v>818</v>
      </c>
      <c r="Q51">
        <v>1</v>
      </c>
      <c r="X51">
        <v>45.8</v>
      </c>
      <c r="Y51">
        <v>0</v>
      </c>
      <c r="Z51">
        <v>0</v>
      </c>
      <c r="AA51">
        <v>0</v>
      </c>
      <c r="AB51">
        <v>8.17</v>
      </c>
      <c r="AC51">
        <v>0</v>
      </c>
      <c r="AD51">
        <v>1</v>
      </c>
      <c r="AE51">
        <v>1</v>
      </c>
      <c r="AF51" t="s">
        <v>106</v>
      </c>
      <c r="AG51">
        <v>49.463999999999999</v>
      </c>
      <c r="AH51">
        <v>2</v>
      </c>
      <c r="AI51">
        <v>68990814</v>
      </c>
      <c r="AJ51">
        <v>47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ROW(Source!A43)</f>
        <v>43</v>
      </c>
      <c r="B52">
        <v>68990815</v>
      </c>
      <c r="C52">
        <v>68990813</v>
      </c>
      <c r="D52">
        <v>64241154</v>
      </c>
      <c r="E52">
        <v>56</v>
      </c>
      <c r="F52">
        <v>1</v>
      </c>
      <c r="G52">
        <v>1</v>
      </c>
      <c r="H52">
        <v>1</v>
      </c>
      <c r="I52" t="s">
        <v>819</v>
      </c>
      <c r="J52" t="s">
        <v>3</v>
      </c>
      <c r="K52" t="s">
        <v>820</v>
      </c>
      <c r="L52">
        <v>1191</v>
      </c>
      <c r="N52">
        <v>1013</v>
      </c>
      <c r="O52" t="s">
        <v>818</v>
      </c>
      <c r="P52" t="s">
        <v>818</v>
      </c>
      <c r="Q52">
        <v>1</v>
      </c>
      <c r="X52">
        <v>0.89</v>
      </c>
      <c r="Y52">
        <v>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2</v>
      </c>
      <c r="AF52" t="s">
        <v>106</v>
      </c>
      <c r="AG52">
        <v>0.96120000000000005</v>
      </c>
      <c r="AH52">
        <v>2</v>
      </c>
      <c r="AI52">
        <v>68990815</v>
      </c>
      <c r="AJ52">
        <v>48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ROW(Source!A43)</f>
        <v>43</v>
      </c>
      <c r="B53">
        <v>68990816</v>
      </c>
      <c r="C53">
        <v>68990813</v>
      </c>
      <c r="D53">
        <v>64401763</v>
      </c>
      <c r="E53">
        <v>1</v>
      </c>
      <c r="F53">
        <v>1</v>
      </c>
      <c r="G53">
        <v>1</v>
      </c>
      <c r="H53">
        <v>2</v>
      </c>
      <c r="I53" t="s">
        <v>821</v>
      </c>
      <c r="J53" t="s">
        <v>822</v>
      </c>
      <c r="K53" t="s">
        <v>823</v>
      </c>
      <c r="L53">
        <v>1368</v>
      </c>
      <c r="N53">
        <v>1011</v>
      </c>
      <c r="O53" t="s">
        <v>824</v>
      </c>
      <c r="P53" t="s">
        <v>824</v>
      </c>
      <c r="Q53">
        <v>1</v>
      </c>
      <c r="X53">
        <v>0.38</v>
      </c>
      <c r="Y53">
        <v>0</v>
      </c>
      <c r="Z53">
        <v>115.4</v>
      </c>
      <c r="AA53">
        <v>13.5</v>
      </c>
      <c r="AB53">
        <v>0</v>
      </c>
      <c r="AC53">
        <v>0</v>
      </c>
      <c r="AD53">
        <v>1</v>
      </c>
      <c r="AE53">
        <v>0</v>
      </c>
      <c r="AF53" t="s">
        <v>106</v>
      </c>
      <c r="AG53">
        <v>0.41040000000000004</v>
      </c>
      <c r="AH53">
        <v>2</v>
      </c>
      <c r="AI53">
        <v>68990816</v>
      </c>
      <c r="AJ53">
        <v>49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ROW(Source!A43)</f>
        <v>43</v>
      </c>
      <c r="B54">
        <v>68990817</v>
      </c>
      <c r="C54">
        <v>68990813</v>
      </c>
      <c r="D54">
        <v>64402231</v>
      </c>
      <c r="E54">
        <v>1</v>
      </c>
      <c r="F54">
        <v>1</v>
      </c>
      <c r="G54">
        <v>1</v>
      </c>
      <c r="H54">
        <v>2</v>
      </c>
      <c r="I54" t="s">
        <v>898</v>
      </c>
      <c r="J54" t="s">
        <v>899</v>
      </c>
      <c r="K54" t="s">
        <v>900</v>
      </c>
      <c r="L54">
        <v>1368</v>
      </c>
      <c r="N54">
        <v>1011</v>
      </c>
      <c r="O54" t="s">
        <v>824</v>
      </c>
      <c r="P54" t="s">
        <v>824</v>
      </c>
      <c r="Q54">
        <v>1</v>
      </c>
      <c r="X54">
        <v>5.62</v>
      </c>
      <c r="Y54">
        <v>0</v>
      </c>
      <c r="Z54">
        <v>60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106</v>
      </c>
      <c r="AG54">
        <v>6.0696000000000012</v>
      </c>
      <c r="AH54">
        <v>2</v>
      </c>
      <c r="AI54">
        <v>68990817</v>
      </c>
      <c r="AJ54">
        <v>50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ROW(Source!A43)</f>
        <v>43</v>
      </c>
      <c r="B55">
        <v>68990818</v>
      </c>
      <c r="C55">
        <v>68990813</v>
      </c>
      <c r="D55">
        <v>64402691</v>
      </c>
      <c r="E55">
        <v>1</v>
      </c>
      <c r="F55">
        <v>1</v>
      </c>
      <c r="G55">
        <v>1</v>
      </c>
      <c r="H55">
        <v>2</v>
      </c>
      <c r="I55" t="s">
        <v>825</v>
      </c>
      <c r="J55" t="s">
        <v>826</v>
      </c>
      <c r="K55" t="s">
        <v>827</v>
      </c>
      <c r="L55">
        <v>1368</v>
      </c>
      <c r="N55">
        <v>1011</v>
      </c>
      <c r="O55" t="s">
        <v>824</v>
      </c>
      <c r="P55" t="s">
        <v>824</v>
      </c>
      <c r="Q55">
        <v>1</v>
      </c>
      <c r="X55">
        <v>0.51</v>
      </c>
      <c r="Y55">
        <v>0</v>
      </c>
      <c r="Z55">
        <v>65.709999999999994</v>
      </c>
      <c r="AA55">
        <v>11.6</v>
      </c>
      <c r="AB55">
        <v>0</v>
      </c>
      <c r="AC55">
        <v>0</v>
      </c>
      <c r="AD55">
        <v>1</v>
      </c>
      <c r="AE55">
        <v>0</v>
      </c>
      <c r="AF55" t="s">
        <v>106</v>
      </c>
      <c r="AG55">
        <v>0.55080000000000007</v>
      </c>
      <c r="AH55">
        <v>2</v>
      </c>
      <c r="AI55">
        <v>68990818</v>
      </c>
      <c r="AJ55">
        <v>51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ROW(Source!A43)</f>
        <v>43</v>
      </c>
      <c r="B56">
        <v>68990819</v>
      </c>
      <c r="C56">
        <v>68990813</v>
      </c>
      <c r="D56">
        <v>64258007</v>
      </c>
      <c r="E56">
        <v>1</v>
      </c>
      <c r="F56">
        <v>1</v>
      </c>
      <c r="G56">
        <v>1</v>
      </c>
      <c r="H56">
        <v>3</v>
      </c>
      <c r="I56" t="s">
        <v>901</v>
      </c>
      <c r="J56" t="s">
        <v>902</v>
      </c>
      <c r="K56" t="s">
        <v>903</v>
      </c>
      <c r="L56">
        <v>1339</v>
      </c>
      <c r="N56">
        <v>1007</v>
      </c>
      <c r="O56" t="s">
        <v>113</v>
      </c>
      <c r="P56" t="s">
        <v>113</v>
      </c>
      <c r="Q56">
        <v>1</v>
      </c>
      <c r="X56">
        <v>0.05</v>
      </c>
      <c r="Y56">
        <v>486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20</v>
      </c>
      <c r="AG56">
        <v>0</v>
      </c>
      <c r="AH56">
        <v>2</v>
      </c>
      <c r="AI56">
        <v>68990819</v>
      </c>
      <c r="AJ56">
        <v>52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ROW(Source!A43)</f>
        <v>43</v>
      </c>
      <c r="B57">
        <v>68990820</v>
      </c>
      <c r="C57">
        <v>68990813</v>
      </c>
      <c r="D57">
        <v>64242433</v>
      </c>
      <c r="E57">
        <v>56</v>
      </c>
      <c r="F57">
        <v>1</v>
      </c>
      <c r="G57">
        <v>1</v>
      </c>
      <c r="H57">
        <v>3</v>
      </c>
      <c r="I57" t="s">
        <v>1267</v>
      </c>
      <c r="J57" t="s">
        <v>3</v>
      </c>
      <c r="K57" t="s">
        <v>1268</v>
      </c>
      <c r="L57">
        <v>1327</v>
      </c>
      <c r="N57">
        <v>1005</v>
      </c>
      <c r="O57" t="s">
        <v>46</v>
      </c>
      <c r="P57" t="s">
        <v>46</v>
      </c>
      <c r="Q57">
        <v>1</v>
      </c>
      <c r="X57">
        <v>100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 t="s">
        <v>20</v>
      </c>
      <c r="AG57">
        <v>0</v>
      </c>
      <c r="AH57">
        <v>3</v>
      </c>
      <c r="AI57">
        <v>-1</v>
      </c>
      <c r="AJ57" t="s">
        <v>3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ROW(Source!A44)</f>
        <v>44</v>
      </c>
      <c r="B58">
        <v>68990831</v>
      </c>
      <c r="C58">
        <v>68990827</v>
      </c>
      <c r="D58">
        <v>37065248</v>
      </c>
      <c r="E58">
        <v>56</v>
      </c>
      <c r="F58">
        <v>1</v>
      </c>
      <c r="G58">
        <v>1</v>
      </c>
      <c r="H58">
        <v>1</v>
      </c>
      <c r="I58" t="s">
        <v>857</v>
      </c>
      <c r="J58" t="s">
        <v>3</v>
      </c>
      <c r="K58" t="s">
        <v>858</v>
      </c>
      <c r="L58">
        <v>1191</v>
      </c>
      <c r="N58">
        <v>1013</v>
      </c>
      <c r="O58" t="s">
        <v>818</v>
      </c>
      <c r="P58" t="s">
        <v>818</v>
      </c>
      <c r="Q58">
        <v>1</v>
      </c>
      <c r="X58">
        <v>9.67</v>
      </c>
      <c r="Y58">
        <v>0</v>
      </c>
      <c r="Z58">
        <v>0</v>
      </c>
      <c r="AA58">
        <v>0</v>
      </c>
      <c r="AB58">
        <v>8.5299999999999994</v>
      </c>
      <c r="AC58">
        <v>0</v>
      </c>
      <c r="AD58">
        <v>1</v>
      </c>
      <c r="AE58">
        <v>1</v>
      </c>
      <c r="AF58" t="s">
        <v>38</v>
      </c>
      <c r="AG58">
        <v>11.1205</v>
      </c>
      <c r="AH58">
        <v>2</v>
      </c>
      <c r="AI58">
        <v>68990828</v>
      </c>
      <c r="AJ58">
        <v>53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ROW(Source!A44)</f>
        <v>44</v>
      </c>
      <c r="B59">
        <v>68990832</v>
      </c>
      <c r="C59">
        <v>68990827</v>
      </c>
      <c r="D59">
        <v>64402923</v>
      </c>
      <c r="E59">
        <v>1</v>
      </c>
      <c r="F59">
        <v>1</v>
      </c>
      <c r="G59">
        <v>1</v>
      </c>
      <c r="H59">
        <v>2</v>
      </c>
      <c r="I59" t="s">
        <v>886</v>
      </c>
      <c r="J59" t="s">
        <v>887</v>
      </c>
      <c r="K59" t="s">
        <v>888</v>
      </c>
      <c r="L59">
        <v>1368</v>
      </c>
      <c r="N59">
        <v>1011</v>
      </c>
      <c r="O59" t="s">
        <v>824</v>
      </c>
      <c r="P59" t="s">
        <v>824</v>
      </c>
      <c r="Q59">
        <v>1</v>
      </c>
      <c r="X59">
        <v>4.51</v>
      </c>
      <c r="Y59">
        <v>0</v>
      </c>
      <c r="Z59">
        <v>48.81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38</v>
      </c>
      <c r="AG59">
        <v>5.1864999999999997</v>
      </c>
      <c r="AH59">
        <v>2</v>
      </c>
      <c r="AI59">
        <v>68990829</v>
      </c>
      <c r="AJ59">
        <v>54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ROW(Source!A44)</f>
        <v>44</v>
      </c>
      <c r="B60">
        <v>68990833</v>
      </c>
      <c r="C60">
        <v>68990827</v>
      </c>
      <c r="D60">
        <v>64403375</v>
      </c>
      <c r="E60">
        <v>1</v>
      </c>
      <c r="F60">
        <v>1</v>
      </c>
      <c r="G60">
        <v>1</v>
      </c>
      <c r="H60">
        <v>2</v>
      </c>
      <c r="I60" t="s">
        <v>889</v>
      </c>
      <c r="J60" t="s">
        <v>890</v>
      </c>
      <c r="K60" t="s">
        <v>891</v>
      </c>
      <c r="L60">
        <v>1368</v>
      </c>
      <c r="N60">
        <v>1011</v>
      </c>
      <c r="O60" t="s">
        <v>824</v>
      </c>
      <c r="P60" t="s">
        <v>824</v>
      </c>
      <c r="Q60">
        <v>1</v>
      </c>
      <c r="X60">
        <v>9.02</v>
      </c>
      <c r="Y60">
        <v>0</v>
      </c>
      <c r="Z60">
        <v>1.53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38</v>
      </c>
      <c r="AG60">
        <v>10.372999999999999</v>
      </c>
      <c r="AH60">
        <v>2</v>
      </c>
      <c r="AI60">
        <v>68990830</v>
      </c>
      <c r="AJ60">
        <v>55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ROW(Source!A45)</f>
        <v>45</v>
      </c>
      <c r="B61">
        <v>68990926</v>
      </c>
      <c r="C61">
        <v>68990903</v>
      </c>
      <c r="D61">
        <v>37072767</v>
      </c>
      <c r="E61">
        <v>56</v>
      </c>
      <c r="F61">
        <v>1</v>
      </c>
      <c r="G61">
        <v>1</v>
      </c>
      <c r="H61">
        <v>1</v>
      </c>
      <c r="I61" t="s">
        <v>874</v>
      </c>
      <c r="J61" t="s">
        <v>3</v>
      </c>
      <c r="K61" t="s">
        <v>875</v>
      </c>
      <c r="L61">
        <v>1191</v>
      </c>
      <c r="N61">
        <v>1013</v>
      </c>
      <c r="O61" t="s">
        <v>818</v>
      </c>
      <c r="P61" t="s">
        <v>818</v>
      </c>
      <c r="Q61">
        <v>1</v>
      </c>
      <c r="X61">
        <v>35.9</v>
      </c>
      <c r="Y61">
        <v>0</v>
      </c>
      <c r="Z61">
        <v>0</v>
      </c>
      <c r="AA61">
        <v>0</v>
      </c>
      <c r="AB61">
        <v>9.18</v>
      </c>
      <c r="AC61">
        <v>0</v>
      </c>
      <c r="AD61">
        <v>1</v>
      </c>
      <c r="AE61">
        <v>1</v>
      </c>
      <c r="AF61" t="s">
        <v>48</v>
      </c>
      <c r="AG61">
        <v>33.9255</v>
      </c>
      <c r="AH61">
        <v>2</v>
      </c>
      <c r="AI61">
        <v>68990904</v>
      </c>
      <c r="AJ61">
        <v>56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ROW(Source!A45)</f>
        <v>45</v>
      </c>
      <c r="B62">
        <v>68990927</v>
      </c>
      <c r="C62">
        <v>68990903</v>
      </c>
      <c r="D62">
        <v>37064876</v>
      </c>
      <c r="E62">
        <v>56</v>
      </c>
      <c r="F62">
        <v>1</v>
      </c>
      <c r="G62">
        <v>1</v>
      </c>
      <c r="H62">
        <v>1</v>
      </c>
      <c r="I62" t="s">
        <v>819</v>
      </c>
      <c r="J62" t="s">
        <v>3</v>
      </c>
      <c r="K62" t="s">
        <v>820</v>
      </c>
      <c r="L62">
        <v>1191</v>
      </c>
      <c r="N62">
        <v>1013</v>
      </c>
      <c r="O62" t="s">
        <v>818</v>
      </c>
      <c r="P62" t="s">
        <v>818</v>
      </c>
      <c r="Q62">
        <v>1</v>
      </c>
      <c r="X62">
        <v>4.42</v>
      </c>
      <c r="Y62">
        <v>0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2</v>
      </c>
      <c r="AF62" t="s">
        <v>48</v>
      </c>
      <c r="AG62">
        <v>4.1768999999999998</v>
      </c>
      <c r="AH62">
        <v>2</v>
      </c>
      <c r="AI62">
        <v>68990905</v>
      </c>
      <c r="AJ62">
        <v>57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ROW(Source!A45)</f>
        <v>45</v>
      </c>
      <c r="B63">
        <v>68990928</v>
      </c>
      <c r="C63">
        <v>68990903</v>
      </c>
      <c r="D63">
        <v>64401718</v>
      </c>
      <c r="E63">
        <v>1</v>
      </c>
      <c r="F63">
        <v>1</v>
      </c>
      <c r="G63">
        <v>1</v>
      </c>
      <c r="H63">
        <v>2</v>
      </c>
      <c r="I63" t="s">
        <v>904</v>
      </c>
      <c r="J63" t="s">
        <v>905</v>
      </c>
      <c r="K63" t="s">
        <v>906</v>
      </c>
      <c r="L63">
        <v>1368</v>
      </c>
      <c r="N63">
        <v>1011</v>
      </c>
      <c r="O63" t="s">
        <v>824</v>
      </c>
      <c r="P63" t="s">
        <v>824</v>
      </c>
      <c r="Q63">
        <v>1</v>
      </c>
      <c r="X63">
        <v>0.1</v>
      </c>
      <c r="Y63">
        <v>0</v>
      </c>
      <c r="Z63">
        <v>120.24</v>
      </c>
      <c r="AA63">
        <v>15.42</v>
      </c>
      <c r="AB63">
        <v>0</v>
      </c>
      <c r="AC63">
        <v>0</v>
      </c>
      <c r="AD63">
        <v>1</v>
      </c>
      <c r="AE63">
        <v>0</v>
      </c>
      <c r="AF63" t="s">
        <v>48</v>
      </c>
      <c r="AG63">
        <v>9.4500000000000001E-2</v>
      </c>
      <c r="AH63">
        <v>2</v>
      </c>
      <c r="AI63">
        <v>68990906</v>
      </c>
      <c r="AJ63">
        <v>58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ROW(Source!A45)</f>
        <v>45</v>
      </c>
      <c r="B64">
        <v>68990929</v>
      </c>
      <c r="C64">
        <v>68990903</v>
      </c>
      <c r="D64">
        <v>64401763</v>
      </c>
      <c r="E64">
        <v>1</v>
      </c>
      <c r="F64">
        <v>1</v>
      </c>
      <c r="G64">
        <v>1</v>
      </c>
      <c r="H64">
        <v>2</v>
      </c>
      <c r="I64" t="s">
        <v>821</v>
      </c>
      <c r="J64" t="s">
        <v>822</v>
      </c>
      <c r="K64" t="s">
        <v>823</v>
      </c>
      <c r="L64">
        <v>1368</v>
      </c>
      <c r="N64">
        <v>1011</v>
      </c>
      <c r="O64" t="s">
        <v>824</v>
      </c>
      <c r="P64" t="s">
        <v>824</v>
      </c>
      <c r="Q64">
        <v>1</v>
      </c>
      <c r="X64">
        <v>4.13</v>
      </c>
      <c r="Y64">
        <v>0</v>
      </c>
      <c r="Z64">
        <v>115.4</v>
      </c>
      <c r="AA64">
        <v>13.5</v>
      </c>
      <c r="AB64">
        <v>0</v>
      </c>
      <c r="AC64">
        <v>0</v>
      </c>
      <c r="AD64">
        <v>1</v>
      </c>
      <c r="AE64">
        <v>0</v>
      </c>
      <c r="AF64" t="s">
        <v>48</v>
      </c>
      <c r="AG64">
        <v>3.9028499999999995</v>
      </c>
      <c r="AH64">
        <v>2</v>
      </c>
      <c r="AI64">
        <v>68990907</v>
      </c>
      <c r="AJ64">
        <v>59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ROW(Source!A45)</f>
        <v>45</v>
      </c>
      <c r="B65">
        <v>68990930</v>
      </c>
      <c r="C65">
        <v>68990903</v>
      </c>
      <c r="D65">
        <v>64401848</v>
      </c>
      <c r="E65">
        <v>1</v>
      </c>
      <c r="F65">
        <v>1</v>
      </c>
      <c r="G65">
        <v>1</v>
      </c>
      <c r="H65">
        <v>2</v>
      </c>
      <c r="I65" t="s">
        <v>907</v>
      </c>
      <c r="J65" t="s">
        <v>908</v>
      </c>
      <c r="K65" t="s">
        <v>909</v>
      </c>
      <c r="L65">
        <v>1368</v>
      </c>
      <c r="N65">
        <v>1011</v>
      </c>
      <c r="O65" t="s">
        <v>824</v>
      </c>
      <c r="P65" t="s">
        <v>824</v>
      </c>
      <c r="Q65">
        <v>1</v>
      </c>
      <c r="X65">
        <v>3.17</v>
      </c>
      <c r="Y65">
        <v>0</v>
      </c>
      <c r="Z65">
        <v>0.9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48</v>
      </c>
      <c r="AG65">
        <v>2.9956500000000004</v>
      </c>
      <c r="AH65">
        <v>2</v>
      </c>
      <c r="AI65">
        <v>68990908</v>
      </c>
      <c r="AJ65">
        <v>60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ROW(Source!A45)</f>
        <v>45</v>
      </c>
      <c r="B66">
        <v>68990931</v>
      </c>
      <c r="C66">
        <v>68990903</v>
      </c>
      <c r="D66">
        <v>64402691</v>
      </c>
      <c r="E66">
        <v>1</v>
      </c>
      <c r="F66">
        <v>1</v>
      </c>
      <c r="G66">
        <v>1</v>
      </c>
      <c r="H66">
        <v>2</v>
      </c>
      <c r="I66" t="s">
        <v>825</v>
      </c>
      <c r="J66" t="s">
        <v>826</v>
      </c>
      <c r="K66" t="s">
        <v>827</v>
      </c>
      <c r="L66">
        <v>1368</v>
      </c>
      <c r="N66">
        <v>1011</v>
      </c>
      <c r="O66" t="s">
        <v>824</v>
      </c>
      <c r="P66" t="s">
        <v>824</v>
      </c>
      <c r="Q66">
        <v>1</v>
      </c>
      <c r="X66">
        <v>0.19</v>
      </c>
      <c r="Y66">
        <v>0</v>
      </c>
      <c r="Z66">
        <v>65.709999999999994</v>
      </c>
      <c r="AA66">
        <v>11.6</v>
      </c>
      <c r="AB66">
        <v>0</v>
      </c>
      <c r="AC66">
        <v>0</v>
      </c>
      <c r="AD66">
        <v>1</v>
      </c>
      <c r="AE66">
        <v>0</v>
      </c>
      <c r="AF66" t="s">
        <v>48</v>
      </c>
      <c r="AG66">
        <v>0.17954999999999999</v>
      </c>
      <c r="AH66">
        <v>2</v>
      </c>
      <c r="AI66">
        <v>68990909</v>
      </c>
      <c r="AJ66">
        <v>61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ROW(Source!A45)</f>
        <v>45</v>
      </c>
      <c r="B67">
        <v>68990932</v>
      </c>
      <c r="C67">
        <v>68990903</v>
      </c>
      <c r="D67">
        <v>64402844</v>
      </c>
      <c r="E67">
        <v>1</v>
      </c>
      <c r="F67">
        <v>1</v>
      </c>
      <c r="G67">
        <v>1</v>
      </c>
      <c r="H67">
        <v>2</v>
      </c>
      <c r="I67" t="s">
        <v>910</v>
      </c>
      <c r="J67" t="s">
        <v>911</v>
      </c>
      <c r="K67" t="s">
        <v>912</v>
      </c>
      <c r="L67">
        <v>1368</v>
      </c>
      <c r="N67">
        <v>1011</v>
      </c>
      <c r="O67" t="s">
        <v>824</v>
      </c>
      <c r="P67" t="s">
        <v>824</v>
      </c>
      <c r="Q67">
        <v>1</v>
      </c>
      <c r="X67">
        <v>1.63</v>
      </c>
      <c r="Y67">
        <v>0</v>
      </c>
      <c r="Z67">
        <v>1.2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48</v>
      </c>
      <c r="AG67">
        <v>1.5403499999999999</v>
      </c>
      <c r="AH67">
        <v>2</v>
      </c>
      <c r="AI67">
        <v>68990910</v>
      </c>
      <c r="AJ67">
        <v>62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ROW(Source!A45)</f>
        <v>45</v>
      </c>
      <c r="B68">
        <v>68990933</v>
      </c>
      <c r="C68">
        <v>68990903</v>
      </c>
      <c r="D68">
        <v>64402887</v>
      </c>
      <c r="E68">
        <v>1</v>
      </c>
      <c r="F68">
        <v>1</v>
      </c>
      <c r="G68">
        <v>1</v>
      </c>
      <c r="H68">
        <v>2</v>
      </c>
      <c r="I68" t="s">
        <v>913</v>
      </c>
      <c r="J68" t="s">
        <v>914</v>
      </c>
      <c r="K68" t="s">
        <v>915</v>
      </c>
      <c r="L68">
        <v>1368</v>
      </c>
      <c r="N68">
        <v>1011</v>
      </c>
      <c r="O68" t="s">
        <v>824</v>
      </c>
      <c r="P68" t="s">
        <v>824</v>
      </c>
      <c r="Q68">
        <v>1</v>
      </c>
      <c r="X68">
        <v>6.16</v>
      </c>
      <c r="Y68">
        <v>0</v>
      </c>
      <c r="Z68">
        <v>12.31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48</v>
      </c>
      <c r="AG68">
        <v>5.8212000000000002</v>
      </c>
      <c r="AH68">
        <v>2</v>
      </c>
      <c r="AI68">
        <v>68990911</v>
      </c>
      <c r="AJ68">
        <v>63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ROW(Source!A45)</f>
        <v>45</v>
      </c>
      <c r="B69">
        <v>68990934</v>
      </c>
      <c r="C69">
        <v>68990903</v>
      </c>
      <c r="D69">
        <v>64251195</v>
      </c>
      <c r="E69">
        <v>1</v>
      </c>
      <c r="F69">
        <v>1</v>
      </c>
      <c r="G69">
        <v>1</v>
      </c>
      <c r="H69">
        <v>3</v>
      </c>
      <c r="I69" t="s">
        <v>916</v>
      </c>
      <c r="J69" t="s">
        <v>917</v>
      </c>
      <c r="K69" t="s">
        <v>918</v>
      </c>
      <c r="L69">
        <v>1339</v>
      </c>
      <c r="N69">
        <v>1007</v>
      </c>
      <c r="O69" t="s">
        <v>113</v>
      </c>
      <c r="P69" t="s">
        <v>113</v>
      </c>
      <c r="Q69">
        <v>1</v>
      </c>
      <c r="X69">
        <v>1.37</v>
      </c>
      <c r="Y69">
        <v>6.22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20</v>
      </c>
      <c r="AG69">
        <v>0</v>
      </c>
      <c r="AH69">
        <v>2</v>
      </c>
      <c r="AI69">
        <v>68990912</v>
      </c>
      <c r="AJ69">
        <v>64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ROW(Source!A45)</f>
        <v>45</v>
      </c>
      <c r="B70">
        <v>68990935</v>
      </c>
      <c r="C70">
        <v>68990903</v>
      </c>
      <c r="D70">
        <v>64251201</v>
      </c>
      <c r="E70">
        <v>1</v>
      </c>
      <c r="F70">
        <v>1</v>
      </c>
      <c r="G70">
        <v>1</v>
      </c>
      <c r="H70">
        <v>3</v>
      </c>
      <c r="I70" t="s">
        <v>919</v>
      </c>
      <c r="J70" t="s">
        <v>920</v>
      </c>
      <c r="K70" t="s">
        <v>921</v>
      </c>
      <c r="L70">
        <v>1346</v>
      </c>
      <c r="N70">
        <v>1009</v>
      </c>
      <c r="O70" t="s">
        <v>170</v>
      </c>
      <c r="P70" t="s">
        <v>170</v>
      </c>
      <c r="Q70">
        <v>1</v>
      </c>
      <c r="X70">
        <v>0.41</v>
      </c>
      <c r="Y70">
        <v>6.09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20</v>
      </c>
      <c r="AG70">
        <v>0</v>
      </c>
      <c r="AH70">
        <v>2</v>
      </c>
      <c r="AI70">
        <v>68990913</v>
      </c>
      <c r="AJ70">
        <v>65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ROW(Source!A45)</f>
        <v>45</v>
      </c>
      <c r="B71">
        <v>68990936</v>
      </c>
      <c r="C71">
        <v>68990903</v>
      </c>
      <c r="D71">
        <v>64253863</v>
      </c>
      <c r="E71">
        <v>1</v>
      </c>
      <c r="F71">
        <v>1</v>
      </c>
      <c r="G71">
        <v>1</v>
      </c>
      <c r="H71">
        <v>3</v>
      </c>
      <c r="I71" t="s">
        <v>922</v>
      </c>
      <c r="J71" t="s">
        <v>923</v>
      </c>
      <c r="K71" t="s">
        <v>924</v>
      </c>
      <c r="L71">
        <v>1346</v>
      </c>
      <c r="N71">
        <v>1009</v>
      </c>
      <c r="O71" t="s">
        <v>170</v>
      </c>
      <c r="P71" t="s">
        <v>170</v>
      </c>
      <c r="Q71">
        <v>1</v>
      </c>
      <c r="X71">
        <v>4</v>
      </c>
      <c r="Y71">
        <v>10.75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20</v>
      </c>
      <c r="AG71">
        <v>0</v>
      </c>
      <c r="AH71">
        <v>2</v>
      </c>
      <c r="AI71">
        <v>68990914</v>
      </c>
      <c r="AJ71">
        <v>66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ROW(Source!A45)</f>
        <v>45</v>
      </c>
      <c r="B72">
        <v>68990937</v>
      </c>
      <c r="C72">
        <v>68990903</v>
      </c>
      <c r="D72">
        <v>64255009</v>
      </c>
      <c r="E72">
        <v>1</v>
      </c>
      <c r="F72">
        <v>1</v>
      </c>
      <c r="G72">
        <v>1</v>
      </c>
      <c r="H72">
        <v>3</v>
      </c>
      <c r="I72" t="s">
        <v>963</v>
      </c>
      <c r="J72" t="s">
        <v>964</v>
      </c>
      <c r="K72" t="s">
        <v>965</v>
      </c>
      <c r="L72">
        <v>1346</v>
      </c>
      <c r="N72">
        <v>1009</v>
      </c>
      <c r="O72" t="s">
        <v>170</v>
      </c>
      <c r="P72" t="s">
        <v>170</v>
      </c>
      <c r="Q72">
        <v>1</v>
      </c>
      <c r="X72">
        <v>0</v>
      </c>
      <c r="Y72">
        <v>9.0399999999999991</v>
      </c>
      <c r="Z72">
        <v>0</v>
      </c>
      <c r="AA72">
        <v>0</v>
      </c>
      <c r="AB72">
        <v>0</v>
      </c>
      <c r="AC72">
        <v>1</v>
      </c>
      <c r="AD72">
        <v>0</v>
      </c>
      <c r="AE72">
        <v>0</v>
      </c>
      <c r="AF72" t="s">
        <v>20</v>
      </c>
      <c r="AG72">
        <v>0</v>
      </c>
      <c r="AH72">
        <v>3</v>
      </c>
      <c r="AI72">
        <v>-1</v>
      </c>
      <c r="AJ72" t="s">
        <v>3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ROW(Source!A45)</f>
        <v>45</v>
      </c>
      <c r="B73">
        <v>68990938</v>
      </c>
      <c r="C73">
        <v>68990903</v>
      </c>
      <c r="D73">
        <v>64255112</v>
      </c>
      <c r="E73">
        <v>1</v>
      </c>
      <c r="F73">
        <v>1</v>
      </c>
      <c r="G73">
        <v>1</v>
      </c>
      <c r="H73">
        <v>3</v>
      </c>
      <c r="I73" t="s">
        <v>925</v>
      </c>
      <c r="J73" t="s">
        <v>926</v>
      </c>
      <c r="K73" t="s">
        <v>927</v>
      </c>
      <c r="L73">
        <v>1348</v>
      </c>
      <c r="N73">
        <v>1009</v>
      </c>
      <c r="O73" t="s">
        <v>71</v>
      </c>
      <c r="P73" t="s">
        <v>71</v>
      </c>
      <c r="Q73">
        <v>1000</v>
      </c>
      <c r="X73">
        <v>1.0000000000000001E-5</v>
      </c>
      <c r="Y73">
        <v>11978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20</v>
      </c>
      <c r="AG73">
        <v>0</v>
      </c>
      <c r="AH73">
        <v>2</v>
      </c>
      <c r="AI73">
        <v>68990916</v>
      </c>
      <c r="AJ73">
        <v>67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ROW(Source!A45)</f>
        <v>45</v>
      </c>
      <c r="B74">
        <v>68990939</v>
      </c>
      <c r="C74">
        <v>68990903</v>
      </c>
      <c r="D74">
        <v>64256203</v>
      </c>
      <c r="E74">
        <v>1</v>
      </c>
      <c r="F74">
        <v>1</v>
      </c>
      <c r="G74">
        <v>1</v>
      </c>
      <c r="H74">
        <v>3</v>
      </c>
      <c r="I74" t="s">
        <v>928</v>
      </c>
      <c r="J74" t="s">
        <v>929</v>
      </c>
      <c r="K74" t="s">
        <v>930</v>
      </c>
      <c r="L74">
        <v>1348</v>
      </c>
      <c r="N74">
        <v>1009</v>
      </c>
      <c r="O74" t="s">
        <v>71</v>
      </c>
      <c r="P74" t="s">
        <v>71</v>
      </c>
      <c r="Q74">
        <v>1000</v>
      </c>
      <c r="X74">
        <v>1E-4</v>
      </c>
      <c r="Y74">
        <v>37900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20</v>
      </c>
      <c r="AG74">
        <v>0</v>
      </c>
      <c r="AH74">
        <v>2</v>
      </c>
      <c r="AI74">
        <v>68990917</v>
      </c>
      <c r="AJ74">
        <v>68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ROW(Source!A45)</f>
        <v>45</v>
      </c>
      <c r="B75">
        <v>68990940</v>
      </c>
      <c r="C75">
        <v>68990903</v>
      </c>
      <c r="D75">
        <v>64242730</v>
      </c>
      <c r="E75">
        <v>56</v>
      </c>
      <c r="F75">
        <v>1</v>
      </c>
      <c r="G75">
        <v>1</v>
      </c>
      <c r="H75">
        <v>3</v>
      </c>
      <c r="I75" t="s">
        <v>1269</v>
      </c>
      <c r="J75" t="s">
        <v>3</v>
      </c>
      <c r="K75" t="s">
        <v>1270</v>
      </c>
      <c r="L75">
        <v>1348</v>
      </c>
      <c r="N75">
        <v>1009</v>
      </c>
      <c r="O75" t="s">
        <v>71</v>
      </c>
      <c r="P75" t="s">
        <v>71</v>
      </c>
      <c r="Q75">
        <v>1000</v>
      </c>
      <c r="X75">
        <v>1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 t="s">
        <v>20</v>
      </c>
      <c r="AG75">
        <v>0</v>
      </c>
      <c r="AH75">
        <v>3</v>
      </c>
      <c r="AI75">
        <v>-1</v>
      </c>
      <c r="AJ75" t="s">
        <v>3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ROW(Source!A45)</f>
        <v>45</v>
      </c>
      <c r="B76">
        <v>68990941</v>
      </c>
      <c r="C76">
        <v>68990903</v>
      </c>
      <c r="D76">
        <v>64269842</v>
      </c>
      <c r="E76">
        <v>1</v>
      </c>
      <c r="F76">
        <v>1</v>
      </c>
      <c r="G76">
        <v>1</v>
      </c>
      <c r="H76">
        <v>3</v>
      </c>
      <c r="I76" t="s">
        <v>931</v>
      </c>
      <c r="J76" t="s">
        <v>932</v>
      </c>
      <c r="K76" t="s">
        <v>933</v>
      </c>
      <c r="L76">
        <v>1348</v>
      </c>
      <c r="N76">
        <v>1009</v>
      </c>
      <c r="O76" t="s">
        <v>71</v>
      </c>
      <c r="P76" t="s">
        <v>71</v>
      </c>
      <c r="Q76">
        <v>1000</v>
      </c>
      <c r="X76">
        <v>1E-3</v>
      </c>
      <c r="Y76">
        <v>7712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20</v>
      </c>
      <c r="AG76">
        <v>0</v>
      </c>
      <c r="AH76">
        <v>2</v>
      </c>
      <c r="AI76">
        <v>68990919</v>
      </c>
      <c r="AJ76">
        <v>69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ROW(Source!A45)</f>
        <v>45</v>
      </c>
      <c r="B77">
        <v>68990942</v>
      </c>
      <c r="C77">
        <v>68990903</v>
      </c>
      <c r="D77">
        <v>64271871</v>
      </c>
      <c r="E77">
        <v>1</v>
      </c>
      <c r="F77">
        <v>1</v>
      </c>
      <c r="G77">
        <v>1</v>
      </c>
      <c r="H77">
        <v>3</v>
      </c>
      <c r="I77" t="s">
        <v>934</v>
      </c>
      <c r="J77" t="s">
        <v>935</v>
      </c>
      <c r="K77" t="s">
        <v>936</v>
      </c>
      <c r="L77">
        <v>1302</v>
      </c>
      <c r="N77">
        <v>1003</v>
      </c>
      <c r="O77" t="s">
        <v>395</v>
      </c>
      <c r="P77" t="s">
        <v>395</v>
      </c>
      <c r="Q77">
        <v>10</v>
      </c>
      <c r="X77">
        <v>1.8700000000000001E-2</v>
      </c>
      <c r="Y77">
        <v>50.24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20</v>
      </c>
      <c r="AG77">
        <v>0</v>
      </c>
      <c r="AH77">
        <v>2</v>
      </c>
      <c r="AI77">
        <v>68990920</v>
      </c>
      <c r="AJ77">
        <v>70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ROW(Source!A45)</f>
        <v>45</v>
      </c>
      <c r="B78">
        <v>68990943</v>
      </c>
      <c r="C78">
        <v>68990903</v>
      </c>
      <c r="D78">
        <v>64272226</v>
      </c>
      <c r="E78">
        <v>1</v>
      </c>
      <c r="F78">
        <v>1</v>
      </c>
      <c r="G78">
        <v>1</v>
      </c>
      <c r="H78">
        <v>3</v>
      </c>
      <c r="I78" t="s">
        <v>937</v>
      </c>
      <c r="J78" t="s">
        <v>938</v>
      </c>
      <c r="K78" t="s">
        <v>939</v>
      </c>
      <c r="L78">
        <v>1348</v>
      </c>
      <c r="N78">
        <v>1009</v>
      </c>
      <c r="O78" t="s">
        <v>71</v>
      </c>
      <c r="P78" t="s">
        <v>71</v>
      </c>
      <c r="Q78">
        <v>1000</v>
      </c>
      <c r="X78">
        <v>3.0000000000000001E-5</v>
      </c>
      <c r="Y78">
        <v>4455.2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20</v>
      </c>
      <c r="AG78">
        <v>0</v>
      </c>
      <c r="AH78">
        <v>2</v>
      </c>
      <c r="AI78">
        <v>68990921</v>
      </c>
      <c r="AJ78">
        <v>71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ROW(Source!A45)</f>
        <v>45</v>
      </c>
      <c r="B79">
        <v>68990944</v>
      </c>
      <c r="C79">
        <v>68990903</v>
      </c>
      <c r="D79">
        <v>64272954</v>
      </c>
      <c r="E79">
        <v>1</v>
      </c>
      <c r="F79">
        <v>1</v>
      </c>
      <c r="G79">
        <v>1</v>
      </c>
      <c r="H79">
        <v>3</v>
      </c>
      <c r="I79" t="s">
        <v>940</v>
      </c>
      <c r="J79" t="s">
        <v>941</v>
      </c>
      <c r="K79" t="s">
        <v>942</v>
      </c>
      <c r="L79">
        <v>1348</v>
      </c>
      <c r="N79">
        <v>1009</v>
      </c>
      <c r="O79" t="s">
        <v>71</v>
      </c>
      <c r="P79" t="s">
        <v>71</v>
      </c>
      <c r="Q79">
        <v>1000</v>
      </c>
      <c r="X79">
        <v>1.9400000000000001E-3</v>
      </c>
      <c r="Y79">
        <v>4920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20</v>
      </c>
      <c r="AG79">
        <v>0</v>
      </c>
      <c r="AH79">
        <v>2</v>
      </c>
      <c r="AI79">
        <v>68990922</v>
      </c>
      <c r="AJ79">
        <v>72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ROW(Source!A45)</f>
        <v>45</v>
      </c>
      <c r="B80">
        <v>68990945</v>
      </c>
      <c r="C80">
        <v>68990903</v>
      </c>
      <c r="D80">
        <v>64276263</v>
      </c>
      <c r="E80">
        <v>1</v>
      </c>
      <c r="F80">
        <v>1</v>
      </c>
      <c r="G80">
        <v>1</v>
      </c>
      <c r="H80">
        <v>3</v>
      </c>
      <c r="I80" t="s">
        <v>943</v>
      </c>
      <c r="J80" t="s">
        <v>944</v>
      </c>
      <c r="K80" t="s">
        <v>945</v>
      </c>
      <c r="L80">
        <v>1339</v>
      </c>
      <c r="N80">
        <v>1007</v>
      </c>
      <c r="O80" t="s">
        <v>113</v>
      </c>
      <c r="P80" t="s">
        <v>113</v>
      </c>
      <c r="Q80">
        <v>1</v>
      </c>
      <c r="X80">
        <v>1.0300000000000001E-3</v>
      </c>
      <c r="Y80">
        <v>1700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20</v>
      </c>
      <c r="AG80">
        <v>0</v>
      </c>
      <c r="AH80">
        <v>2</v>
      </c>
      <c r="AI80">
        <v>68990923</v>
      </c>
      <c r="AJ80">
        <v>73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ROW(Source!A45)</f>
        <v>45</v>
      </c>
      <c r="B81">
        <v>68990946</v>
      </c>
      <c r="C81">
        <v>68990903</v>
      </c>
      <c r="D81">
        <v>64283919</v>
      </c>
      <c r="E81">
        <v>1</v>
      </c>
      <c r="F81">
        <v>1</v>
      </c>
      <c r="G81">
        <v>1</v>
      </c>
      <c r="H81">
        <v>3</v>
      </c>
      <c r="I81" t="s">
        <v>946</v>
      </c>
      <c r="J81" t="s">
        <v>947</v>
      </c>
      <c r="K81" t="s">
        <v>948</v>
      </c>
      <c r="L81">
        <v>1348</v>
      </c>
      <c r="N81">
        <v>1009</v>
      </c>
      <c r="O81" t="s">
        <v>71</v>
      </c>
      <c r="P81" t="s">
        <v>71</v>
      </c>
      <c r="Q81">
        <v>1000</v>
      </c>
      <c r="X81">
        <v>3.1E-4</v>
      </c>
      <c r="Y81">
        <v>15620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20</v>
      </c>
      <c r="AG81">
        <v>0</v>
      </c>
      <c r="AH81">
        <v>2</v>
      </c>
      <c r="AI81">
        <v>68990924</v>
      </c>
      <c r="AJ81">
        <v>74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ROW(Source!A45)</f>
        <v>45</v>
      </c>
      <c r="B82">
        <v>68990947</v>
      </c>
      <c r="C82">
        <v>68990903</v>
      </c>
      <c r="D82">
        <v>64285060</v>
      </c>
      <c r="E82">
        <v>1</v>
      </c>
      <c r="F82">
        <v>1</v>
      </c>
      <c r="G82">
        <v>1</v>
      </c>
      <c r="H82">
        <v>3</v>
      </c>
      <c r="I82" t="s">
        <v>949</v>
      </c>
      <c r="J82" t="s">
        <v>950</v>
      </c>
      <c r="K82" t="s">
        <v>951</v>
      </c>
      <c r="L82">
        <v>1346</v>
      </c>
      <c r="N82">
        <v>1009</v>
      </c>
      <c r="O82" t="s">
        <v>170</v>
      </c>
      <c r="P82" t="s">
        <v>170</v>
      </c>
      <c r="Q82">
        <v>1</v>
      </c>
      <c r="X82">
        <v>0.6</v>
      </c>
      <c r="Y82">
        <v>9.42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20</v>
      </c>
      <c r="AG82">
        <v>0</v>
      </c>
      <c r="AH82">
        <v>2</v>
      </c>
      <c r="AI82">
        <v>68990925</v>
      </c>
      <c r="AJ82">
        <v>75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ROW(Source!A46)</f>
        <v>46</v>
      </c>
      <c r="B83">
        <v>68990952</v>
      </c>
      <c r="C83">
        <v>68990951</v>
      </c>
      <c r="D83">
        <v>64240975</v>
      </c>
      <c r="E83">
        <v>56</v>
      </c>
      <c r="F83">
        <v>1</v>
      </c>
      <c r="G83">
        <v>1</v>
      </c>
      <c r="H83">
        <v>1</v>
      </c>
      <c r="I83" t="s">
        <v>857</v>
      </c>
      <c r="J83" t="s">
        <v>3</v>
      </c>
      <c r="K83" t="s">
        <v>858</v>
      </c>
      <c r="L83">
        <v>1191</v>
      </c>
      <c r="N83">
        <v>1013</v>
      </c>
      <c r="O83" t="s">
        <v>818</v>
      </c>
      <c r="P83" t="s">
        <v>818</v>
      </c>
      <c r="Q83">
        <v>1</v>
      </c>
      <c r="X83">
        <v>1.88</v>
      </c>
      <c r="Y83">
        <v>0</v>
      </c>
      <c r="Z83">
        <v>0</v>
      </c>
      <c r="AA83">
        <v>0</v>
      </c>
      <c r="AB83">
        <v>8.5299999999999994</v>
      </c>
      <c r="AC83">
        <v>0</v>
      </c>
      <c r="AD83">
        <v>1</v>
      </c>
      <c r="AE83">
        <v>1</v>
      </c>
      <c r="AF83" t="s">
        <v>48</v>
      </c>
      <c r="AG83">
        <v>1.7765999999999997</v>
      </c>
      <c r="AH83">
        <v>2</v>
      </c>
      <c r="AI83">
        <v>68990952</v>
      </c>
      <c r="AJ83">
        <v>76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ROW(Source!A46)</f>
        <v>46</v>
      </c>
      <c r="B84">
        <v>68990953</v>
      </c>
      <c r="C84">
        <v>68990951</v>
      </c>
      <c r="D84">
        <v>64242979</v>
      </c>
      <c r="E84">
        <v>56</v>
      </c>
      <c r="F84">
        <v>1</v>
      </c>
      <c r="G84">
        <v>1</v>
      </c>
      <c r="H84">
        <v>3</v>
      </c>
      <c r="I84" t="s">
        <v>1271</v>
      </c>
      <c r="J84" t="s">
        <v>3</v>
      </c>
      <c r="K84" t="s">
        <v>1272</v>
      </c>
      <c r="L84">
        <v>1371</v>
      </c>
      <c r="N84">
        <v>1013</v>
      </c>
      <c r="O84" t="s">
        <v>29</v>
      </c>
      <c r="P84" t="s">
        <v>29</v>
      </c>
      <c r="Q84">
        <v>1</v>
      </c>
      <c r="X84">
        <v>1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 t="s">
        <v>20</v>
      </c>
      <c r="AG84">
        <v>0</v>
      </c>
      <c r="AH84">
        <v>3</v>
      </c>
      <c r="AI84">
        <v>-1</v>
      </c>
      <c r="AJ84" t="s">
        <v>3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ROW(Source!A47)</f>
        <v>47</v>
      </c>
      <c r="B85">
        <v>68990956</v>
      </c>
      <c r="C85">
        <v>68990955</v>
      </c>
      <c r="D85">
        <v>64240975</v>
      </c>
      <c r="E85">
        <v>56</v>
      </c>
      <c r="F85">
        <v>1</v>
      </c>
      <c r="G85">
        <v>1</v>
      </c>
      <c r="H85">
        <v>1</v>
      </c>
      <c r="I85" t="s">
        <v>857</v>
      </c>
      <c r="J85" t="s">
        <v>3</v>
      </c>
      <c r="K85" t="s">
        <v>858</v>
      </c>
      <c r="L85">
        <v>1191</v>
      </c>
      <c r="N85">
        <v>1013</v>
      </c>
      <c r="O85" t="s">
        <v>818</v>
      </c>
      <c r="P85" t="s">
        <v>818</v>
      </c>
      <c r="Q85">
        <v>1</v>
      </c>
      <c r="X85">
        <v>0.09</v>
      </c>
      <c r="Y85">
        <v>0</v>
      </c>
      <c r="Z85">
        <v>0</v>
      </c>
      <c r="AA85">
        <v>0</v>
      </c>
      <c r="AB85">
        <v>8.5299999999999994</v>
      </c>
      <c r="AC85">
        <v>0</v>
      </c>
      <c r="AD85">
        <v>1</v>
      </c>
      <c r="AE85">
        <v>1</v>
      </c>
      <c r="AF85" t="s">
        <v>48</v>
      </c>
      <c r="AG85">
        <v>8.5049999999999987E-2</v>
      </c>
      <c r="AH85">
        <v>2</v>
      </c>
      <c r="AI85">
        <v>68990956</v>
      </c>
      <c r="AJ85">
        <v>77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ROW(Source!A47)</f>
        <v>47</v>
      </c>
      <c r="B86">
        <v>68990957</v>
      </c>
      <c r="C86">
        <v>68990955</v>
      </c>
      <c r="D86">
        <v>64255552</v>
      </c>
      <c r="E86">
        <v>1</v>
      </c>
      <c r="F86">
        <v>1</v>
      </c>
      <c r="G86">
        <v>1</v>
      </c>
      <c r="H86">
        <v>3</v>
      </c>
      <c r="I86" t="s">
        <v>952</v>
      </c>
      <c r="J86" t="s">
        <v>953</v>
      </c>
      <c r="K86" t="s">
        <v>954</v>
      </c>
      <c r="L86">
        <v>1348</v>
      </c>
      <c r="N86">
        <v>1009</v>
      </c>
      <c r="O86" t="s">
        <v>71</v>
      </c>
      <c r="P86" t="s">
        <v>71</v>
      </c>
      <c r="Q86">
        <v>1000</v>
      </c>
      <c r="X86">
        <v>1.0000000000000001E-5</v>
      </c>
      <c r="Y86">
        <v>20974.37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20</v>
      </c>
      <c r="AG86">
        <v>0</v>
      </c>
      <c r="AH86">
        <v>2</v>
      </c>
      <c r="AI86">
        <v>68990957</v>
      </c>
      <c r="AJ86">
        <v>78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ROW(Source!A47)</f>
        <v>47</v>
      </c>
      <c r="B87">
        <v>68990958</v>
      </c>
      <c r="C87">
        <v>68990955</v>
      </c>
      <c r="D87">
        <v>64244820</v>
      </c>
      <c r="E87">
        <v>56</v>
      </c>
      <c r="F87">
        <v>1</v>
      </c>
      <c r="G87">
        <v>1</v>
      </c>
      <c r="H87">
        <v>3</v>
      </c>
      <c r="I87" t="s">
        <v>1273</v>
      </c>
      <c r="J87" t="s">
        <v>3</v>
      </c>
      <c r="K87" t="s">
        <v>1274</v>
      </c>
      <c r="L87">
        <v>1371</v>
      </c>
      <c r="N87">
        <v>1013</v>
      </c>
      <c r="O87" t="s">
        <v>29</v>
      </c>
      <c r="P87" t="s">
        <v>29</v>
      </c>
      <c r="Q87">
        <v>1</v>
      </c>
      <c r="X87">
        <v>1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 t="s">
        <v>20</v>
      </c>
      <c r="AG87">
        <v>0</v>
      </c>
      <c r="AH87">
        <v>3</v>
      </c>
      <c r="AI87">
        <v>-1</v>
      </c>
      <c r="AJ87" t="s">
        <v>3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ROW(Source!A48)</f>
        <v>48</v>
      </c>
      <c r="B88">
        <v>68990962</v>
      </c>
      <c r="C88">
        <v>68990961</v>
      </c>
      <c r="D88">
        <v>64241007</v>
      </c>
      <c r="E88">
        <v>56</v>
      </c>
      <c r="F88">
        <v>1</v>
      </c>
      <c r="G88">
        <v>1</v>
      </c>
      <c r="H88">
        <v>1</v>
      </c>
      <c r="I88" t="s">
        <v>955</v>
      </c>
      <c r="J88" t="s">
        <v>3</v>
      </c>
      <c r="K88" t="s">
        <v>956</v>
      </c>
      <c r="L88">
        <v>1191</v>
      </c>
      <c r="N88">
        <v>1013</v>
      </c>
      <c r="O88" t="s">
        <v>818</v>
      </c>
      <c r="P88" t="s">
        <v>818</v>
      </c>
      <c r="Q88">
        <v>1</v>
      </c>
      <c r="X88">
        <v>17.3</v>
      </c>
      <c r="Y88">
        <v>0</v>
      </c>
      <c r="Z88">
        <v>0</v>
      </c>
      <c r="AA88">
        <v>0</v>
      </c>
      <c r="AB88">
        <v>9.4</v>
      </c>
      <c r="AC88">
        <v>0</v>
      </c>
      <c r="AD88">
        <v>1</v>
      </c>
      <c r="AE88">
        <v>1</v>
      </c>
      <c r="AF88" t="s">
        <v>48</v>
      </c>
      <c r="AG88">
        <v>16.348500000000001</v>
      </c>
      <c r="AH88">
        <v>2</v>
      </c>
      <c r="AI88">
        <v>68990962</v>
      </c>
      <c r="AJ88">
        <v>79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ROW(Source!A48)</f>
        <v>48</v>
      </c>
      <c r="B89">
        <v>68990963</v>
      </c>
      <c r="C89">
        <v>68990961</v>
      </c>
      <c r="D89">
        <v>64241154</v>
      </c>
      <c r="E89">
        <v>56</v>
      </c>
      <c r="F89">
        <v>1</v>
      </c>
      <c r="G89">
        <v>1</v>
      </c>
      <c r="H89">
        <v>1</v>
      </c>
      <c r="I89" t="s">
        <v>819</v>
      </c>
      <c r="J89" t="s">
        <v>3</v>
      </c>
      <c r="K89" t="s">
        <v>820</v>
      </c>
      <c r="L89">
        <v>1191</v>
      </c>
      <c r="N89">
        <v>1013</v>
      </c>
      <c r="O89" t="s">
        <v>818</v>
      </c>
      <c r="P89" t="s">
        <v>818</v>
      </c>
      <c r="Q89">
        <v>1</v>
      </c>
      <c r="X89">
        <v>1.47</v>
      </c>
      <c r="Y89">
        <v>0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2</v>
      </c>
      <c r="AF89" t="s">
        <v>48</v>
      </c>
      <c r="AG89">
        <v>1.3891500000000001</v>
      </c>
      <c r="AH89">
        <v>2</v>
      </c>
      <c r="AI89">
        <v>68990963</v>
      </c>
      <c r="AJ89">
        <v>80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ROW(Source!A48)</f>
        <v>48</v>
      </c>
      <c r="B90">
        <v>68990964</v>
      </c>
      <c r="C90">
        <v>68990961</v>
      </c>
      <c r="D90">
        <v>64401718</v>
      </c>
      <c r="E90">
        <v>1</v>
      </c>
      <c r="F90">
        <v>1</v>
      </c>
      <c r="G90">
        <v>1</v>
      </c>
      <c r="H90">
        <v>2</v>
      </c>
      <c r="I90" t="s">
        <v>904</v>
      </c>
      <c r="J90" t="s">
        <v>905</v>
      </c>
      <c r="K90" t="s">
        <v>906</v>
      </c>
      <c r="L90">
        <v>1368</v>
      </c>
      <c r="N90">
        <v>1011</v>
      </c>
      <c r="O90" t="s">
        <v>824</v>
      </c>
      <c r="P90" t="s">
        <v>824</v>
      </c>
      <c r="Q90">
        <v>1</v>
      </c>
      <c r="X90">
        <v>0.1</v>
      </c>
      <c r="Y90">
        <v>0</v>
      </c>
      <c r="Z90">
        <v>120.24</v>
      </c>
      <c r="AA90">
        <v>15.42</v>
      </c>
      <c r="AB90">
        <v>0</v>
      </c>
      <c r="AC90">
        <v>0</v>
      </c>
      <c r="AD90">
        <v>1</v>
      </c>
      <c r="AE90">
        <v>0</v>
      </c>
      <c r="AF90" t="s">
        <v>48</v>
      </c>
      <c r="AG90">
        <v>9.4500000000000001E-2</v>
      </c>
      <c r="AH90">
        <v>2</v>
      </c>
      <c r="AI90">
        <v>68990964</v>
      </c>
      <c r="AJ90">
        <v>81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ROW(Source!A48)</f>
        <v>48</v>
      </c>
      <c r="B91">
        <v>68990965</v>
      </c>
      <c r="C91">
        <v>68990961</v>
      </c>
      <c r="D91">
        <v>64401763</v>
      </c>
      <c r="E91">
        <v>1</v>
      </c>
      <c r="F91">
        <v>1</v>
      </c>
      <c r="G91">
        <v>1</v>
      </c>
      <c r="H91">
        <v>2</v>
      </c>
      <c r="I91" t="s">
        <v>821</v>
      </c>
      <c r="J91" t="s">
        <v>822</v>
      </c>
      <c r="K91" t="s">
        <v>823</v>
      </c>
      <c r="L91">
        <v>1368</v>
      </c>
      <c r="N91">
        <v>1011</v>
      </c>
      <c r="O91" t="s">
        <v>824</v>
      </c>
      <c r="P91" t="s">
        <v>824</v>
      </c>
      <c r="Q91">
        <v>1</v>
      </c>
      <c r="X91">
        <v>0.12</v>
      </c>
      <c r="Y91">
        <v>0</v>
      </c>
      <c r="Z91">
        <v>115.4</v>
      </c>
      <c r="AA91">
        <v>13.5</v>
      </c>
      <c r="AB91">
        <v>0</v>
      </c>
      <c r="AC91">
        <v>0</v>
      </c>
      <c r="AD91">
        <v>1</v>
      </c>
      <c r="AE91">
        <v>0</v>
      </c>
      <c r="AF91" t="s">
        <v>48</v>
      </c>
      <c r="AG91">
        <v>0.1134</v>
      </c>
      <c r="AH91">
        <v>2</v>
      </c>
      <c r="AI91">
        <v>68990965</v>
      </c>
      <c r="AJ91">
        <v>82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ROW(Source!A48)</f>
        <v>48</v>
      </c>
      <c r="B92">
        <v>68990966</v>
      </c>
      <c r="C92">
        <v>68990961</v>
      </c>
      <c r="D92">
        <v>64401769</v>
      </c>
      <c r="E92">
        <v>1</v>
      </c>
      <c r="F92">
        <v>1</v>
      </c>
      <c r="G92">
        <v>1</v>
      </c>
      <c r="H92">
        <v>2</v>
      </c>
      <c r="I92" t="s">
        <v>957</v>
      </c>
      <c r="J92" t="s">
        <v>958</v>
      </c>
      <c r="K92" t="s">
        <v>959</v>
      </c>
      <c r="L92">
        <v>1368</v>
      </c>
      <c r="N92">
        <v>1011</v>
      </c>
      <c r="O92" t="s">
        <v>824</v>
      </c>
      <c r="P92" t="s">
        <v>824</v>
      </c>
      <c r="Q92">
        <v>1</v>
      </c>
      <c r="X92">
        <v>1.06</v>
      </c>
      <c r="Y92">
        <v>0</v>
      </c>
      <c r="Z92">
        <v>120.04</v>
      </c>
      <c r="AA92">
        <v>13.5</v>
      </c>
      <c r="AB92">
        <v>0</v>
      </c>
      <c r="AC92">
        <v>0</v>
      </c>
      <c r="AD92">
        <v>1</v>
      </c>
      <c r="AE92">
        <v>0</v>
      </c>
      <c r="AF92" t="s">
        <v>48</v>
      </c>
      <c r="AG92">
        <v>1.0017</v>
      </c>
      <c r="AH92">
        <v>2</v>
      </c>
      <c r="AI92">
        <v>68990966</v>
      </c>
      <c r="AJ92">
        <v>83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ROW(Source!A48)</f>
        <v>48</v>
      </c>
      <c r="B93">
        <v>68990967</v>
      </c>
      <c r="C93">
        <v>68990961</v>
      </c>
      <c r="D93">
        <v>64401904</v>
      </c>
      <c r="E93">
        <v>1</v>
      </c>
      <c r="F93">
        <v>1</v>
      </c>
      <c r="G93">
        <v>1</v>
      </c>
      <c r="H93">
        <v>2</v>
      </c>
      <c r="I93" t="s">
        <v>960</v>
      </c>
      <c r="J93" t="s">
        <v>961</v>
      </c>
      <c r="K93" t="s">
        <v>962</v>
      </c>
      <c r="L93">
        <v>1368</v>
      </c>
      <c r="N93">
        <v>1011</v>
      </c>
      <c r="O93" t="s">
        <v>824</v>
      </c>
      <c r="P93" t="s">
        <v>824</v>
      </c>
      <c r="Q93">
        <v>1</v>
      </c>
      <c r="X93">
        <v>0.86</v>
      </c>
      <c r="Y93">
        <v>0</v>
      </c>
      <c r="Z93">
        <v>6.9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48</v>
      </c>
      <c r="AG93">
        <v>0.81269999999999998</v>
      </c>
      <c r="AH93">
        <v>2</v>
      </c>
      <c r="AI93">
        <v>68990967</v>
      </c>
      <c r="AJ93">
        <v>84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ROW(Source!A48)</f>
        <v>48</v>
      </c>
      <c r="B94">
        <v>68990968</v>
      </c>
      <c r="C94">
        <v>68990961</v>
      </c>
      <c r="D94">
        <v>64402691</v>
      </c>
      <c r="E94">
        <v>1</v>
      </c>
      <c r="F94">
        <v>1</v>
      </c>
      <c r="G94">
        <v>1</v>
      </c>
      <c r="H94">
        <v>2</v>
      </c>
      <c r="I94" t="s">
        <v>825</v>
      </c>
      <c r="J94" t="s">
        <v>826</v>
      </c>
      <c r="K94" t="s">
        <v>827</v>
      </c>
      <c r="L94">
        <v>1368</v>
      </c>
      <c r="N94">
        <v>1011</v>
      </c>
      <c r="O94" t="s">
        <v>824</v>
      </c>
      <c r="P94" t="s">
        <v>824</v>
      </c>
      <c r="Q94">
        <v>1</v>
      </c>
      <c r="X94">
        <v>0.19</v>
      </c>
      <c r="Y94">
        <v>0</v>
      </c>
      <c r="Z94">
        <v>65.709999999999994</v>
      </c>
      <c r="AA94">
        <v>11.6</v>
      </c>
      <c r="AB94">
        <v>0</v>
      </c>
      <c r="AC94">
        <v>0</v>
      </c>
      <c r="AD94">
        <v>1</v>
      </c>
      <c r="AE94">
        <v>0</v>
      </c>
      <c r="AF94" t="s">
        <v>48</v>
      </c>
      <c r="AG94">
        <v>0.17954999999999999</v>
      </c>
      <c r="AH94">
        <v>2</v>
      </c>
      <c r="AI94">
        <v>68990968</v>
      </c>
      <c r="AJ94">
        <v>85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ROW(Source!A48)</f>
        <v>48</v>
      </c>
      <c r="B95">
        <v>68990969</v>
      </c>
      <c r="C95">
        <v>68990961</v>
      </c>
      <c r="D95">
        <v>64402844</v>
      </c>
      <c r="E95">
        <v>1</v>
      </c>
      <c r="F95">
        <v>1</v>
      </c>
      <c r="G95">
        <v>1</v>
      </c>
      <c r="H95">
        <v>2</v>
      </c>
      <c r="I95" t="s">
        <v>910</v>
      </c>
      <c r="J95" t="s">
        <v>911</v>
      </c>
      <c r="K95" t="s">
        <v>912</v>
      </c>
      <c r="L95">
        <v>1368</v>
      </c>
      <c r="N95">
        <v>1011</v>
      </c>
      <c r="O95" t="s">
        <v>824</v>
      </c>
      <c r="P95" t="s">
        <v>824</v>
      </c>
      <c r="Q95">
        <v>1</v>
      </c>
      <c r="X95">
        <v>2.2400000000000002</v>
      </c>
      <c r="Y95">
        <v>0</v>
      </c>
      <c r="Z95">
        <v>1.2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48</v>
      </c>
      <c r="AG95">
        <v>2.1168</v>
      </c>
      <c r="AH95">
        <v>2</v>
      </c>
      <c r="AI95">
        <v>68990969</v>
      </c>
      <c r="AJ95">
        <v>86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ROW(Source!A48)</f>
        <v>48</v>
      </c>
      <c r="B96">
        <v>68990970</v>
      </c>
      <c r="C96">
        <v>68990961</v>
      </c>
      <c r="D96">
        <v>64402887</v>
      </c>
      <c r="E96">
        <v>1</v>
      </c>
      <c r="F96">
        <v>1</v>
      </c>
      <c r="G96">
        <v>1</v>
      </c>
      <c r="H96">
        <v>2</v>
      </c>
      <c r="I96" t="s">
        <v>913</v>
      </c>
      <c r="J96" t="s">
        <v>914</v>
      </c>
      <c r="K96" t="s">
        <v>915</v>
      </c>
      <c r="L96">
        <v>1368</v>
      </c>
      <c r="N96">
        <v>1011</v>
      </c>
      <c r="O96" t="s">
        <v>824</v>
      </c>
      <c r="P96" t="s">
        <v>824</v>
      </c>
      <c r="Q96">
        <v>1</v>
      </c>
      <c r="X96">
        <v>4.45</v>
      </c>
      <c r="Y96">
        <v>0</v>
      </c>
      <c r="Z96">
        <v>12.31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48</v>
      </c>
      <c r="AG96">
        <v>4.2052499999999995</v>
      </c>
      <c r="AH96">
        <v>2</v>
      </c>
      <c r="AI96">
        <v>68990970</v>
      </c>
      <c r="AJ96">
        <v>87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ROW(Source!A48)</f>
        <v>48</v>
      </c>
      <c r="B97">
        <v>68990971</v>
      </c>
      <c r="C97">
        <v>68990961</v>
      </c>
      <c r="D97">
        <v>64251195</v>
      </c>
      <c r="E97">
        <v>1</v>
      </c>
      <c r="F97">
        <v>1</v>
      </c>
      <c r="G97">
        <v>1</v>
      </c>
      <c r="H97">
        <v>3</v>
      </c>
      <c r="I97" t="s">
        <v>916</v>
      </c>
      <c r="J97" t="s">
        <v>917</v>
      </c>
      <c r="K97" t="s">
        <v>918</v>
      </c>
      <c r="L97">
        <v>1339</v>
      </c>
      <c r="N97">
        <v>1007</v>
      </c>
      <c r="O97" t="s">
        <v>113</v>
      </c>
      <c r="P97" t="s">
        <v>113</v>
      </c>
      <c r="Q97">
        <v>1</v>
      </c>
      <c r="X97">
        <v>1.95</v>
      </c>
      <c r="Y97">
        <v>6.22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20</v>
      </c>
      <c r="AG97">
        <v>0</v>
      </c>
      <c r="AH97">
        <v>2</v>
      </c>
      <c r="AI97">
        <v>68990971</v>
      </c>
      <c r="AJ97">
        <v>88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ROW(Source!A48)</f>
        <v>48</v>
      </c>
      <c r="B98">
        <v>68990972</v>
      </c>
      <c r="C98">
        <v>68990961</v>
      </c>
      <c r="D98">
        <v>64251201</v>
      </c>
      <c r="E98">
        <v>1</v>
      </c>
      <c r="F98">
        <v>1</v>
      </c>
      <c r="G98">
        <v>1</v>
      </c>
      <c r="H98">
        <v>3</v>
      </c>
      <c r="I98" t="s">
        <v>919</v>
      </c>
      <c r="J98" t="s">
        <v>920</v>
      </c>
      <c r="K98" t="s">
        <v>921</v>
      </c>
      <c r="L98">
        <v>1346</v>
      </c>
      <c r="N98">
        <v>1009</v>
      </c>
      <c r="O98" t="s">
        <v>170</v>
      </c>
      <c r="P98" t="s">
        <v>170</v>
      </c>
      <c r="Q98">
        <v>1</v>
      </c>
      <c r="X98">
        <v>0.59</v>
      </c>
      <c r="Y98">
        <v>6.09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20</v>
      </c>
      <c r="AG98">
        <v>0</v>
      </c>
      <c r="AH98">
        <v>2</v>
      </c>
      <c r="AI98">
        <v>68990972</v>
      </c>
      <c r="AJ98">
        <v>89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ROW(Source!A48)</f>
        <v>48</v>
      </c>
      <c r="B99">
        <v>68990973</v>
      </c>
      <c r="C99">
        <v>68990961</v>
      </c>
      <c r="D99">
        <v>64253863</v>
      </c>
      <c r="E99">
        <v>1</v>
      </c>
      <c r="F99">
        <v>1</v>
      </c>
      <c r="G99">
        <v>1</v>
      </c>
      <c r="H99">
        <v>3</v>
      </c>
      <c r="I99" t="s">
        <v>922</v>
      </c>
      <c r="J99" t="s">
        <v>923</v>
      </c>
      <c r="K99" t="s">
        <v>924</v>
      </c>
      <c r="L99">
        <v>1346</v>
      </c>
      <c r="N99">
        <v>1009</v>
      </c>
      <c r="O99" t="s">
        <v>170</v>
      </c>
      <c r="P99" t="s">
        <v>170</v>
      </c>
      <c r="Q99">
        <v>1</v>
      </c>
      <c r="X99">
        <v>31</v>
      </c>
      <c r="Y99">
        <v>10.75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20</v>
      </c>
      <c r="AG99">
        <v>0</v>
      </c>
      <c r="AH99">
        <v>2</v>
      </c>
      <c r="AI99">
        <v>68990973</v>
      </c>
      <c r="AJ99">
        <v>90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ROW(Source!A48)</f>
        <v>48</v>
      </c>
      <c r="B100">
        <v>68990974</v>
      </c>
      <c r="C100">
        <v>68990961</v>
      </c>
      <c r="D100">
        <v>64255009</v>
      </c>
      <c r="E100">
        <v>1</v>
      </c>
      <c r="F100">
        <v>1</v>
      </c>
      <c r="G100">
        <v>1</v>
      </c>
      <c r="H100">
        <v>3</v>
      </c>
      <c r="I100" t="s">
        <v>963</v>
      </c>
      <c r="J100" t="s">
        <v>964</v>
      </c>
      <c r="K100" t="s">
        <v>965</v>
      </c>
      <c r="L100">
        <v>1346</v>
      </c>
      <c r="N100">
        <v>1009</v>
      </c>
      <c r="O100" t="s">
        <v>170</v>
      </c>
      <c r="P100" t="s">
        <v>170</v>
      </c>
      <c r="Q100">
        <v>1</v>
      </c>
      <c r="X100">
        <v>4</v>
      </c>
      <c r="Y100">
        <v>9.0399999999999991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20</v>
      </c>
      <c r="AG100">
        <v>0</v>
      </c>
      <c r="AH100">
        <v>2</v>
      </c>
      <c r="AI100">
        <v>68990974</v>
      </c>
      <c r="AJ100">
        <v>91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ROW(Source!A48)</f>
        <v>48</v>
      </c>
      <c r="B101">
        <v>68990975</v>
      </c>
      <c r="C101">
        <v>68990961</v>
      </c>
      <c r="D101">
        <v>64255112</v>
      </c>
      <c r="E101">
        <v>1</v>
      </c>
      <c r="F101">
        <v>1</v>
      </c>
      <c r="G101">
        <v>1</v>
      </c>
      <c r="H101">
        <v>3</v>
      </c>
      <c r="I101" t="s">
        <v>925</v>
      </c>
      <c r="J101" t="s">
        <v>926</v>
      </c>
      <c r="K101" t="s">
        <v>927</v>
      </c>
      <c r="L101">
        <v>1348</v>
      </c>
      <c r="N101">
        <v>1009</v>
      </c>
      <c r="O101" t="s">
        <v>71</v>
      </c>
      <c r="P101" t="s">
        <v>71</v>
      </c>
      <c r="Q101">
        <v>1000</v>
      </c>
      <c r="X101">
        <v>1.0000000000000001E-5</v>
      </c>
      <c r="Y101">
        <v>11978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20</v>
      </c>
      <c r="AG101">
        <v>0</v>
      </c>
      <c r="AH101">
        <v>2</v>
      </c>
      <c r="AI101">
        <v>68990975</v>
      </c>
      <c r="AJ101">
        <v>92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ROW(Source!A48)</f>
        <v>48</v>
      </c>
      <c r="B102">
        <v>68990976</v>
      </c>
      <c r="C102">
        <v>68990961</v>
      </c>
      <c r="D102">
        <v>64256203</v>
      </c>
      <c r="E102">
        <v>1</v>
      </c>
      <c r="F102">
        <v>1</v>
      </c>
      <c r="G102">
        <v>1</v>
      </c>
      <c r="H102">
        <v>3</v>
      </c>
      <c r="I102" t="s">
        <v>928</v>
      </c>
      <c r="J102" t="s">
        <v>929</v>
      </c>
      <c r="K102" t="s">
        <v>930</v>
      </c>
      <c r="L102">
        <v>1348</v>
      </c>
      <c r="N102">
        <v>1009</v>
      </c>
      <c r="O102" t="s">
        <v>71</v>
      </c>
      <c r="P102" t="s">
        <v>71</v>
      </c>
      <c r="Q102">
        <v>1000</v>
      </c>
      <c r="X102">
        <v>1E-4</v>
      </c>
      <c r="Y102">
        <v>37900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20</v>
      </c>
      <c r="AG102">
        <v>0</v>
      </c>
      <c r="AH102">
        <v>2</v>
      </c>
      <c r="AI102">
        <v>68990976</v>
      </c>
      <c r="AJ102">
        <v>93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ROW(Source!A48)</f>
        <v>48</v>
      </c>
      <c r="B103">
        <v>68990977</v>
      </c>
      <c r="C103">
        <v>68990961</v>
      </c>
      <c r="D103">
        <v>64242812</v>
      </c>
      <c r="E103">
        <v>56</v>
      </c>
      <c r="F103">
        <v>1</v>
      </c>
      <c r="G103">
        <v>1</v>
      </c>
      <c r="H103">
        <v>3</v>
      </c>
      <c r="I103" t="s">
        <v>1275</v>
      </c>
      <c r="J103" t="s">
        <v>3</v>
      </c>
      <c r="K103" t="s">
        <v>1266</v>
      </c>
      <c r="L103">
        <v>1348</v>
      </c>
      <c r="N103">
        <v>1009</v>
      </c>
      <c r="O103" t="s">
        <v>71</v>
      </c>
      <c r="P103" t="s">
        <v>71</v>
      </c>
      <c r="Q103">
        <v>1000</v>
      </c>
      <c r="X103">
        <v>1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 t="s">
        <v>20</v>
      </c>
      <c r="AG103">
        <v>0</v>
      </c>
      <c r="AH103">
        <v>3</v>
      </c>
      <c r="AI103">
        <v>-1</v>
      </c>
      <c r="AJ103" t="s">
        <v>3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ROW(Source!A48)</f>
        <v>48</v>
      </c>
      <c r="B104">
        <v>68990978</v>
      </c>
      <c r="C104">
        <v>68990961</v>
      </c>
      <c r="D104">
        <v>64269842</v>
      </c>
      <c r="E104">
        <v>1</v>
      </c>
      <c r="F104">
        <v>1</v>
      </c>
      <c r="G104">
        <v>1</v>
      </c>
      <c r="H104">
        <v>3</v>
      </c>
      <c r="I104" t="s">
        <v>931</v>
      </c>
      <c r="J104" t="s">
        <v>932</v>
      </c>
      <c r="K104" t="s">
        <v>933</v>
      </c>
      <c r="L104">
        <v>1348</v>
      </c>
      <c r="N104">
        <v>1009</v>
      </c>
      <c r="O104" t="s">
        <v>71</v>
      </c>
      <c r="P104" t="s">
        <v>71</v>
      </c>
      <c r="Q104">
        <v>1000</v>
      </c>
      <c r="X104">
        <v>5.0000000000000001E-3</v>
      </c>
      <c r="Y104">
        <v>7712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20</v>
      </c>
      <c r="AG104">
        <v>0</v>
      </c>
      <c r="AH104">
        <v>2</v>
      </c>
      <c r="AI104">
        <v>68990978</v>
      </c>
      <c r="AJ104">
        <v>94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ROW(Source!A48)</f>
        <v>48</v>
      </c>
      <c r="B105">
        <v>68990979</v>
      </c>
      <c r="C105">
        <v>68990961</v>
      </c>
      <c r="D105">
        <v>64271871</v>
      </c>
      <c r="E105">
        <v>1</v>
      </c>
      <c r="F105">
        <v>1</v>
      </c>
      <c r="G105">
        <v>1</v>
      </c>
      <c r="H105">
        <v>3</v>
      </c>
      <c r="I105" t="s">
        <v>934</v>
      </c>
      <c r="J105" t="s">
        <v>935</v>
      </c>
      <c r="K105" t="s">
        <v>936</v>
      </c>
      <c r="L105">
        <v>1302</v>
      </c>
      <c r="N105">
        <v>1003</v>
      </c>
      <c r="O105" t="s">
        <v>395</v>
      </c>
      <c r="P105" t="s">
        <v>395</v>
      </c>
      <c r="Q105">
        <v>10</v>
      </c>
      <c r="X105">
        <v>1.8700000000000001E-2</v>
      </c>
      <c r="Y105">
        <v>50.24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20</v>
      </c>
      <c r="AG105">
        <v>0</v>
      </c>
      <c r="AH105">
        <v>2</v>
      </c>
      <c r="AI105">
        <v>68990979</v>
      </c>
      <c r="AJ105">
        <v>95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ROW(Source!A48)</f>
        <v>48</v>
      </c>
      <c r="B106">
        <v>68990980</v>
      </c>
      <c r="C106">
        <v>68990961</v>
      </c>
      <c r="D106">
        <v>64272226</v>
      </c>
      <c r="E106">
        <v>1</v>
      </c>
      <c r="F106">
        <v>1</v>
      </c>
      <c r="G106">
        <v>1</v>
      </c>
      <c r="H106">
        <v>3</v>
      </c>
      <c r="I106" t="s">
        <v>937</v>
      </c>
      <c r="J106" t="s">
        <v>938</v>
      </c>
      <c r="K106" t="s">
        <v>939</v>
      </c>
      <c r="L106">
        <v>1348</v>
      </c>
      <c r="N106">
        <v>1009</v>
      </c>
      <c r="O106" t="s">
        <v>71</v>
      </c>
      <c r="P106" t="s">
        <v>71</v>
      </c>
      <c r="Q106">
        <v>1000</v>
      </c>
      <c r="X106">
        <v>3.0000000000000001E-5</v>
      </c>
      <c r="Y106">
        <v>4455.2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20</v>
      </c>
      <c r="AG106">
        <v>0</v>
      </c>
      <c r="AH106">
        <v>2</v>
      </c>
      <c r="AI106">
        <v>68990980</v>
      </c>
      <c r="AJ106">
        <v>96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ROW(Source!A48)</f>
        <v>48</v>
      </c>
      <c r="B107">
        <v>68990981</v>
      </c>
      <c r="C107">
        <v>68990961</v>
      </c>
      <c r="D107">
        <v>64272954</v>
      </c>
      <c r="E107">
        <v>1</v>
      </c>
      <c r="F107">
        <v>1</v>
      </c>
      <c r="G107">
        <v>1</v>
      </c>
      <c r="H107">
        <v>3</v>
      </c>
      <c r="I107" t="s">
        <v>940</v>
      </c>
      <c r="J107" t="s">
        <v>941</v>
      </c>
      <c r="K107" t="s">
        <v>942</v>
      </c>
      <c r="L107">
        <v>1348</v>
      </c>
      <c r="N107">
        <v>1009</v>
      </c>
      <c r="O107" t="s">
        <v>71</v>
      </c>
      <c r="P107" t="s">
        <v>71</v>
      </c>
      <c r="Q107">
        <v>1000</v>
      </c>
      <c r="X107">
        <v>1.9400000000000001E-3</v>
      </c>
      <c r="Y107">
        <v>4920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20</v>
      </c>
      <c r="AG107">
        <v>0</v>
      </c>
      <c r="AH107">
        <v>2</v>
      </c>
      <c r="AI107">
        <v>68990981</v>
      </c>
      <c r="AJ107">
        <v>97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ROW(Source!A48)</f>
        <v>48</v>
      </c>
      <c r="B108">
        <v>68990982</v>
      </c>
      <c r="C108">
        <v>68990961</v>
      </c>
      <c r="D108">
        <v>64276263</v>
      </c>
      <c r="E108">
        <v>1</v>
      </c>
      <c r="F108">
        <v>1</v>
      </c>
      <c r="G108">
        <v>1</v>
      </c>
      <c r="H108">
        <v>3</v>
      </c>
      <c r="I108" t="s">
        <v>943</v>
      </c>
      <c r="J108" t="s">
        <v>944</v>
      </c>
      <c r="K108" t="s">
        <v>945</v>
      </c>
      <c r="L108">
        <v>1339</v>
      </c>
      <c r="N108">
        <v>1007</v>
      </c>
      <c r="O108" t="s">
        <v>113</v>
      </c>
      <c r="P108" t="s">
        <v>113</v>
      </c>
      <c r="Q108">
        <v>1</v>
      </c>
      <c r="X108">
        <v>1.0300000000000001E-3</v>
      </c>
      <c r="Y108">
        <v>1700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20</v>
      </c>
      <c r="AG108">
        <v>0</v>
      </c>
      <c r="AH108">
        <v>2</v>
      </c>
      <c r="AI108">
        <v>68990982</v>
      </c>
      <c r="AJ108">
        <v>98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ROW(Source!A48)</f>
        <v>48</v>
      </c>
      <c r="B109">
        <v>68990983</v>
      </c>
      <c r="C109">
        <v>68990961</v>
      </c>
      <c r="D109">
        <v>64283919</v>
      </c>
      <c r="E109">
        <v>1</v>
      </c>
      <c r="F109">
        <v>1</v>
      </c>
      <c r="G109">
        <v>1</v>
      </c>
      <c r="H109">
        <v>3</v>
      </c>
      <c r="I109" t="s">
        <v>946</v>
      </c>
      <c r="J109" t="s">
        <v>947</v>
      </c>
      <c r="K109" t="s">
        <v>948</v>
      </c>
      <c r="L109">
        <v>1348</v>
      </c>
      <c r="N109">
        <v>1009</v>
      </c>
      <c r="O109" t="s">
        <v>71</v>
      </c>
      <c r="P109" t="s">
        <v>71</v>
      </c>
      <c r="Q109">
        <v>1000</v>
      </c>
      <c r="X109">
        <v>3.1E-4</v>
      </c>
      <c r="Y109">
        <v>15620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20</v>
      </c>
      <c r="AG109">
        <v>0</v>
      </c>
      <c r="AH109">
        <v>2</v>
      </c>
      <c r="AI109">
        <v>68990983</v>
      </c>
      <c r="AJ109">
        <v>99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ROW(Source!A48)</f>
        <v>48</v>
      </c>
      <c r="B110">
        <v>68990984</v>
      </c>
      <c r="C110">
        <v>68990961</v>
      </c>
      <c r="D110">
        <v>64285060</v>
      </c>
      <c r="E110">
        <v>1</v>
      </c>
      <c r="F110">
        <v>1</v>
      </c>
      <c r="G110">
        <v>1</v>
      </c>
      <c r="H110">
        <v>3</v>
      </c>
      <c r="I110" t="s">
        <v>949</v>
      </c>
      <c r="J110" t="s">
        <v>950</v>
      </c>
      <c r="K110" t="s">
        <v>951</v>
      </c>
      <c r="L110">
        <v>1346</v>
      </c>
      <c r="N110">
        <v>1009</v>
      </c>
      <c r="O110" t="s">
        <v>170</v>
      </c>
      <c r="P110" t="s">
        <v>170</v>
      </c>
      <c r="Q110">
        <v>1</v>
      </c>
      <c r="X110">
        <v>0.6</v>
      </c>
      <c r="Y110">
        <v>9.42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20</v>
      </c>
      <c r="AG110">
        <v>0</v>
      </c>
      <c r="AH110">
        <v>2</v>
      </c>
      <c r="AI110">
        <v>68990984</v>
      </c>
      <c r="AJ110">
        <v>100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ROW(Source!A49)</f>
        <v>49</v>
      </c>
      <c r="B111">
        <v>68990987</v>
      </c>
      <c r="C111">
        <v>68990986</v>
      </c>
      <c r="D111">
        <v>64241025</v>
      </c>
      <c r="E111">
        <v>56</v>
      </c>
      <c r="F111">
        <v>1</v>
      </c>
      <c r="G111">
        <v>1</v>
      </c>
      <c r="H111">
        <v>1</v>
      </c>
      <c r="I111" t="s">
        <v>816</v>
      </c>
      <c r="J111" t="s">
        <v>3</v>
      </c>
      <c r="K111" t="s">
        <v>817</v>
      </c>
      <c r="L111">
        <v>1191</v>
      </c>
      <c r="N111">
        <v>1013</v>
      </c>
      <c r="O111" t="s">
        <v>818</v>
      </c>
      <c r="P111" t="s">
        <v>818</v>
      </c>
      <c r="Q111">
        <v>1</v>
      </c>
      <c r="X111">
        <v>1.1100000000000001</v>
      </c>
      <c r="Y111">
        <v>0</v>
      </c>
      <c r="Z111">
        <v>0</v>
      </c>
      <c r="AA111">
        <v>0</v>
      </c>
      <c r="AB111">
        <v>9.92</v>
      </c>
      <c r="AC111">
        <v>0</v>
      </c>
      <c r="AD111">
        <v>1</v>
      </c>
      <c r="AE111">
        <v>1</v>
      </c>
      <c r="AF111" t="s">
        <v>48</v>
      </c>
      <c r="AG111">
        <v>1.04895</v>
      </c>
      <c r="AH111">
        <v>2</v>
      </c>
      <c r="AI111">
        <v>68990987</v>
      </c>
      <c r="AJ111">
        <v>101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ROW(Source!A49)</f>
        <v>49</v>
      </c>
      <c r="B112">
        <v>68990988</v>
      </c>
      <c r="C112">
        <v>68990986</v>
      </c>
      <c r="D112">
        <v>64402901</v>
      </c>
      <c r="E112">
        <v>1</v>
      </c>
      <c r="F112">
        <v>1</v>
      </c>
      <c r="G112">
        <v>1</v>
      </c>
      <c r="H112">
        <v>2</v>
      </c>
      <c r="I112" t="s">
        <v>862</v>
      </c>
      <c r="J112" t="s">
        <v>863</v>
      </c>
      <c r="K112" t="s">
        <v>864</v>
      </c>
      <c r="L112">
        <v>1368</v>
      </c>
      <c r="N112">
        <v>1011</v>
      </c>
      <c r="O112" t="s">
        <v>824</v>
      </c>
      <c r="P112" t="s">
        <v>824</v>
      </c>
      <c r="Q112">
        <v>1</v>
      </c>
      <c r="X112">
        <v>0.26</v>
      </c>
      <c r="Y112">
        <v>0</v>
      </c>
      <c r="Z112">
        <v>8.1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48</v>
      </c>
      <c r="AG112">
        <v>0.2457</v>
      </c>
      <c r="AH112">
        <v>2</v>
      </c>
      <c r="AI112">
        <v>68990988</v>
      </c>
      <c r="AJ112">
        <v>102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ROW(Source!A49)</f>
        <v>49</v>
      </c>
      <c r="B113">
        <v>68990989</v>
      </c>
      <c r="C113">
        <v>68990986</v>
      </c>
      <c r="D113">
        <v>64241277</v>
      </c>
      <c r="E113">
        <v>56</v>
      </c>
      <c r="F113">
        <v>1</v>
      </c>
      <c r="G113">
        <v>1</v>
      </c>
      <c r="H113">
        <v>3</v>
      </c>
      <c r="I113" t="s">
        <v>1276</v>
      </c>
      <c r="J113" t="s">
        <v>3</v>
      </c>
      <c r="K113" t="s">
        <v>1277</v>
      </c>
      <c r="L113">
        <v>1371</v>
      </c>
      <c r="N113">
        <v>1013</v>
      </c>
      <c r="O113" t="s">
        <v>29</v>
      </c>
      <c r="P113" t="s">
        <v>29</v>
      </c>
      <c r="Q113">
        <v>1</v>
      </c>
      <c r="X113">
        <v>1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 t="s">
        <v>20</v>
      </c>
      <c r="AG113">
        <v>0</v>
      </c>
      <c r="AH113">
        <v>3</v>
      </c>
      <c r="AI113">
        <v>-1</v>
      </c>
      <c r="AJ113" t="s">
        <v>3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ROW(Source!A49)</f>
        <v>49</v>
      </c>
      <c r="B114">
        <v>68990990</v>
      </c>
      <c r="C114">
        <v>68990986</v>
      </c>
      <c r="D114">
        <v>64253859</v>
      </c>
      <c r="E114">
        <v>1</v>
      </c>
      <c r="F114">
        <v>1</v>
      </c>
      <c r="G114">
        <v>1</v>
      </c>
      <c r="H114">
        <v>3</v>
      </c>
      <c r="I114" t="s">
        <v>865</v>
      </c>
      <c r="J114" t="s">
        <v>866</v>
      </c>
      <c r="K114" t="s">
        <v>867</v>
      </c>
      <c r="L114">
        <v>1348</v>
      </c>
      <c r="N114">
        <v>1009</v>
      </c>
      <c r="O114" t="s">
        <v>71</v>
      </c>
      <c r="P114" t="s">
        <v>71</v>
      </c>
      <c r="Q114">
        <v>1000</v>
      </c>
      <c r="X114">
        <v>6.9999999999999994E-5</v>
      </c>
      <c r="Y114">
        <v>10315.01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20</v>
      </c>
      <c r="AG114">
        <v>0</v>
      </c>
      <c r="AH114">
        <v>2</v>
      </c>
      <c r="AI114">
        <v>68990990</v>
      </c>
      <c r="AJ114">
        <v>103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ROW(Source!A49)</f>
        <v>49</v>
      </c>
      <c r="B115">
        <v>68990991</v>
      </c>
      <c r="C115">
        <v>68990986</v>
      </c>
      <c r="D115">
        <v>64255051</v>
      </c>
      <c r="E115">
        <v>1</v>
      </c>
      <c r="F115">
        <v>1</v>
      </c>
      <c r="G115">
        <v>1</v>
      </c>
      <c r="H115">
        <v>3</v>
      </c>
      <c r="I115" t="s">
        <v>966</v>
      </c>
      <c r="J115" t="s">
        <v>967</v>
      </c>
      <c r="K115" t="s">
        <v>968</v>
      </c>
      <c r="L115">
        <v>1425</v>
      </c>
      <c r="N115">
        <v>1013</v>
      </c>
      <c r="O115" t="s">
        <v>18</v>
      </c>
      <c r="P115" t="s">
        <v>18</v>
      </c>
      <c r="Q115">
        <v>1</v>
      </c>
      <c r="X115">
        <v>0.08</v>
      </c>
      <c r="Y115">
        <v>20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20</v>
      </c>
      <c r="AG115">
        <v>0</v>
      </c>
      <c r="AH115">
        <v>2</v>
      </c>
      <c r="AI115">
        <v>68990991</v>
      </c>
      <c r="AJ115">
        <v>104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ROW(Source!A50)</f>
        <v>50</v>
      </c>
      <c r="B116">
        <v>68990842</v>
      </c>
      <c r="C116">
        <v>68990835</v>
      </c>
      <c r="D116">
        <v>37066837</v>
      </c>
      <c r="E116">
        <v>56</v>
      </c>
      <c r="F116">
        <v>1</v>
      </c>
      <c r="G116">
        <v>1</v>
      </c>
      <c r="H116">
        <v>1</v>
      </c>
      <c r="I116" t="s">
        <v>969</v>
      </c>
      <c r="J116" t="s">
        <v>3</v>
      </c>
      <c r="K116" t="s">
        <v>970</v>
      </c>
      <c r="L116">
        <v>1191</v>
      </c>
      <c r="N116">
        <v>1013</v>
      </c>
      <c r="O116" t="s">
        <v>818</v>
      </c>
      <c r="P116" t="s">
        <v>818</v>
      </c>
      <c r="Q116">
        <v>1</v>
      </c>
      <c r="X116">
        <v>155</v>
      </c>
      <c r="Y116">
        <v>0</v>
      </c>
      <c r="Z116">
        <v>0</v>
      </c>
      <c r="AA116">
        <v>0</v>
      </c>
      <c r="AB116">
        <v>8.31</v>
      </c>
      <c r="AC116">
        <v>0</v>
      </c>
      <c r="AD116">
        <v>1</v>
      </c>
      <c r="AE116">
        <v>1</v>
      </c>
      <c r="AF116" t="s">
        <v>38</v>
      </c>
      <c r="AG116">
        <v>178.25</v>
      </c>
      <c r="AH116">
        <v>2</v>
      </c>
      <c r="AI116">
        <v>68990836</v>
      </c>
      <c r="AJ116">
        <v>105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ROW(Source!A50)</f>
        <v>50</v>
      </c>
      <c r="B117">
        <v>68990843</v>
      </c>
      <c r="C117">
        <v>68990835</v>
      </c>
      <c r="D117">
        <v>37064876</v>
      </c>
      <c r="E117">
        <v>56</v>
      </c>
      <c r="F117">
        <v>1</v>
      </c>
      <c r="G117">
        <v>1</v>
      </c>
      <c r="H117">
        <v>1</v>
      </c>
      <c r="I117" t="s">
        <v>819</v>
      </c>
      <c r="J117" t="s">
        <v>3</v>
      </c>
      <c r="K117" t="s">
        <v>820</v>
      </c>
      <c r="L117">
        <v>1191</v>
      </c>
      <c r="N117">
        <v>1013</v>
      </c>
      <c r="O117" t="s">
        <v>818</v>
      </c>
      <c r="P117" t="s">
        <v>818</v>
      </c>
      <c r="Q117">
        <v>1</v>
      </c>
      <c r="X117">
        <v>39.049999999999997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2</v>
      </c>
      <c r="AF117" t="s">
        <v>38</v>
      </c>
      <c r="AG117">
        <v>44.907499999999992</v>
      </c>
      <c r="AH117">
        <v>2</v>
      </c>
      <c r="AI117">
        <v>68990837</v>
      </c>
      <c r="AJ117">
        <v>106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ROW(Source!A50)</f>
        <v>50</v>
      </c>
      <c r="B118">
        <v>68990844</v>
      </c>
      <c r="C118">
        <v>68990835</v>
      </c>
      <c r="D118">
        <v>64401227</v>
      </c>
      <c r="E118">
        <v>1</v>
      </c>
      <c r="F118">
        <v>1</v>
      </c>
      <c r="G118">
        <v>1</v>
      </c>
      <c r="H118">
        <v>2</v>
      </c>
      <c r="I118" t="s">
        <v>971</v>
      </c>
      <c r="J118" t="s">
        <v>972</v>
      </c>
      <c r="K118" t="s">
        <v>973</v>
      </c>
      <c r="L118">
        <v>1368</v>
      </c>
      <c r="N118">
        <v>1011</v>
      </c>
      <c r="O118" t="s">
        <v>824</v>
      </c>
      <c r="P118" t="s">
        <v>824</v>
      </c>
      <c r="Q118">
        <v>1</v>
      </c>
      <c r="X118">
        <v>1.55</v>
      </c>
      <c r="Y118">
        <v>0</v>
      </c>
      <c r="Z118">
        <v>123</v>
      </c>
      <c r="AA118">
        <v>13.5</v>
      </c>
      <c r="AB118">
        <v>0</v>
      </c>
      <c r="AC118">
        <v>0</v>
      </c>
      <c r="AD118">
        <v>1</v>
      </c>
      <c r="AE118">
        <v>0</v>
      </c>
      <c r="AF118" t="s">
        <v>38</v>
      </c>
      <c r="AG118">
        <v>1.7825</v>
      </c>
      <c r="AH118">
        <v>2</v>
      </c>
      <c r="AI118">
        <v>68990838</v>
      </c>
      <c r="AJ118">
        <v>107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ROW(Source!A50)</f>
        <v>50</v>
      </c>
      <c r="B119">
        <v>68990845</v>
      </c>
      <c r="C119">
        <v>68990835</v>
      </c>
      <c r="D119">
        <v>64402586</v>
      </c>
      <c r="E119">
        <v>1</v>
      </c>
      <c r="F119">
        <v>1</v>
      </c>
      <c r="G119">
        <v>1</v>
      </c>
      <c r="H119">
        <v>2</v>
      </c>
      <c r="I119" t="s">
        <v>974</v>
      </c>
      <c r="J119" t="s">
        <v>975</v>
      </c>
      <c r="K119" t="s">
        <v>976</v>
      </c>
      <c r="L119">
        <v>1368</v>
      </c>
      <c r="N119">
        <v>1011</v>
      </c>
      <c r="O119" t="s">
        <v>824</v>
      </c>
      <c r="P119" t="s">
        <v>824</v>
      </c>
      <c r="Q119">
        <v>1</v>
      </c>
      <c r="X119">
        <v>1.29</v>
      </c>
      <c r="Y119">
        <v>0</v>
      </c>
      <c r="Z119">
        <v>8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38</v>
      </c>
      <c r="AG119">
        <v>1.4834999999999998</v>
      </c>
      <c r="AH119">
        <v>2</v>
      </c>
      <c r="AI119">
        <v>68990839</v>
      </c>
      <c r="AJ119">
        <v>108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ROW(Source!A50)</f>
        <v>50</v>
      </c>
      <c r="B120">
        <v>68990846</v>
      </c>
      <c r="C120">
        <v>68990835</v>
      </c>
      <c r="D120">
        <v>64402914</v>
      </c>
      <c r="E120">
        <v>1</v>
      </c>
      <c r="F120">
        <v>1</v>
      </c>
      <c r="G120">
        <v>1</v>
      </c>
      <c r="H120">
        <v>2</v>
      </c>
      <c r="I120" t="s">
        <v>977</v>
      </c>
      <c r="J120" t="s">
        <v>978</v>
      </c>
      <c r="K120" t="s">
        <v>979</v>
      </c>
      <c r="L120">
        <v>1368</v>
      </c>
      <c r="N120">
        <v>1011</v>
      </c>
      <c r="O120" t="s">
        <v>824</v>
      </c>
      <c r="P120" t="s">
        <v>824</v>
      </c>
      <c r="Q120">
        <v>1</v>
      </c>
      <c r="X120">
        <v>37.5</v>
      </c>
      <c r="Y120">
        <v>0</v>
      </c>
      <c r="Z120">
        <v>90</v>
      </c>
      <c r="AA120">
        <v>10.06</v>
      </c>
      <c r="AB120">
        <v>0</v>
      </c>
      <c r="AC120">
        <v>0</v>
      </c>
      <c r="AD120">
        <v>1</v>
      </c>
      <c r="AE120">
        <v>0</v>
      </c>
      <c r="AF120" t="s">
        <v>38</v>
      </c>
      <c r="AG120">
        <v>43.125</v>
      </c>
      <c r="AH120">
        <v>2</v>
      </c>
      <c r="AI120">
        <v>68990840</v>
      </c>
      <c r="AJ120">
        <v>109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ROW(Source!A50)</f>
        <v>50</v>
      </c>
      <c r="B121">
        <v>68990847</v>
      </c>
      <c r="C121">
        <v>68990835</v>
      </c>
      <c r="D121">
        <v>64403375</v>
      </c>
      <c r="E121">
        <v>1</v>
      </c>
      <c r="F121">
        <v>1</v>
      </c>
      <c r="G121">
        <v>1</v>
      </c>
      <c r="H121">
        <v>2</v>
      </c>
      <c r="I121" t="s">
        <v>889</v>
      </c>
      <c r="J121" t="s">
        <v>890</v>
      </c>
      <c r="K121" t="s">
        <v>891</v>
      </c>
      <c r="L121">
        <v>1368</v>
      </c>
      <c r="N121">
        <v>1011</v>
      </c>
      <c r="O121" t="s">
        <v>824</v>
      </c>
      <c r="P121" t="s">
        <v>824</v>
      </c>
      <c r="Q121">
        <v>1</v>
      </c>
      <c r="X121">
        <v>75</v>
      </c>
      <c r="Y121">
        <v>0</v>
      </c>
      <c r="Z121">
        <v>1.53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38</v>
      </c>
      <c r="AG121">
        <v>86.25</v>
      </c>
      <c r="AH121">
        <v>2</v>
      </c>
      <c r="AI121">
        <v>68990841</v>
      </c>
      <c r="AJ121">
        <v>110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ROW(Source!A52)</f>
        <v>52</v>
      </c>
      <c r="B122">
        <v>68991083</v>
      </c>
      <c r="C122">
        <v>68991082</v>
      </c>
      <c r="D122">
        <v>64240937</v>
      </c>
      <c r="E122">
        <v>56</v>
      </c>
      <c r="F122">
        <v>1</v>
      </c>
      <c r="G122">
        <v>1</v>
      </c>
      <c r="H122">
        <v>1</v>
      </c>
      <c r="I122" t="s">
        <v>892</v>
      </c>
      <c r="J122" t="s">
        <v>3</v>
      </c>
      <c r="K122" t="s">
        <v>893</v>
      </c>
      <c r="L122">
        <v>1191</v>
      </c>
      <c r="N122">
        <v>1013</v>
      </c>
      <c r="O122" t="s">
        <v>818</v>
      </c>
      <c r="P122" t="s">
        <v>818</v>
      </c>
      <c r="Q122">
        <v>1</v>
      </c>
      <c r="X122">
        <v>154</v>
      </c>
      <c r="Y122">
        <v>0</v>
      </c>
      <c r="Z122">
        <v>0</v>
      </c>
      <c r="AA122">
        <v>0</v>
      </c>
      <c r="AB122">
        <v>7.8</v>
      </c>
      <c r="AC122">
        <v>0</v>
      </c>
      <c r="AD122">
        <v>1</v>
      </c>
      <c r="AE122">
        <v>1</v>
      </c>
      <c r="AF122" t="s">
        <v>147</v>
      </c>
      <c r="AG122">
        <v>239.08500000000001</v>
      </c>
      <c r="AH122">
        <v>2</v>
      </c>
      <c r="AI122">
        <v>68991083</v>
      </c>
      <c r="AJ122">
        <v>111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ROW(Source!A53)</f>
        <v>53</v>
      </c>
      <c r="B123">
        <v>68991120</v>
      </c>
      <c r="C123">
        <v>68991084</v>
      </c>
      <c r="D123">
        <v>64240991</v>
      </c>
      <c r="E123">
        <v>56</v>
      </c>
      <c r="F123">
        <v>1</v>
      </c>
      <c r="G123">
        <v>1</v>
      </c>
      <c r="H123">
        <v>1</v>
      </c>
      <c r="I123" t="s">
        <v>980</v>
      </c>
      <c r="J123" t="s">
        <v>3</v>
      </c>
      <c r="K123" t="s">
        <v>981</v>
      </c>
      <c r="L123">
        <v>1191</v>
      </c>
      <c r="N123">
        <v>1013</v>
      </c>
      <c r="O123" t="s">
        <v>818</v>
      </c>
      <c r="P123" t="s">
        <v>818</v>
      </c>
      <c r="Q123">
        <v>1</v>
      </c>
      <c r="X123">
        <v>144</v>
      </c>
      <c r="Y123">
        <v>0</v>
      </c>
      <c r="Z123">
        <v>0</v>
      </c>
      <c r="AA123">
        <v>0</v>
      </c>
      <c r="AB123">
        <v>9.07</v>
      </c>
      <c r="AC123">
        <v>0</v>
      </c>
      <c r="AD123">
        <v>1</v>
      </c>
      <c r="AE123">
        <v>1</v>
      </c>
      <c r="AF123" t="s">
        <v>147</v>
      </c>
      <c r="AG123">
        <v>223.56</v>
      </c>
      <c r="AH123">
        <v>2</v>
      </c>
      <c r="AI123">
        <v>68991120</v>
      </c>
      <c r="AJ123">
        <v>112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ROW(Source!A53)</f>
        <v>53</v>
      </c>
      <c r="B124">
        <v>68991121</v>
      </c>
      <c r="C124">
        <v>68991084</v>
      </c>
      <c r="D124">
        <v>64241154</v>
      </c>
      <c r="E124">
        <v>56</v>
      </c>
      <c r="F124">
        <v>1</v>
      </c>
      <c r="G124">
        <v>1</v>
      </c>
      <c r="H124">
        <v>1</v>
      </c>
      <c r="I124" t="s">
        <v>819</v>
      </c>
      <c r="J124" t="s">
        <v>3</v>
      </c>
      <c r="K124" t="s">
        <v>820</v>
      </c>
      <c r="L124">
        <v>1191</v>
      </c>
      <c r="N124">
        <v>1013</v>
      </c>
      <c r="O124" t="s">
        <v>818</v>
      </c>
      <c r="P124" t="s">
        <v>818</v>
      </c>
      <c r="Q124">
        <v>1</v>
      </c>
      <c r="X124">
        <v>1.34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2</v>
      </c>
      <c r="AF124" t="s">
        <v>146</v>
      </c>
      <c r="AG124">
        <v>2.2612500000000004</v>
      </c>
      <c r="AH124">
        <v>2</v>
      </c>
      <c r="AI124">
        <v>68991121</v>
      </c>
      <c r="AJ124">
        <v>113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ROW(Source!A53)</f>
        <v>53</v>
      </c>
      <c r="B125">
        <v>68991122</v>
      </c>
      <c r="C125">
        <v>68991084</v>
      </c>
      <c r="D125">
        <v>64401763</v>
      </c>
      <c r="E125">
        <v>1</v>
      </c>
      <c r="F125">
        <v>1</v>
      </c>
      <c r="G125">
        <v>1</v>
      </c>
      <c r="H125">
        <v>2</v>
      </c>
      <c r="I125" t="s">
        <v>821</v>
      </c>
      <c r="J125" t="s">
        <v>822</v>
      </c>
      <c r="K125" t="s">
        <v>823</v>
      </c>
      <c r="L125">
        <v>1368</v>
      </c>
      <c r="N125">
        <v>1011</v>
      </c>
      <c r="O125" t="s">
        <v>824</v>
      </c>
      <c r="P125" t="s">
        <v>824</v>
      </c>
      <c r="Q125">
        <v>1</v>
      </c>
      <c r="X125">
        <v>0.95</v>
      </c>
      <c r="Y125">
        <v>0</v>
      </c>
      <c r="Z125">
        <v>115.4</v>
      </c>
      <c r="AA125">
        <v>13.5</v>
      </c>
      <c r="AB125">
        <v>0</v>
      </c>
      <c r="AC125">
        <v>0</v>
      </c>
      <c r="AD125">
        <v>1</v>
      </c>
      <c r="AE125">
        <v>0</v>
      </c>
      <c r="AF125" t="s">
        <v>146</v>
      </c>
      <c r="AG125">
        <v>1.6031250000000001</v>
      </c>
      <c r="AH125">
        <v>2</v>
      </c>
      <c r="AI125">
        <v>68991122</v>
      </c>
      <c r="AJ125">
        <v>114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ROW(Source!A53)</f>
        <v>53</v>
      </c>
      <c r="B126">
        <v>68991123</v>
      </c>
      <c r="C126">
        <v>68991084</v>
      </c>
      <c r="D126">
        <v>64402691</v>
      </c>
      <c r="E126">
        <v>1</v>
      </c>
      <c r="F126">
        <v>1</v>
      </c>
      <c r="G126">
        <v>1</v>
      </c>
      <c r="H126">
        <v>2</v>
      </c>
      <c r="I126" t="s">
        <v>825</v>
      </c>
      <c r="J126" t="s">
        <v>826</v>
      </c>
      <c r="K126" t="s">
        <v>827</v>
      </c>
      <c r="L126">
        <v>1368</v>
      </c>
      <c r="N126">
        <v>1011</v>
      </c>
      <c r="O126" t="s">
        <v>824</v>
      </c>
      <c r="P126" t="s">
        <v>824</v>
      </c>
      <c r="Q126">
        <v>1</v>
      </c>
      <c r="X126">
        <v>0.39</v>
      </c>
      <c r="Y126">
        <v>0</v>
      </c>
      <c r="Z126">
        <v>65.709999999999994</v>
      </c>
      <c r="AA126">
        <v>11.6</v>
      </c>
      <c r="AB126">
        <v>0</v>
      </c>
      <c r="AC126">
        <v>0</v>
      </c>
      <c r="AD126">
        <v>1</v>
      </c>
      <c r="AE126">
        <v>0</v>
      </c>
      <c r="AF126" t="s">
        <v>146</v>
      </c>
      <c r="AG126">
        <v>0.65812500000000007</v>
      </c>
      <c r="AH126">
        <v>2</v>
      </c>
      <c r="AI126">
        <v>68991123</v>
      </c>
      <c r="AJ126">
        <v>115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ROW(Source!A53)</f>
        <v>53</v>
      </c>
      <c r="B127">
        <v>68991124</v>
      </c>
      <c r="C127">
        <v>68991084</v>
      </c>
      <c r="D127">
        <v>64403389</v>
      </c>
      <c r="E127">
        <v>1</v>
      </c>
      <c r="F127">
        <v>1</v>
      </c>
      <c r="G127">
        <v>1</v>
      </c>
      <c r="H127">
        <v>2</v>
      </c>
      <c r="I127" t="s">
        <v>982</v>
      </c>
      <c r="J127" t="s">
        <v>983</v>
      </c>
      <c r="K127" t="s">
        <v>984</v>
      </c>
      <c r="L127">
        <v>1368</v>
      </c>
      <c r="N127">
        <v>1011</v>
      </c>
      <c r="O127" t="s">
        <v>824</v>
      </c>
      <c r="P127" t="s">
        <v>824</v>
      </c>
      <c r="Q127">
        <v>1</v>
      </c>
      <c r="X127">
        <v>0.1</v>
      </c>
      <c r="Y127">
        <v>0</v>
      </c>
      <c r="Z127">
        <v>33.590000000000003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146</v>
      </c>
      <c r="AG127">
        <v>0.16875000000000001</v>
      </c>
      <c r="AH127">
        <v>2</v>
      </c>
      <c r="AI127">
        <v>68991124</v>
      </c>
      <c r="AJ127">
        <v>116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ROW(Source!A53)</f>
        <v>53</v>
      </c>
      <c r="B128">
        <v>68991125</v>
      </c>
      <c r="C128">
        <v>68991084</v>
      </c>
      <c r="D128">
        <v>64252235</v>
      </c>
      <c r="E128">
        <v>1</v>
      </c>
      <c r="F128">
        <v>1</v>
      </c>
      <c r="G128">
        <v>1</v>
      </c>
      <c r="H128">
        <v>3</v>
      </c>
      <c r="I128" t="s">
        <v>985</v>
      </c>
      <c r="J128" t="s">
        <v>986</v>
      </c>
      <c r="K128" t="s">
        <v>987</v>
      </c>
      <c r="L128">
        <v>1327</v>
      </c>
      <c r="N128">
        <v>1005</v>
      </c>
      <c r="O128" t="s">
        <v>46</v>
      </c>
      <c r="P128" t="s">
        <v>46</v>
      </c>
      <c r="Q128">
        <v>1</v>
      </c>
      <c r="X128">
        <v>421</v>
      </c>
      <c r="Y128">
        <v>23.52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3</v>
      </c>
      <c r="AG128">
        <v>421</v>
      </c>
      <c r="AH128">
        <v>2</v>
      </c>
      <c r="AI128">
        <v>68991125</v>
      </c>
      <c r="AJ128">
        <v>117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ROW(Source!A53)</f>
        <v>53</v>
      </c>
      <c r="B129">
        <v>68991126</v>
      </c>
      <c r="C129">
        <v>68991084</v>
      </c>
      <c r="D129">
        <v>64252759</v>
      </c>
      <c r="E129">
        <v>1</v>
      </c>
      <c r="F129">
        <v>1</v>
      </c>
      <c r="G129">
        <v>1</v>
      </c>
      <c r="H129">
        <v>3</v>
      </c>
      <c r="I129" t="s">
        <v>988</v>
      </c>
      <c r="J129" t="s">
        <v>989</v>
      </c>
      <c r="K129" t="s">
        <v>990</v>
      </c>
      <c r="L129">
        <v>1339</v>
      </c>
      <c r="N129">
        <v>1007</v>
      </c>
      <c r="O129" t="s">
        <v>113</v>
      </c>
      <c r="P129" t="s">
        <v>113</v>
      </c>
      <c r="Q129">
        <v>1</v>
      </c>
      <c r="X129">
        <v>0.14299999999999999</v>
      </c>
      <c r="Y129">
        <v>2.44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3</v>
      </c>
      <c r="AG129">
        <v>0.14299999999999999</v>
      </c>
      <c r="AH129">
        <v>2</v>
      </c>
      <c r="AI129">
        <v>68991126</v>
      </c>
      <c r="AJ129">
        <v>118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ROW(Source!A53)</f>
        <v>53</v>
      </c>
      <c r="B130">
        <v>68991127</v>
      </c>
      <c r="C130">
        <v>68991084</v>
      </c>
      <c r="D130">
        <v>64253001</v>
      </c>
      <c r="E130">
        <v>1</v>
      </c>
      <c r="F130">
        <v>1</v>
      </c>
      <c r="G130">
        <v>1</v>
      </c>
      <c r="H130">
        <v>3</v>
      </c>
      <c r="I130" t="s">
        <v>991</v>
      </c>
      <c r="J130" t="s">
        <v>992</v>
      </c>
      <c r="K130" t="s">
        <v>993</v>
      </c>
      <c r="L130">
        <v>1301</v>
      </c>
      <c r="N130">
        <v>1003</v>
      </c>
      <c r="O130" t="s">
        <v>379</v>
      </c>
      <c r="P130" t="s">
        <v>379</v>
      </c>
      <c r="Q130">
        <v>1</v>
      </c>
      <c r="X130">
        <v>126</v>
      </c>
      <c r="Y130">
        <v>0.6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3</v>
      </c>
      <c r="AG130">
        <v>126</v>
      </c>
      <c r="AH130">
        <v>2</v>
      </c>
      <c r="AI130">
        <v>68991127</v>
      </c>
      <c r="AJ130">
        <v>119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ROW(Source!A53)</f>
        <v>53</v>
      </c>
      <c r="B131">
        <v>68991128</v>
      </c>
      <c r="C131">
        <v>68991084</v>
      </c>
      <c r="D131">
        <v>64253029</v>
      </c>
      <c r="E131">
        <v>1</v>
      </c>
      <c r="F131">
        <v>1</v>
      </c>
      <c r="G131">
        <v>1</v>
      </c>
      <c r="H131">
        <v>3</v>
      </c>
      <c r="I131" t="s">
        <v>994</v>
      </c>
      <c r="J131" t="s">
        <v>995</v>
      </c>
      <c r="K131" t="s">
        <v>996</v>
      </c>
      <c r="L131">
        <v>1301</v>
      </c>
      <c r="N131">
        <v>1003</v>
      </c>
      <c r="O131" t="s">
        <v>379</v>
      </c>
      <c r="P131" t="s">
        <v>379</v>
      </c>
      <c r="Q131">
        <v>1</v>
      </c>
      <c r="X131">
        <v>227</v>
      </c>
      <c r="Y131">
        <v>0.17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3</v>
      </c>
      <c r="AG131">
        <v>227</v>
      </c>
      <c r="AH131">
        <v>2</v>
      </c>
      <c r="AI131">
        <v>68991128</v>
      </c>
      <c r="AJ131">
        <v>120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ROW(Source!A53)</f>
        <v>53</v>
      </c>
      <c r="B132">
        <v>68991129</v>
      </c>
      <c r="C132">
        <v>68991084</v>
      </c>
      <c r="D132">
        <v>64253034</v>
      </c>
      <c r="E132">
        <v>1</v>
      </c>
      <c r="F132">
        <v>1</v>
      </c>
      <c r="G132">
        <v>1</v>
      </c>
      <c r="H132">
        <v>3</v>
      </c>
      <c r="I132" t="s">
        <v>997</v>
      </c>
      <c r="J132" t="s">
        <v>998</v>
      </c>
      <c r="K132" t="s">
        <v>999</v>
      </c>
      <c r="L132">
        <v>1308</v>
      </c>
      <c r="N132">
        <v>1003</v>
      </c>
      <c r="O132" t="s">
        <v>90</v>
      </c>
      <c r="P132" t="s">
        <v>90</v>
      </c>
      <c r="Q132">
        <v>100</v>
      </c>
      <c r="X132">
        <v>1.77</v>
      </c>
      <c r="Y132">
        <v>173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3</v>
      </c>
      <c r="AG132">
        <v>1.77</v>
      </c>
      <c r="AH132">
        <v>2</v>
      </c>
      <c r="AI132">
        <v>68991129</v>
      </c>
      <c r="AJ132">
        <v>121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ROW(Source!A53)</f>
        <v>53</v>
      </c>
      <c r="B133">
        <v>68991130</v>
      </c>
      <c r="C133">
        <v>68991084</v>
      </c>
      <c r="D133">
        <v>64255223</v>
      </c>
      <c r="E133">
        <v>1</v>
      </c>
      <c r="F133">
        <v>1</v>
      </c>
      <c r="G133">
        <v>1</v>
      </c>
      <c r="H133">
        <v>3</v>
      </c>
      <c r="I133" t="s">
        <v>1000</v>
      </c>
      <c r="J133" t="s">
        <v>1001</v>
      </c>
      <c r="K133" t="s">
        <v>1002</v>
      </c>
      <c r="L133">
        <v>1425</v>
      </c>
      <c r="N133">
        <v>1013</v>
      </c>
      <c r="O133" t="s">
        <v>18</v>
      </c>
      <c r="P133" t="s">
        <v>18</v>
      </c>
      <c r="Q133">
        <v>1</v>
      </c>
      <c r="X133">
        <v>1.69</v>
      </c>
      <c r="Y133">
        <v>8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3</v>
      </c>
      <c r="AG133">
        <v>1.69</v>
      </c>
      <c r="AH133">
        <v>2</v>
      </c>
      <c r="AI133">
        <v>68991130</v>
      </c>
      <c r="AJ133">
        <v>122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ROW(Source!A53)</f>
        <v>53</v>
      </c>
      <c r="B134">
        <v>68991131</v>
      </c>
      <c r="C134">
        <v>68991084</v>
      </c>
      <c r="D134">
        <v>64255460</v>
      </c>
      <c r="E134">
        <v>1</v>
      </c>
      <c r="F134">
        <v>1</v>
      </c>
      <c r="G134">
        <v>1</v>
      </c>
      <c r="H134">
        <v>3</v>
      </c>
      <c r="I134" t="s">
        <v>1003</v>
      </c>
      <c r="J134" t="s">
        <v>1004</v>
      </c>
      <c r="K134" t="s">
        <v>1005</v>
      </c>
      <c r="L134">
        <v>1425</v>
      </c>
      <c r="N134">
        <v>1013</v>
      </c>
      <c r="O134" t="s">
        <v>18</v>
      </c>
      <c r="P134" t="s">
        <v>18</v>
      </c>
      <c r="Q134">
        <v>1</v>
      </c>
      <c r="X134">
        <v>13.53</v>
      </c>
      <c r="Y134">
        <v>4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3</v>
      </c>
      <c r="AG134">
        <v>13.53</v>
      </c>
      <c r="AH134">
        <v>2</v>
      </c>
      <c r="AI134">
        <v>68991131</v>
      </c>
      <c r="AJ134">
        <v>123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ROW(Source!A53)</f>
        <v>53</v>
      </c>
      <c r="B135">
        <v>68991132</v>
      </c>
      <c r="C135">
        <v>68991084</v>
      </c>
      <c r="D135">
        <v>64255461</v>
      </c>
      <c r="E135">
        <v>1</v>
      </c>
      <c r="F135">
        <v>1</v>
      </c>
      <c r="G135">
        <v>1</v>
      </c>
      <c r="H135">
        <v>3</v>
      </c>
      <c r="I135" t="s">
        <v>1006</v>
      </c>
      <c r="J135" t="s">
        <v>1007</v>
      </c>
      <c r="K135" t="s">
        <v>1008</v>
      </c>
      <c r="L135">
        <v>1425</v>
      </c>
      <c r="N135">
        <v>1013</v>
      </c>
      <c r="O135" t="s">
        <v>18</v>
      </c>
      <c r="P135" t="s">
        <v>18</v>
      </c>
      <c r="Q135">
        <v>1</v>
      </c>
      <c r="X135">
        <v>35.33</v>
      </c>
      <c r="Y135">
        <v>5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3</v>
      </c>
      <c r="AG135">
        <v>35.33</v>
      </c>
      <c r="AH135">
        <v>2</v>
      </c>
      <c r="AI135">
        <v>68991132</v>
      </c>
      <c r="AJ135">
        <v>124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ROW(Source!A53)</f>
        <v>53</v>
      </c>
      <c r="B136">
        <v>68991133</v>
      </c>
      <c r="C136">
        <v>68991084</v>
      </c>
      <c r="D136">
        <v>64269393</v>
      </c>
      <c r="E136">
        <v>1</v>
      </c>
      <c r="F136">
        <v>1</v>
      </c>
      <c r="G136">
        <v>1</v>
      </c>
      <c r="H136">
        <v>3</v>
      </c>
      <c r="I136" t="s">
        <v>1009</v>
      </c>
      <c r="J136" t="s">
        <v>1010</v>
      </c>
      <c r="K136" t="s">
        <v>1011</v>
      </c>
      <c r="L136">
        <v>1301</v>
      </c>
      <c r="N136">
        <v>1003</v>
      </c>
      <c r="O136" t="s">
        <v>379</v>
      </c>
      <c r="P136" t="s">
        <v>379</v>
      </c>
      <c r="Q136">
        <v>1</v>
      </c>
      <c r="X136">
        <v>76</v>
      </c>
      <c r="Y136">
        <v>6.16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3</v>
      </c>
      <c r="AG136">
        <v>76</v>
      </c>
      <c r="AH136">
        <v>2</v>
      </c>
      <c r="AI136">
        <v>68991133</v>
      </c>
      <c r="AJ136">
        <v>125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ROW(Source!A53)</f>
        <v>53</v>
      </c>
      <c r="B137">
        <v>68991134</v>
      </c>
      <c r="C137">
        <v>68991084</v>
      </c>
      <c r="D137">
        <v>64269443</v>
      </c>
      <c r="E137">
        <v>1</v>
      </c>
      <c r="F137">
        <v>1</v>
      </c>
      <c r="G137">
        <v>1</v>
      </c>
      <c r="H137">
        <v>3</v>
      </c>
      <c r="I137" t="s">
        <v>1012</v>
      </c>
      <c r="J137" t="s">
        <v>1013</v>
      </c>
      <c r="K137" t="s">
        <v>1014</v>
      </c>
      <c r="L137">
        <v>1301</v>
      </c>
      <c r="N137">
        <v>1003</v>
      </c>
      <c r="O137" t="s">
        <v>379</v>
      </c>
      <c r="P137" t="s">
        <v>379</v>
      </c>
      <c r="Q137">
        <v>1</v>
      </c>
      <c r="X137">
        <v>204</v>
      </c>
      <c r="Y137">
        <v>6.86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3</v>
      </c>
      <c r="AG137">
        <v>204</v>
      </c>
      <c r="AH137">
        <v>2</v>
      </c>
      <c r="AI137">
        <v>68991134</v>
      </c>
      <c r="AJ137">
        <v>126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ROW(Source!A53)</f>
        <v>53</v>
      </c>
      <c r="B138">
        <v>68991135</v>
      </c>
      <c r="C138">
        <v>68991084</v>
      </c>
      <c r="D138">
        <v>64243702</v>
      </c>
      <c r="E138">
        <v>56</v>
      </c>
      <c r="F138">
        <v>1</v>
      </c>
      <c r="G138">
        <v>1</v>
      </c>
      <c r="H138">
        <v>3</v>
      </c>
      <c r="I138" t="s">
        <v>1278</v>
      </c>
      <c r="J138" t="s">
        <v>3</v>
      </c>
      <c r="K138" t="s">
        <v>1279</v>
      </c>
      <c r="L138">
        <v>1327</v>
      </c>
      <c r="N138">
        <v>1005</v>
      </c>
      <c r="O138" t="s">
        <v>46</v>
      </c>
      <c r="P138" t="s">
        <v>46</v>
      </c>
      <c r="Q138">
        <v>1</v>
      </c>
      <c r="X138">
        <v>103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 t="s">
        <v>3</v>
      </c>
      <c r="AG138">
        <v>103</v>
      </c>
      <c r="AH138">
        <v>3</v>
      </c>
      <c r="AI138">
        <v>-1</v>
      </c>
      <c r="AJ138" t="s">
        <v>3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ROW(Source!A53)</f>
        <v>53</v>
      </c>
      <c r="B139">
        <v>68991136</v>
      </c>
      <c r="C139">
        <v>68991084</v>
      </c>
      <c r="D139">
        <v>64283927</v>
      </c>
      <c r="E139">
        <v>1</v>
      </c>
      <c r="F139">
        <v>1</v>
      </c>
      <c r="G139">
        <v>1</v>
      </c>
      <c r="H139">
        <v>3</v>
      </c>
      <c r="I139" t="s">
        <v>232</v>
      </c>
      <c r="J139" t="s">
        <v>1015</v>
      </c>
      <c r="K139" t="s">
        <v>1016</v>
      </c>
      <c r="L139">
        <v>1346</v>
      </c>
      <c r="N139">
        <v>1009</v>
      </c>
      <c r="O139" t="s">
        <v>170</v>
      </c>
      <c r="P139" t="s">
        <v>170</v>
      </c>
      <c r="Q139">
        <v>1</v>
      </c>
      <c r="X139">
        <v>25</v>
      </c>
      <c r="Y139">
        <v>13.08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3</v>
      </c>
      <c r="AG139">
        <v>25</v>
      </c>
      <c r="AH139">
        <v>2</v>
      </c>
      <c r="AI139">
        <v>68991136</v>
      </c>
      <c r="AJ139">
        <v>128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ROW(Source!A53)</f>
        <v>53</v>
      </c>
      <c r="B140">
        <v>68991137</v>
      </c>
      <c r="C140">
        <v>68991084</v>
      </c>
      <c r="D140">
        <v>64285139</v>
      </c>
      <c r="E140">
        <v>1</v>
      </c>
      <c r="F140">
        <v>1</v>
      </c>
      <c r="G140">
        <v>1</v>
      </c>
      <c r="H140">
        <v>3</v>
      </c>
      <c r="I140" t="s">
        <v>1017</v>
      </c>
      <c r="J140" t="s">
        <v>1018</v>
      </c>
      <c r="K140" t="s">
        <v>1019</v>
      </c>
      <c r="L140">
        <v>1346</v>
      </c>
      <c r="N140">
        <v>1009</v>
      </c>
      <c r="O140" t="s">
        <v>170</v>
      </c>
      <c r="P140" t="s">
        <v>170</v>
      </c>
      <c r="Q140">
        <v>1</v>
      </c>
      <c r="X140">
        <v>179</v>
      </c>
      <c r="Y140">
        <v>2.94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3</v>
      </c>
      <c r="AG140">
        <v>179</v>
      </c>
      <c r="AH140">
        <v>2</v>
      </c>
      <c r="AI140">
        <v>68991137</v>
      </c>
      <c r="AJ140">
        <v>129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ROW(Source!A55)</f>
        <v>55</v>
      </c>
      <c r="B141">
        <v>68991163</v>
      </c>
      <c r="C141">
        <v>68991154</v>
      </c>
      <c r="D141">
        <v>37065248</v>
      </c>
      <c r="E141">
        <v>56</v>
      </c>
      <c r="F141">
        <v>1</v>
      </c>
      <c r="G141">
        <v>1</v>
      </c>
      <c r="H141">
        <v>1</v>
      </c>
      <c r="I141" t="s">
        <v>857</v>
      </c>
      <c r="J141" t="s">
        <v>3</v>
      </c>
      <c r="K141" t="s">
        <v>858</v>
      </c>
      <c r="L141">
        <v>1191</v>
      </c>
      <c r="N141">
        <v>1013</v>
      </c>
      <c r="O141" t="s">
        <v>818</v>
      </c>
      <c r="P141" t="s">
        <v>818</v>
      </c>
      <c r="Q141">
        <v>1</v>
      </c>
      <c r="X141">
        <v>32.49</v>
      </c>
      <c r="Y141">
        <v>0</v>
      </c>
      <c r="Z141">
        <v>0</v>
      </c>
      <c r="AA141">
        <v>0</v>
      </c>
      <c r="AB141">
        <v>8.5299999999999994</v>
      </c>
      <c r="AC141">
        <v>0</v>
      </c>
      <c r="AD141">
        <v>1</v>
      </c>
      <c r="AE141">
        <v>1</v>
      </c>
      <c r="AF141" t="s">
        <v>147</v>
      </c>
      <c r="AG141">
        <v>50.440725000000008</v>
      </c>
      <c r="AH141">
        <v>2</v>
      </c>
      <c r="AI141">
        <v>68991155</v>
      </c>
      <c r="AJ141">
        <v>130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ROW(Source!A55)</f>
        <v>55</v>
      </c>
      <c r="B142">
        <v>68991164</v>
      </c>
      <c r="C142">
        <v>68991154</v>
      </c>
      <c r="D142">
        <v>37064876</v>
      </c>
      <c r="E142">
        <v>56</v>
      </c>
      <c r="F142">
        <v>1</v>
      </c>
      <c r="G142">
        <v>1</v>
      </c>
      <c r="H142">
        <v>1</v>
      </c>
      <c r="I142" t="s">
        <v>819</v>
      </c>
      <c r="J142" t="s">
        <v>3</v>
      </c>
      <c r="K142" t="s">
        <v>820</v>
      </c>
      <c r="L142">
        <v>1191</v>
      </c>
      <c r="N142">
        <v>1013</v>
      </c>
      <c r="O142" t="s">
        <v>818</v>
      </c>
      <c r="P142" t="s">
        <v>818</v>
      </c>
      <c r="Q142">
        <v>1</v>
      </c>
      <c r="X142">
        <v>0.93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2</v>
      </c>
      <c r="AF142" t="s">
        <v>146</v>
      </c>
      <c r="AG142">
        <v>1.5693750000000002</v>
      </c>
      <c r="AH142">
        <v>2</v>
      </c>
      <c r="AI142">
        <v>68991156</v>
      </c>
      <c r="AJ142">
        <v>131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ROW(Source!A55)</f>
        <v>55</v>
      </c>
      <c r="B143">
        <v>68991165</v>
      </c>
      <c r="C143">
        <v>68991154</v>
      </c>
      <c r="D143">
        <v>64401921</v>
      </c>
      <c r="E143">
        <v>1</v>
      </c>
      <c r="F143">
        <v>1</v>
      </c>
      <c r="G143">
        <v>1</v>
      </c>
      <c r="H143">
        <v>2</v>
      </c>
      <c r="I143" t="s">
        <v>1020</v>
      </c>
      <c r="J143" t="s">
        <v>1021</v>
      </c>
      <c r="K143" t="s">
        <v>1022</v>
      </c>
      <c r="L143">
        <v>1368</v>
      </c>
      <c r="N143">
        <v>1011</v>
      </c>
      <c r="O143" t="s">
        <v>824</v>
      </c>
      <c r="P143" t="s">
        <v>824</v>
      </c>
      <c r="Q143">
        <v>1</v>
      </c>
      <c r="X143">
        <v>0.02</v>
      </c>
      <c r="Y143">
        <v>0</v>
      </c>
      <c r="Z143">
        <v>89.99</v>
      </c>
      <c r="AA143">
        <v>10.06</v>
      </c>
      <c r="AB143">
        <v>0</v>
      </c>
      <c r="AC143">
        <v>0</v>
      </c>
      <c r="AD143">
        <v>1</v>
      </c>
      <c r="AE143">
        <v>0</v>
      </c>
      <c r="AF143" t="s">
        <v>146</v>
      </c>
      <c r="AG143">
        <v>3.3750000000000002E-2</v>
      </c>
      <c r="AH143">
        <v>2</v>
      </c>
      <c r="AI143">
        <v>68991157</v>
      </c>
      <c r="AJ143">
        <v>132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ROW(Source!A55)</f>
        <v>55</v>
      </c>
      <c r="B144">
        <v>68991166</v>
      </c>
      <c r="C144">
        <v>68991154</v>
      </c>
      <c r="D144">
        <v>64401959</v>
      </c>
      <c r="E144">
        <v>1</v>
      </c>
      <c r="F144">
        <v>1</v>
      </c>
      <c r="G144">
        <v>1</v>
      </c>
      <c r="H144">
        <v>2</v>
      </c>
      <c r="I144" t="s">
        <v>859</v>
      </c>
      <c r="J144" t="s">
        <v>860</v>
      </c>
      <c r="K144" t="s">
        <v>861</v>
      </c>
      <c r="L144">
        <v>1368</v>
      </c>
      <c r="N144">
        <v>1011</v>
      </c>
      <c r="O144" t="s">
        <v>824</v>
      </c>
      <c r="P144" t="s">
        <v>824</v>
      </c>
      <c r="Q144">
        <v>1</v>
      </c>
      <c r="X144">
        <v>0.21</v>
      </c>
      <c r="Y144">
        <v>0</v>
      </c>
      <c r="Z144">
        <v>31.26</v>
      </c>
      <c r="AA144">
        <v>13.5</v>
      </c>
      <c r="AB144">
        <v>0</v>
      </c>
      <c r="AC144">
        <v>0</v>
      </c>
      <c r="AD144">
        <v>1</v>
      </c>
      <c r="AE144">
        <v>0</v>
      </c>
      <c r="AF144" t="s">
        <v>146</v>
      </c>
      <c r="AG144">
        <v>0.35437500000000005</v>
      </c>
      <c r="AH144">
        <v>2</v>
      </c>
      <c r="AI144">
        <v>68991158</v>
      </c>
      <c r="AJ144">
        <v>133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ROW(Source!A55)</f>
        <v>55</v>
      </c>
      <c r="B145">
        <v>68991167</v>
      </c>
      <c r="C145">
        <v>68991154</v>
      </c>
      <c r="D145">
        <v>64402082</v>
      </c>
      <c r="E145">
        <v>1</v>
      </c>
      <c r="F145">
        <v>1</v>
      </c>
      <c r="G145">
        <v>1</v>
      </c>
      <c r="H145">
        <v>2</v>
      </c>
      <c r="I145" t="s">
        <v>1023</v>
      </c>
      <c r="J145" t="s">
        <v>1024</v>
      </c>
      <c r="K145" t="s">
        <v>1025</v>
      </c>
      <c r="L145">
        <v>1368</v>
      </c>
      <c r="N145">
        <v>1011</v>
      </c>
      <c r="O145" t="s">
        <v>824</v>
      </c>
      <c r="P145" t="s">
        <v>824</v>
      </c>
      <c r="Q145">
        <v>1</v>
      </c>
      <c r="X145">
        <v>0.7</v>
      </c>
      <c r="Y145">
        <v>0</v>
      </c>
      <c r="Z145">
        <v>12.39</v>
      </c>
      <c r="AA145">
        <v>10.06</v>
      </c>
      <c r="AB145">
        <v>0</v>
      </c>
      <c r="AC145">
        <v>0</v>
      </c>
      <c r="AD145">
        <v>1</v>
      </c>
      <c r="AE145">
        <v>0</v>
      </c>
      <c r="AF145" t="s">
        <v>146</v>
      </c>
      <c r="AG145">
        <v>1.1812500000000001</v>
      </c>
      <c r="AH145">
        <v>2</v>
      </c>
      <c r="AI145">
        <v>68991159</v>
      </c>
      <c r="AJ145">
        <v>134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ROW(Source!A55)</f>
        <v>55</v>
      </c>
      <c r="B146">
        <v>68991168</v>
      </c>
      <c r="C146">
        <v>68991154</v>
      </c>
      <c r="D146">
        <v>64252759</v>
      </c>
      <c r="E146">
        <v>1</v>
      </c>
      <c r="F146">
        <v>1</v>
      </c>
      <c r="G146">
        <v>1</v>
      </c>
      <c r="H146">
        <v>3</v>
      </c>
      <c r="I146" t="s">
        <v>988</v>
      </c>
      <c r="J146" t="s">
        <v>989</v>
      </c>
      <c r="K146" t="s">
        <v>990</v>
      </c>
      <c r="L146">
        <v>1339</v>
      </c>
      <c r="N146">
        <v>1007</v>
      </c>
      <c r="O146" t="s">
        <v>113</v>
      </c>
      <c r="P146" t="s">
        <v>113</v>
      </c>
      <c r="Q146">
        <v>1</v>
      </c>
      <c r="X146">
        <v>0.51</v>
      </c>
      <c r="Y146">
        <v>2.44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3</v>
      </c>
      <c r="AG146">
        <v>0.51</v>
      </c>
      <c r="AH146">
        <v>2</v>
      </c>
      <c r="AI146">
        <v>68991160</v>
      </c>
      <c r="AJ146">
        <v>135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ROW(Source!A55)</f>
        <v>55</v>
      </c>
      <c r="B147">
        <v>68991169</v>
      </c>
      <c r="C147">
        <v>68991154</v>
      </c>
      <c r="D147">
        <v>64242027</v>
      </c>
      <c r="E147">
        <v>56</v>
      </c>
      <c r="F147">
        <v>1</v>
      </c>
      <c r="G147">
        <v>1</v>
      </c>
      <c r="H147">
        <v>3</v>
      </c>
      <c r="I147" t="s">
        <v>1280</v>
      </c>
      <c r="J147" t="s">
        <v>3</v>
      </c>
      <c r="K147" t="s">
        <v>1281</v>
      </c>
      <c r="L147">
        <v>1348</v>
      </c>
      <c r="N147">
        <v>1009</v>
      </c>
      <c r="O147" t="s">
        <v>71</v>
      </c>
      <c r="P147" t="s">
        <v>71</v>
      </c>
      <c r="Q147">
        <v>1000</v>
      </c>
      <c r="X147">
        <v>0.85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 t="s">
        <v>3</v>
      </c>
      <c r="AG147">
        <v>0.85</v>
      </c>
      <c r="AH147">
        <v>3</v>
      </c>
      <c r="AI147">
        <v>-1</v>
      </c>
      <c r="AJ147" t="s">
        <v>3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ROW(Source!A55)</f>
        <v>55</v>
      </c>
      <c r="B148">
        <v>68991170</v>
      </c>
      <c r="C148">
        <v>68991154</v>
      </c>
      <c r="D148">
        <v>64244008</v>
      </c>
      <c r="E148">
        <v>56</v>
      </c>
      <c r="F148">
        <v>1</v>
      </c>
      <c r="G148">
        <v>1</v>
      </c>
      <c r="H148">
        <v>3</v>
      </c>
      <c r="I148" t="s">
        <v>1282</v>
      </c>
      <c r="J148" t="s">
        <v>3</v>
      </c>
      <c r="K148" t="s">
        <v>1283</v>
      </c>
      <c r="L148">
        <v>1348</v>
      </c>
      <c r="N148">
        <v>1009</v>
      </c>
      <c r="O148" t="s">
        <v>71</v>
      </c>
      <c r="P148" t="s">
        <v>71</v>
      </c>
      <c r="Q148">
        <v>1000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1</v>
      </c>
      <c r="AD148">
        <v>0</v>
      </c>
      <c r="AE148">
        <v>0</v>
      </c>
      <c r="AF148" t="s">
        <v>3</v>
      </c>
      <c r="AG148">
        <v>0</v>
      </c>
      <c r="AH148">
        <v>3</v>
      </c>
      <c r="AI148">
        <v>-1</v>
      </c>
      <c r="AJ148" t="s">
        <v>3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ROW(Source!A58)</f>
        <v>58</v>
      </c>
      <c r="B149">
        <v>68991204</v>
      </c>
      <c r="C149">
        <v>68991194</v>
      </c>
      <c r="D149">
        <v>37064978</v>
      </c>
      <c r="E149">
        <v>56</v>
      </c>
      <c r="F149">
        <v>1</v>
      </c>
      <c r="G149">
        <v>1</v>
      </c>
      <c r="H149">
        <v>1</v>
      </c>
      <c r="I149" t="s">
        <v>1026</v>
      </c>
      <c r="J149" t="s">
        <v>3</v>
      </c>
      <c r="K149" t="s">
        <v>1027</v>
      </c>
      <c r="L149">
        <v>1191</v>
      </c>
      <c r="N149">
        <v>1013</v>
      </c>
      <c r="O149" t="s">
        <v>818</v>
      </c>
      <c r="P149" t="s">
        <v>818</v>
      </c>
      <c r="Q149">
        <v>1</v>
      </c>
      <c r="X149">
        <v>32.729999999999997</v>
      </c>
      <c r="Y149">
        <v>0</v>
      </c>
      <c r="Z149">
        <v>0</v>
      </c>
      <c r="AA149">
        <v>0</v>
      </c>
      <c r="AB149">
        <v>8.86</v>
      </c>
      <c r="AC149">
        <v>0</v>
      </c>
      <c r="AD149">
        <v>1</v>
      </c>
      <c r="AE149">
        <v>1</v>
      </c>
      <c r="AF149" t="s">
        <v>147</v>
      </c>
      <c r="AG149">
        <v>50.813324999999992</v>
      </c>
      <c r="AH149">
        <v>2</v>
      </c>
      <c r="AI149">
        <v>68991195</v>
      </c>
      <c r="AJ149">
        <v>138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ROW(Source!A58)</f>
        <v>58</v>
      </c>
      <c r="B150">
        <v>68991205</v>
      </c>
      <c r="C150">
        <v>68991194</v>
      </c>
      <c r="D150">
        <v>37064876</v>
      </c>
      <c r="E150">
        <v>56</v>
      </c>
      <c r="F150">
        <v>1</v>
      </c>
      <c r="G150">
        <v>1</v>
      </c>
      <c r="H150">
        <v>1</v>
      </c>
      <c r="I150" t="s">
        <v>819</v>
      </c>
      <c r="J150" t="s">
        <v>3</v>
      </c>
      <c r="K150" t="s">
        <v>820</v>
      </c>
      <c r="L150">
        <v>1191</v>
      </c>
      <c r="N150">
        <v>1013</v>
      </c>
      <c r="O150" t="s">
        <v>818</v>
      </c>
      <c r="P150" t="s">
        <v>818</v>
      </c>
      <c r="Q150">
        <v>1</v>
      </c>
      <c r="X150">
        <v>0.11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2</v>
      </c>
      <c r="AF150" t="s">
        <v>146</v>
      </c>
      <c r="AG150">
        <v>0.18562500000000004</v>
      </c>
      <c r="AH150">
        <v>2</v>
      </c>
      <c r="AI150">
        <v>68991196</v>
      </c>
      <c r="AJ150">
        <v>139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ROW(Source!A58)</f>
        <v>58</v>
      </c>
      <c r="B151">
        <v>68991206</v>
      </c>
      <c r="C151">
        <v>68991194</v>
      </c>
      <c r="D151">
        <v>64401957</v>
      </c>
      <c r="E151">
        <v>1</v>
      </c>
      <c r="F151">
        <v>1</v>
      </c>
      <c r="G151">
        <v>1</v>
      </c>
      <c r="H151">
        <v>2</v>
      </c>
      <c r="I151" t="s">
        <v>1028</v>
      </c>
      <c r="J151" t="s">
        <v>1029</v>
      </c>
      <c r="K151" t="s">
        <v>1030</v>
      </c>
      <c r="L151">
        <v>1368</v>
      </c>
      <c r="N151">
        <v>1011</v>
      </c>
      <c r="O151" t="s">
        <v>824</v>
      </c>
      <c r="P151" t="s">
        <v>824</v>
      </c>
      <c r="Q151">
        <v>1</v>
      </c>
      <c r="X151">
        <v>0.01</v>
      </c>
      <c r="Y151">
        <v>0</v>
      </c>
      <c r="Z151">
        <v>27.66</v>
      </c>
      <c r="AA151">
        <v>11.6</v>
      </c>
      <c r="AB151">
        <v>0</v>
      </c>
      <c r="AC151">
        <v>0</v>
      </c>
      <c r="AD151">
        <v>1</v>
      </c>
      <c r="AE151">
        <v>0</v>
      </c>
      <c r="AF151" t="s">
        <v>146</v>
      </c>
      <c r="AG151">
        <v>1.6875000000000001E-2</v>
      </c>
      <c r="AH151">
        <v>2</v>
      </c>
      <c r="AI151">
        <v>68991197</v>
      </c>
      <c r="AJ151">
        <v>140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ROW(Source!A58)</f>
        <v>58</v>
      </c>
      <c r="B152">
        <v>68991207</v>
      </c>
      <c r="C152">
        <v>68991194</v>
      </c>
      <c r="D152">
        <v>64402691</v>
      </c>
      <c r="E152">
        <v>1</v>
      </c>
      <c r="F152">
        <v>1</v>
      </c>
      <c r="G152">
        <v>1</v>
      </c>
      <c r="H152">
        <v>2</v>
      </c>
      <c r="I152" t="s">
        <v>825</v>
      </c>
      <c r="J152" t="s">
        <v>826</v>
      </c>
      <c r="K152" t="s">
        <v>827</v>
      </c>
      <c r="L152">
        <v>1368</v>
      </c>
      <c r="N152">
        <v>1011</v>
      </c>
      <c r="O152" t="s">
        <v>824</v>
      </c>
      <c r="P152" t="s">
        <v>824</v>
      </c>
      <c r="Q152">
        <v>1</v>
      </c>
      <c r="X152">
        <v>0.1</v>
      </c>
      <c r="Y152">
        <v>0</v>
      </c>
      <c r="Z152">
        <v>65.709999999999994</v>
      </c>
      <c r="AA152">
        <v>11.6</v>
      </c>
      <c r="AB152">
        <v>0</v>
      </c>
      <c r="AC152">
        <v>0</v>
      </c>
      <c r="AD152">
        <v>1</v>
      </c>
      <c r="AE152">
        <v>0</v>
      </c>
      <c r="AF152" t="s">
        <v>146</v>
      </c>
      <c r="AG152">
        <v>0.16875000000000001</v>
      </c>
      <c r="AH152">
        <v>2</v>
      </c>
      <c r="AI152">
        <v>68991198</v>
      </c>
      <c r="AJ152">
        <v>141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ROW(Source!A58)</f>
        <v>58</v>
      </c>
      <c r="B153">
        <v>68991208</v>
      </c>
      <c r="C153">
        <v>68991194</v>
      </c>
      <c r="D153">
        <v>64255858</v>
      </c>
      <c r="E153">
        <v>1</v>
      </c>
      <c r="F153">
        <v>1</v>
      </c>
      <c r="G153">
        <v>1</v>
      </c>
      <c r="H153">
        <v>3</v>
      </c>
      <c r="I153" t="s">
        <v>1031</v>
      </c>
      <c r="J153" t="s">
        <v>1032</v>
      </c>
      <c r="K153" t="s">
        <v>1033</v>
      </c>
      <c r="L153">
        <v>1327</v>
      </c>
      <c r="N153">
        <v>1005</v>
      </c>
      <c r="O153" t="s">
        <v>46</v>
      </c>
      <c r="P153" t="s">
        <v>46</v>
      </c>
      <c r="Q153">
        <v>1</v>
      </c>
      <c r="X153">
        <v>0.84</v>
      </c>
      <c r="Y153">
        <v>72.319999999999993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3</v>
      </c>
      <c r="AG153">
        <v>0.84</v>
      </c>
      <c r="AH153">
        <v>2</v>
      </c>
      <c r="AI153">
        <v>68991199</v>
      </c>
      <c r="AJ153">
        <v>142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ROW(Source!A58)</f>
        <v>58</v>
      </c>
      <c r="B154">
        <v>68991209</v>
      </c>
      <c r="C154">
        <v>68991194</v>
      </c>
      <c r="D154">
        <v>64256200</v>
      </c>
      <c r="E154">
        <v>1</v>
      </c>
      <c r="F154">
        <v>1</v>
      </c>
      <c r="G154">
        <v>1</v>
      </c>
      <c r="H154">
        <v>3</v>
      </c>
      <c r="I154" t="s">
        <v>1034</v>
      </c>
      <c r="J154" t="s">
        <v>1035</v>
      </c>
      <c r="K154" t="s">
        <v>1036</v>
      </c>
      <c r="L154">
        <v>1346</v>
      </c>
      <c r="N154">
        <v>1009</v>
      </c>
      <c r="O154" t="s">
        <v>170</v>
      </c>
      <c r="P154" t="s">
        <v>170</v>
      </c>
      <c r="Q154">
        <v>1</v>
      </c>
      <c r="X154">
        <v>0.31</v>
      </c>
      <c r="Y154">
        <v>1.82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3</v>
      </c>
      <c r="AG154">
        <v>0.31</v>
      </c>
      <c r="AH154">
        <v>2</v>
      </c>
      <c r="AI154">
        <v>68991200</v>
      </c>
      <c r="AJ154">
        <v>143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ROW(Source!A58)</f>
        <v>58</v>
      </c>
      <c r="B155">
        <v>68991210</v>
      </c>
      <c r="C155">
        <v>68991194</v>
      </c>
      <c r="D155">
        <v>64243975</v>
      </c>
      <c r="E155">
        <v>56</v>
      </c>
      <c r="F155">
        <v>1</v>
      </c>
      <c r="G155">
        <v>1</v>
      </c>
      <c r="H155">
        <v>3</v>
      </c>
      <c r="I155" t="s">
        <v>1284</v>
      </c>
      <c r="J155" t="s">
        <v>3</v>
      </c>
      <c r="K155" t="s">
        <v>1285</v>
      </c>
      <c r="L155">
        <v>1348</v>
      </c>
      <c r="N155">
        <v>1009</v>
      </c>
      <c r="O155" t="s">
        <v>71</v>
      </c>
      <c r="P155" t="s">
        <v>71</v>
      </c>
      <c r="Q155">
        <v>1000</v>
      </c>
      <c r="X155">
        <v>0.03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 t="s">
        <v>3</v>
      </c>
      <c r="AG155">
        <v>0.03</v>
      </c>
      <c r="AH155">
        <v>3</v>
      </c>
      <c r="AI155">
        <v>-1</v>
      </c>
      <c r="AJ155" t="s">
        <v>3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ROW(Source!A58)</f>
        <v>58</v>
      </c>
      <c r="B156">
        <v>68991211</v>
      </c>
      <c r="C156">
        <v>68991194</v>
      </c>
      <c r="D156">
        <v>64243989</v>
      </c>
      <c r="E156">
        <v>56</v>
      </c>
      <c r="F156">
        <v>1</v>
      </c>
      <c r="G156">
        <v>1</v>
      </c>
      <c r="H156">
        <v>3</v>
      </c>
      <c r="I156" t="s">
        <v>1286</v>
      </c>
      <c r="J156" t="s">
        <v>3</v>
      </c>
      <c r="K156" t="s">
        <v>1283</v>
      </c>
      <c r="L156">
        <v>1348</v>
      </c>
      <c r="N156">
        <v>1009</v>
      </c>
      <c r="O156" t="s">
        <v>71</v>
      </c>
      <c r="P156" t="s">
        <v>71</v>
      </c>
      <c r="Q156">
        <v>1000</v>
      </c>
      <c r="X156">
        <v>0.02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 t="s">
        <v>3</v>
      </c>
      <c r="AG156">
        <v>0.02</v>
      </c>
      <c r="AH156">
        <v>3</v>
      </c>
      <c r="AI156">
        <v>-1</v>
      </c>
      <c r="AJ156" t="s">
        <v>3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ROW(Source!A58)</f>
        <v>58</v>
      </c>
      <c r="B157">
        <v>68991212</v>
      </c>
      <c r="C157">
        <v>68991194</v>
      </c>
      <c r="D157">
        <v>64285129</v>
      </c>
      <c r="E157">
        <v>1</v>
      </c>
      <c r="F157">
        <v>1</v>
      </c>
      <c r="G157">
        <v>1</v>
      </c>
      <c r="H157">
        <v>3</v>
      </c>
      <c r="I157" t="s">
        <v>1037</v>
      </c>
      <c r="J157" t="s">
        <v>1038</v>
      </c>
      <c r="K157" t="s">
        <v>1039</v>
      </c>
      <c r="L157">
        <v>1348</v>
      </c>
      <c r="N157">
        <v>1009</v>
      </c>
      <c r="O157" t="s">
        <v>71</v>
      </c>
      <c r="P157" t="s">
        <v>71</v>
      </c>
      <c r="Q157">
        <v>1000</v>
      </c>
      <c r="X157">
        <v>5.0000000000000001E-3</v>
      </c>
      <c r="Y157">
        <v>11397.1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3</v>
      </c>
      <c r="AG157">
        <v>5.0000000000000001E-3</v>
      </c>
      <c r="AH157">
        <v>2</v>
      </c>
      <c r="AI157">
        <v>68991203</v>
      </c>
      <c r="AJ157">
        <v>146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ROW(Source!A61)</f>
        <v>61</v>
      </c>
      <c r="B158">
        <v>68991222</v>
      </c>
      <c r="C158">
        <v>68991215</v>
      </c>
      <c r="D158">
        <v>37064878</v>
      </c>
      <c r="E158">
        <v>56</v>
      </c>
      <c r="F158">
        <v>1</v>
      </c>
      <c r="G158">
        <v>1</v>
      </c>
      <c r="H158">
        <v>1</v>
      </c>
      <c r="I158" t="s">
        <v>955</v>
      </c>
      <c r="J158" t="s">
        <v>3</v>
      </c>
      <c r="K158" t="s">
        <v>956</v>
      </c>
      <c r="L158">
        <v>1191</v>
      </c>
      <c r="N158">
        <v>1013</v>
      </c>
      <c r="O158" t="s">
        <v>818</v>
      </c>
      <c r="P158" t="s">
        <v>818</v>
      </c>
      <c r="Q158">
        <v>1</v>
      </c>
      <c r="X158">
        <v>102.46</v>
      </c>
      <c r="Y158">
        <v>0</v>
      </c>
      <c r="Z158">
        <v>0</v>
      </c>
      <c r="AA158">
        <v>0</v>
      </c>
      <c r="AB158">
        <v>9.4</v>
      </c>
      <c r="AC158">
        <v>0</v>
      </c>
      <c r="AD158">
        <v>1</v>
      </c>
      <c r="AE158">
        <v>1</v>
      </c>
      <c r="AF158" t="s">
        <v>147</v>
      </c>
      <c r="AG158">
        <v>159.06914999999998</v>
      </c>
      <c r="AH158">
        <v>2</v>
      </c>
      <c r="AI158">
        <v>68991216</v>
      </c>
      <c r="AJ158">
        <v>147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ROW(Source!A61)</f>
        <v>61</v>
      </c>
      <c r="B159">
        <v>68991223</v>
      </c>
      <c r="C159">
        <v>68991215</v>
      </c>
      <c r="D159">
        <v>37064876</v>
      </c>
      <c r="E159">
        <v>56</v>
      </c>
      <c r="F159">
        <v>1</v>
      </c>
      <c r="G159">
        <v>1</v>
      </c>
      <c r="H159">
        <v>1</v>
      </c>
      <c r="I159" t="s">
        <v>819</v>
      </c>
      <c r="J159" t="s">
        <v>3</v>
      </c>
      <c r="K159" t="s">
        <v>820</v>
      </c>
      <c r="L159">
        <v>1191</v>
      </c>
      <c r="N159">
        <v>1013</v>
      </c>
      <c r="O159" t="s">
        <v>818</v>
      </c>
      <c r="P159" t="s">
        <v>818</v>
      </c>
      <c r="Q159">
        <v>1</v>
      </c>
      <c r="X159">
        <v>5.34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2</v>
      </c>
      <c r="AF159" t="s">
        <v>146</v>
      </c>
      <c r="AG159">
        <v>9.0112500000000004</v>
      </c>
      <c r="AH159">
        <v>2</v>
      </c>
      <c r="AI159">
        <v>68991217</v>
      </c>
      <c r="AJ159">
        <v>148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ROW(Source!A61)</f>
        <v>61</v>
      </c>
      <c r="B160">
        <v>68991224</v>
      </c>
      <c r="C160">
        <v>68991215</v>
      </c>
      <c r="D160">
        <v>64401959</v>
      </c>
      <c r="E160">
        <v>1</v>
      </c>
      <c r="F160">
        <v>1</v>
      </c>
      <c r="G160">
        <v>1</v>
      </c>
      <c r="H160">
        <v>2</v>
      </c>
      <c r="I160" t="s">
        <v>859</v>
      </c>
      <c r="J160" t="s">
        <v>860</v>
      </c>
      <c r="K160" t="s">
        <v>861</v>
      </c>
      <c r="L160">
        <v>1368</v>
      </c>
      <c r="N160">
        <v>1011</v>
      </c>
      <c r="O160" t="s">
        <v>824</v>
      </c>
      <c r="P160" t="s">
        <v>824</v>
      </c>
      <c r="Q160">
        <v>1</v>
      </c>
      <c r="X160">
        <v>0.76</v>
      </c>
      <c r="Y160">
        <v>0</v>
      </c>
      <c r="Z160">
        <v>31.26</v>
      </c>
      <c r="AA160">
        <v>13.5</v>
      </c>
      <c r="AB160">
        <v>0</v>
      </c>
      <c r="AC160">
        <v>0</v>
      </c>
      <c r="AD160">
        <v>1</v>
      </c>
      <c r="AE160">
        <v>0</v>
      </c>
      <c r="AF160" t="s">
        <v>146</v>
      </c>
      <c r="AG160">
        <v>1.2825</v>
      </c>
      <c r="AH160">
        <v>2</v>
      </c>
      <c r="AI160">
        <v>68991218</v>
      </c>
      <c r="AJ160">
        <v>149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ROW(Source!A61)</f>
        <v>61</v>
      </c>
      <c r="B161">
        <v>68991225</v>
      </c>
      <c r="C161">
        <v>68991215</v>
      </c>
      <c r="D161">
        <v>64402691</v>
      </c>
      <c r="E161">
        <v>1</v>
      </c>
      <c r="F161">
        <v>1</v>
      </c>
      <c r="G161">
        <v>1</v>
      </c>
      <c r="H161">
        <v>2</v>
      </c>
      <c r="I161" t="s">
        <v>825</v>
      </c>
      <c r="J161" t="s">
        <v>826</v>
      </c>
      <c r="K161" t="s">
        <v>827</v>
      </c>
      <c r="L161">
        <v>1368</v>
      </c>
      <c r="N161">
        <v>1011</v>
      </c>
      <c r="O161" t="s">
        <v>824</v>
      </c>
      <c r="P161" t="s">
        <v>824</v>
      </c>
      <c r="Q161">
        <v>1</v>
      </c>
      <c r="X161">
        <v>4.58</v>
      </c>
      <c r="Y161">
        <v>0</v>
      </c>
      <c r="Z161">
        <v>65.709999999999994</v>
      </c>
      <c r="AA161">
        <v>11.6</v>
      </c>
      <c r="AB161">
        <v>0</v>
      </c>
      <c r="AC161">
        <v>0</v>
      </c>
      <c r="AD161">
        <v>1</v>
      </c>
      <c r="AE161">
        <v>0</v>
      </c>
      <c r="AF161" t="s">
        <v>146</v>
      </c>
      <c r="AG161">
        <v>7.7287499999999998</v>
      </c>
      <c r="AH161">
        <v>2</v>
      </c>
      <c r="AI161">
        <v>68991219</v>
      </c>
      <c r="AJ161">
        <v>150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ROW(Source!A61)</f>
        <v>61</v>
      </c>
      <c r="B162">
        <v>68991226</v>
      </c>
      <c r="C162">
        <v>68991215</v>
      </c>
      <c r="D162">
        <v>64252621</v>
      </c>
      <c r="E162">
        <v>1</v>
      </c>
      <c r="F162">
        <v>1</v>
      </c>
      <c r="G162">
        <v>1</v>
      </c>
      <c r="H162">
        <v>3</v>
      </c>
      <c r="I162" t="s">
        <v>193</v>
      </c>
      <c r="J162" t="s">
        <v>195</v>
      </c>
      <c r="K162" t="s">
        <v>194</v>
      </c>
      <c r="L162">
        <v>1327</v>
      </c>
      <c r="N162">
        <v>1005</v>
      </c>
      <c r="O162" t="s">
        <v>46</v>
      </c>
      <c r="P162" t="s">
        <v>46</v>
      </c>
      <c r="Q162">
        <v>1</v>
      </c>
      <c r="X162">
        <v>103</v>
      </c>
      <c r="Y162">
        <v>51.8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3</v>
      </c>
      <c r="AG162">
        <v>103</v>
      </c>
      <c r="AH162">
        <v>2</v>
      </c>
      <c r="AI162">
        <v>68991220</v>
      </c>
      <c r="AJ162">
        <v>151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ROW(Source!A64)</f>
        <v>64</v>
      </c>
      <c r="B163">
        <v>68991251</v>
      </c>
      <c r="C163">
        <v>68991250</v>
      </c>
      <c r="D163">
        <v>64241025</v>
      </c>
      <c r="E163">
        <v>56</v>
      </c>
      <c r="F163">
        <v>1</v>
      </c>
      <c r="G163">
        <v>1</v>
      </c>
      <c r="H163">
        <v>1</v>
      </c>
      <c r="I163" t="s">
        <v>816</v>
      </c>
      <c r="J163" t="s">
        <v>3</v>
      </c>
      <c r="K163" t="s">
        <v>817</v>
      </c>
      <c r="L163">
        <v>1191</v>
      </c>
      <c r="N163">
        <v>1013</v>
      </c>
      <c r="O163" t="s">
        <v>818</v>
      </c>
      <c r="P163" t="s">
        <v>818</v>
      </c>
      <c r="Q163">
        <v>1</v>
      </c>
      <c r="X163">
        <v>94.4</v>
      </c>
      <c r="Y163">
        <v>0</v>
      </c>
      <c r="Z163">
        <v>0</v>
      </c>
      <c r="AA163">
        <v>0</v>
      </c>
      <c r="AB163">
        <v>9.92</v>
      </c>
      <c r="AC163">
        <v>0</v>
      </c>
      <c r="AD163">
        <v>1</v>
      </c>
      <c r="AE163">
        <v>1</v>
      </c>
      <c r="AF163" t="s">
        <v>200</v>
      </c>
      <c r="AG163">
        <v>127.44000000000001</v>
      </c>
      <c r="AH163">
        <v>2</v>
      </c>
      <c r="AI163">
        <v>68991251</v>
      </c>
      <c r="AJ163">
        <v>153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ROW(Source!A64)</f>
        <v>64</v>
      </c>
      <c r="B164">
        <v>68991252</v>
      </c>
      <c r="C164">
        <v>68991250</v>
      </c>
      <c r="D164">
        <v>64241154</v>
      </c>
      <c r="E164">
        <v>56</v>
      </c>
      <c r="F164">
        <v>1</v>
      </c>
      <c r="G164">
        <v>1</v>
      </c>
      <c r="H164">
        <v>1</v>
      </c>
      <c r="I164" t="s">
        <v>819</v>
      </c>
      <c r="J164" t="s">
        <v>3</v>
      </c>
      <c r="K164" t="s">
        <v>820</v>
      </c>
      <c r="L164">
        <v>1191</v>
      </c>
      <c r="N164">
        <v>1013</v>
      </c>
      <c r="O164" t="s">
        <v>818</v>
      </c>
      <c r="P164" t="s">
        <v>818</v>
      </c>
      <c r="Q164">
        <v>1</v>
      </c>
      <c r="X164">
        <v>0.4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2</v>
      </c>
      <c r="AF164" t="s">
        <v>200</v>
      </c>
      <c r="AG164">
        <v>0.54</v>
      </c>
      <c r="AH164">
        <v>2</v>
      </c>
      <c r="AI164">
        <v>68991252</v>
      </c>
      <c r="AJ164">
        <v>154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ROW(Source!A64)</f>
        <v>64</v>
      </c>
      <c r="B165">
        <v>68991253</v>
      </c>
      <c r="C165">
        <v>68991250</v>
      </c>
      <c r="D165">
        <v>64401763</v>
      </c>
      <c r="E165">
        <v>1</v>
      </c>
      <c r="F165">
        <v>1</v>
      </c>
      <c r="G165">
        <v>1</v>
      </c>
      <c r="H165">
        <v>2</v>
      </c>
      <c r="I165" t="s">
        <v>821</v>
      </c>
      <c r="J165" t="s">
        <v>822</v>
      </c>
      <c r="K165" t="s">
        <v>823</v>
      </c>
      <c r="L165">
        <v>1368</v>
      </c>
      <c r="N165">
        <v>1011</v>
      </c>
      <c r="O165" t="s">
        <v>824</v>
      </c>
      <c r="P165" t="s">
        <v>824</v>
      </c>
      <c r="Q165">
        <v>1</v>
      </c>
      <c r="X165">
        <v>0.2</v>
      </c>
      <c r="Y165">
        <v>0</v>
      </c>
      <c r="Z165">
        <v>115.4</v>
      </c>
      <c r="AA165">
        <v>13.5</v>
      </c>
      <c r="AB165">
        <v>0</v>
      </c>
      <c r="AC165">
        <v>0</v>
      </c>
      <c r="AD165">
        <v>1</v>
      </c>
      <c r="AE165">
        <v>0</v>
      </c>
      <c r="AF165" t="s">
        <v>200</v>
      </c>
      <c r="AG165">
        <v>0.27</v>
      </c>
      <c r="AH165">
        <v>2</v>
      </c>
      <c r="AI165">
        <v>68991253</v>
      </c>
      <c r="AJ165">
        <v>155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ROW(Source!A64)</f>
        <v>64</v>
      </c>
      <c r="B166">
        <v>68991254</v>
      </c>
      <c r="C166">
        <v>68991250</v>
      </c>
      <c r="D166">
        <v>64402691</v>
      </c>
      <c r="E166">
        <v>1</v>
      </c>
      <c r="F166">
        <v>1</v>
      </c>
      <c r="G166">
        <v>1</v>
      </c>
      <c r="H166">
        <v>2</v>
      </c>
      <c r="I166" t="s">
        <v>825</v>
      </c>
      <c r="J166" t="s">
        <v>826</v>
      </c>
      <c r="K166" t="s">
        <v>827</v>
      </c>
      <c r="L166">
        <v>1368</v>
      </c>
      <c r="N166">
        <v>1011</v>
      </c>
      <c r="O166" t="s">
        <v>824</v>
      </c>
      <c r="P166" t="s">
        <v>824</v>
      </c>
      <c r="Q166">
        <v>1</v>
      </c>
      <c r="X166">
        <v>0.2</v>
      </c>
      <c r="Y166">
        <v>0</v>
      </c>
      <c r="Z166">
        <v>65.709999999999994</v>
      </c>
      <c r="AA166">
        <v>11.6</v>
      </c>
      <c r="AB166">
        <v>0</v>
      </c>
      <c r="AC166">
        <v>0</v>
      </c>
      <c r="AD166">
        <v>1</v>
      </c>
      <c r="AE166">
        <v>0</v>
      </c>
      <c r="AF166" t="s">
        <v>200</v>
      </c>
      <c r="AG166">
        <v>0.27</v>
      </c>
      <c r="AH166">
        <v>2</v>
      </c>
      <c r="AI166">
        <v>68991254</v>
      </c>
      <c r="AJ166">
        <v>156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ROW(Source!A64)</f>
        <v>64</v>
      </c>
      <c r="B167">
        <v>68991255</v>
      </c>
      <c r="C167">
        <v>68991250</v>
      </c>
      <c r="D167">
        <v>64301194</v>
      </c>
      <c r="E167">
        <v>1</v>
      </c>
      <c r="F167">
        <v>1</v>
      </c>
      <c r="G167">
        <v>1</v>
      </c>
      <c r="H167">
        <v>3</v>
      </c>
      <c r="I167" t="s">
        <v>1040</v>
      </c>
      <c r="J167" t="s">
        <v>1041</v>
      </c>
      <c r="K167" t="s">
        <v>1042</v>
      </c>
      <c r="L167">
        <v>1425</v>
      </c>
      <c r="N167">
        <v>1013</v>
      </c>
      <c r="O167" t="s">
        <v>18</v>
      </c>
      <c r="P167" t="s">
        <v>18</v>
      </c>
      <c r="Q167">
        <v>1</v>
      </c>
      <c r="X167">
        <v>1.02</v>
      </c>
      <c r="Y167">
        <v>100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3</v>
      </c>
      <c r="AG167">
        <v>1.02</v>
      </c>
      <c r="AH167">
        <v>2</v>
      </c>
      <c r="AI167">
        <v>68991255</v>
      </c>
      <c r="AJ167">
        <v>158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ROW(Source!A64)</f>
        <v>64</v>
      </c>
      <c r="B168">
        <v>68991256</v>
      </c>
      <c r="C168">
        <v>68991250</v>
      </c>
      <c r="D168">
        <v>64245580</v>
      </c>
      <c r="E168">
        <v>56</v>
      </c>
      <c r="F168">
        <v>1</v>
      </c>
      <c r="G168">
        <v>1</v>
      </c>
      <c r="H168">
        <v>3</v>
      </c>
      <c r="I168" t="s">
        <v>837</v>
      </c>
      <c r="J168" t="s">
        <v>3</v>
      </c>
      <c r="K168" t="s">
        <v>838</v>
      </c>
      <c r="L168">
        <v>1374</v>
      </c>
      <c r="N168">
        <v>1013</v>
      </c>
      <c r="O168" t="s">
        <v>839</v>
      </c>
      <c r="P168" t="s">
        <v>839</v>
      </c>
      <c r="Q168">
        <v>1</v>
      </c>
      <c r="X168">
        <v>18.73</v>
      </c>
      <c r="Y168">
        <v>1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3</v>
      </c>
      <c r="AG168">
        <v>18.73</v>
      </c>
      <c r="AH168">
        <v>2</v>
      </c>
      <c r="AI168">
        <v>68991256</v>
      </c>
      <c r="AJ168">
        <v>159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ROW(Source!A66)</f>
        <v>66</v>
      </c>
      <c r="B169">
        <v>68991268</v>
      </c>
      <c r="C169">
        <v>68991261</v>
      </c>
      <c r="D169">
        <v>37065248</v>
      </c>
      <c r="E169">
        <v>56</v>
      </c>
      <c r="F169">
        <v>1</v>
      </c>
      <c r="G169">
        <v>1</v>
      </c>
      <c r="H169">
        <v>1</v>
      </c>
      <c r="I169" t="s">
        <v>857</v>
      </c>
      <c r="J169" t="s">
        <v>3</v>
      </c>
      <c r="K169" t="s">
        <v>858</v>
      </c>
      <c r="L169">
        <v>1191</v>
      </c>
      <c r="N169">
        <v>1013</v>
      </c>
      <c r="O169" t="s">
        <v>818</v>
      </c>
      <c r="P169" t="s">
        <v>818</v>
      </c>
      <c r="Q169">
        <v>1</v>
      </c>
      <c r="X169">
        <v>111.2</v>
      </c>
      <c r="Y169">
        <v>0</v>
      </c>
      <c r="Z169">
        <v>0</v>
      </c>
      <c r="AA169">
        <v>0</v>
      </c>
      <c r="AB169">
        <v>8.5299999999999994</v>
      </c>
      <c r="AC169">
        <v>0</v>
      </c>
      <c r="AD169">
        <v>1</v>
      </c>
      <c r="AE169">
        <v>1</v>
      </c>
      <c r="AF169" t="s">
        <v>38</v>
      </c>
      <c r="AG169">
        <v>127.88</v>
      </c>
      <c r="AH169">
        <v>2</v>
      </c>
      <c r="AI169">
        <v>68991262</v>
      </c>
      <c r="AJ169">
        <v>160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ROW(Source!A66)</f>
        <v>66</v>
      </c>
      <c r="B170">
        <v>68991269</v>
      </c>
      <c r="C170">
        <v>68991261</v>
      </c>
      <c r="D170">
        <v>37064876</v>
      </c>
      <c r="E170">
        <v>56</v>
      </c>
      <c r="F170">
        <v>1</v>
      </c>
      <c r="G170">
        <v>1</v>
      </c>
      <c r="H170">
        <v>1</v>
      </c>
      <c r="I170" t="s">
        <v>819</v>
      </c>
      <c r="J170" t="s">
        <v>3</v>
      </c>
      <c r="K170" t="s">
        <v>820</v>
      </c>
      <c r="L170">
        <v>1191</v>
      </c>
      <c r="N170">
        <v>1013</v>
      </c>
      <c r="O170" t="s">
        <v>818</v>
      </c>
      <c r="P170" t="s">
        <v>818</v>
      </c>
      <c r="Q170">
        <v>1</v>
      </c>
      <c r="X170">
        <v>1.8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2</v>
      </c>
      <c r="AF170" t="s">
        <v>38</v>
      </c>
      <c r="AG170">
        <v>2.0699999999999998</v>
      </c>
      <c r="AH170">
        <v>2</v>
      </c>
      <c r="AI170">
        <v>68991263</v>
      </c>
      <c r="AJ170">
        <v>161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ROW(Source!A66)</f>
        <v>66</v>
      </c>
      <c r="B171">
        <v>68991270</v>
      </c>
      <c r="C171">
        <v>68991261</v>
      </c>
      <c r="D171">
        <v>64401959</v>
      </c>
      <c r="E171">
        <v>1</v>
      </c>
      <c r="F171">
        <v>1</v>
      </c>
      <c r="G171">
        <v>1</v>
      </c>
      <c r="H171">
        <v>2</v>
      </c>
      <c r="I171" t="s">
        <v>859</v>
      </c>
      <c r="J171" t="s">
        <v>860</v>
      </c>
      <c r="K171" t="s">
        <v>861</v>
      </c>
      <c r="L171">
        <v>1368</v>
      </c>
      <c r="N171">
        <v>1011</v>
      </c>
      <c r="O171" t="s">
        <v>824</v>
      </c>
      <c r="P171" t="s">
        <v>824</v>
      </c>
      <c r="Q171">
        <v>1</v>
      </c>
      <c r="X171">
        <v>1.8</v>
      </c>
      <c r="Y171">
        <v>0</v>
      </c>
      <c r="Z171">
        <v>31.26</v>
      </c>
      <c r="AA171">
        <v>13.5</v>
      </c>
      <c r="AB171">
        <v>0</v>
      </c>
      <c r="AC171">
        <v>0</v>
      </c>
      <c r="AD171">
        <v>1</v>
      </c>
      <c r="AE171">
        <v>0</v>
      </c>
      <c r="AF171" t="s">
        <v>38</v>
      </c>
      <c r="AG171">
        <v>2.0699999999999998</v>
      </c>
      <c r="AH171">
        <v>2</v>
      </c>
      <c r="AI171">
        <v>68991264</v>
      </c>
      <c r="AJ171">
        <v>162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ROW(Source!A66)</f>
        <v>66</v>
      </c>
      <c r="B172">
        <v>68991271</v>
      </c>
      <c r="C172">
        <v>68991261</v>
      </c>
      <c r="D172">
        <v>64402923</v>
      </c>
      <c r="E172">
        <v>1</v>
      </c>
      <c r="F172">
        <v>1</v>
      </c>
      <c r="G172">
        <v>1</v>
      </c>
      <c r="H172">
        <v>2</v>
      </c>
      <c r="I172" t="s">
        <v>886</v>
      </c>
      <c r="J172" t="s">
        <v>887</v>
      </c>
      <c r="K172" t="s">
        <v>888</v>
      </c>
      <c r="L172">
        <v>1368</v>
      </c>
      <c r="N172">
        <v>1011</v>
      </c>
      <c r="O172" t="s">
        <v>824</v>
      </c>
      <c r="P172" t="s">
        <v>824</v>
      </c>
      <c r="Q172">
        <v>1</v>
      </c>
      <c r="X172">
        <v>19.2</v>
      </c>
      <c r="Y172">
        <v>0</v>
      </c>
      <c r="Z172">
        <v>48.81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38</v>
      </c>
      <c r="AG172">
        <v>22.08</v>
      </c>
      <c r="AH172">
        <v>2</v>
      </c>
      <c r="AI172">
        <v>68991265</v>
      </c>
      <c r="AJ172">
        <v>163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ROW(Source!A66)</f>
        <v>66</v>
      </c>
      <c r="B173">
        <v>68991272</v>
      </c>
      <c r="C173">
        <v>68991261</v>
      </c>
      <c r="D173">
        <v>64403375</v>
      </c>
      <c r="E173">
        <v>1</v>
      </c>
      <c r="F173">
        <v>1</v>
      </c>
      <c r="G173">
        <v>1</v>
      </c>
      <c r="H173">
        <v>2</v>
      </c>
      <c r="I173" t="s">
        <v>889</v>
      </c>
      <c r="J173" t="s">
        <v>890</v>
      </c>
      <c r="K173" t="s">
        <v>891</v>
      </c>
      <c r="L173">
        <v>1368</v>
      </c>
      <c r="N173">
        <v>1011</v>
      </c>
      <c r="O173" t="s">
        <v>824</v>
      </c>
      <c r="P173" t="s">
        <v>824</v>
      </c>
      <c r="Q173">
        <v>1</v>
      </c>
      <c r="X173">
        <v>38.4</v>
      </c>
      <c r="Y173">
        <v>0</v>
      </c>
      <c r="Z173">
        <v>1.53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38</v>
      </c>
      <c r="AG173">
        <v>44.16</v>
      </c>
      <c r="AH173">
        <v>2</v>
      </c>
      <c r="AI173">
        <v>68991266</v>
      </c>
      <c r="AJ173">
        <v>164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ROW(Source!A66)</f>
        <v>66</v>
      </c>
      <c r="B174">
        <v>68991273</v>
      </c>
      <c r="C174">
        <v>68991261</v>
      </c>
      <c r="D174">
        <v>64245578</v>
      </c>
      <c r="E174">
        <v>56</v>
      </c>
      <c r="F174">
        <v>1</v>
      </c>
      <c r="G174">
        <v>1</v>
      </c>
      <c r="H174">
        <v>3</v>
      </c>
      <c r="I174" t="s">
        <v>69</v>
      </c>
      <c r="J174" t="s">
        <v>3</v>
      </c>
      <c r="K174" t="s">
        <v>70</v>
      </c>
      <c r="L174">
        <v>1348</v>
      </c>
      <c r="N174">
        <v>1009</v>
      </c>
      <c r="O174" t="s">
        <v>71</v>
      </c>
      <c r="P174" t="s">
        <v>71</v>
      </c>
      <c r="Q174">
        <v>1000</v>
      </c>
      <c r="X174">
        <v>33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 t="s">
        <v>3</v>
      </c>
      <c r="AG174">
        <v>33</v>
      </c>
      <c r="AH174">
        <v>2</v>
      </c>
      <c r="AI174">
        <v>68991267</v>
      </c>
      <c r="AJ174">
        <v>165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ROW(Source!A68)</f>
        <v>68</v>
      </c>
      <c r="B175">
        <v>68991281</v>
      </c>
      <c r="C175">
        <v>68991275</v>
      </c>
      <c r="D175">
        <v>37067943</v>
      </c>
      <c r="E175">
        <v>56</v>
      </c>
      <c r="F175">
        <v>1</v>
      </c>
      <c r="G175">
        <v>1</v>
      </c>
      <c r="H175">
        <v>1</v>
      </c>
      <c r="I175" t="s">
        <v>1043</v>
      </c>
      <c r="J175" t="s">
        <v>3</v>
      </c>
      <c r="K175" t="s">
        <v>1044</v>
      </c>
      <c r="L175">
        <v>1191</v>
      </c>
      <c r="N175">
        <v>1013</v>
      </c>
      <c r="O175" t="s">
        <v>818</v>
      </c>
      <c r="P175" t="s">
        <v>818</v>
      </c>
      <c r="Q175">
        <v>1</v>
      </c>
      <c r="X175">
        <v>23.3</v>
      </c>
      <c r="Y175">
        <v>0</v>
      </c>
      <c r="Z175">
        <v>0</v>
      </c>
      <c r="AA175">
        <v>0</v>
      </c>
      <c r="AB175">
        <v>7.62</v>
      </c>
      <c r="AC175">
        <v>0</v>
      </c>
      <c r="AD175">
        <v>1</v>
      </c>
      <c r="AE175">
        <v>1</v>
      </c>
      <c r="AF175" t="s">
        <v>147</v>
      </c>
      <c r="AG175">
        <v>36.173250000000003</v>
      </c>
      <c r="AH175">
        <v>2</v>
      </c>
      <c r="AI175">
        <v>68991276</v>
      </c>
      <c r="AJ175">
        <v>166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ROW(Source!A68)</f>
        <v>68</v>
      </c>
      <c r="B176">
        <v>68991282</v>
      </c>
      <c r="C176">
        <v>68991275</v>
      </c>
      <c r="D176">
        <v>37064876</v>
      </c>
      <c r="E176">
        <v>56</v>
      </c>
      <c r="F176">
        <v>1</v>
      </c>
      <c r="G176">
        <v>1</v>
      </c>
      <c r="H176">
        <v>1</v>
      </c>
      <c r="I176" t="s">
        <v>819</v>
      </c>
      <c r="J176" t="s">
        <v>3</v>
      </c>
      <c r="K176" t="s">
        <v>820</v>
      </c>
      <c r="L176">
        <v>1191</v>
      </c>
      <c r="N176">
        <v>1013</v>
      </c>
      <c r="O176" t="s">
        <v>818</v>
      </c>
      <c r="P176" t="s">
        <v>818</v>
      </c>
      <c r="Q176">
        <v>1</v>
      </c>
      <c r="X176">
        <v>3.17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2</v>
      </c>
      <c r="AF176" t="s">
        <v>146</v>
      </c>
      <c r="AG176">
        <v>5.3493750000000002</v>
      </c>
      <c r="AH176">
        <v>2</v>
      </c>
      <c r="AI176">
        <v>68991277</v>
      </c>
      <c r="AJ176">
        <v>167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ROW(Source!A68)</f>
        <v>68</v>
      </c>
      <c r="B177">
        <v>68991283</v>
      </c>
      <c r="C177">
        <v>68991275</v>
      </c>
      <c r="D177">
        <v>64401763</v>
      </c>
      <c r="E177">
        <v>1</v>
      </c>
      <c r="F177">
        <v>1</v>
      </c>
      <c r="G177">
        <v>1</v>
      </c>
      <c r="H177">
        <v>2</v>
      </c>
      <c r="I177" t="s">
        <v>821</v>
      </c>
      <c r="J177" t="s">
        <v>822</v>
      </c>
      <c r="K177" t="s">
        <v>823</v>
      </c>
      <c r="L177">
        <v>1368</v>
      </c>
      <c r="N177">
        <v>1011</v>
      </c>
      <c r="O177" t="s">
        <v>824</v>
      </c>
      <c r="P177" t="s">
        <v>824</v>
      </c>
      <c r="Q177">
        <v>1</v>
      </c>
      <c r="X177">
        <v>1.27</v>
      </c>
      <c r="Y177">
        <v>0</v>
      </c>
      <c r="Z177">
        <v>115.4</v>
      </c>
      <c r="AA177">
        <v>13.5</v>
      </c>
      <c r="AB177">
        <v>0</v>
      </c>
      <c r="AC177">
        <v>0</v>
      </c>
      <c r="AD177">
        <v>1</v>
      </c>
      <c r="AE177">
        <v>0</v>
      </c>
      <c r="AF177" t="s">
        <v>146</v>
      </c>
      <c r="AG177">
        <v>2.1431249999999999</v>
      </c>
      <c r="AH177">
        <v>2</v>
      </c>
      <c r="AI177">
        <v>68991278</v>
      </c>
      <c r="AJ177">
        <v>168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ROW(Source!A68)</f>
        <v>68</v>
      </c>
      <c r="B178">
        <v>68991284</v>
      </c>
      <c r="C178">
        <v>68991275</v>
      </c>
      <c r="D178">
        <v>64402691</v>
      </c>
      <c r="E178">
        <v>1</v>
      </c>
      <c r="F178">
        <v>1</v>
      </c>
      <c r="G178">
        <v>1</v>
      </c>
      <c r="H178">
        <v>2</v>
      </c>
      <c r="I178" t="s">
        <v>825</v>
      </c>
      <c r="J178" t="s">
        <v>826</v>
      </c>
      <c r="K178" t="s">
        <v>827</v>
      </c>
      <c r="L178">
        <v>1368</v>
      </c>
      <c r="N178">
        <v>1011</v>
      </c>
      <c r="O178" t="s">
        <v>824</v>
      </c>
      <c r="P178" t="s">
        <v>824</v>
      </c>
      <c r="Q178">
        <v>1</v>
      </c>
      <c r="X178">
        <v>1.9</v>
      </c>
      <c r="Y178">
        <v>0</v>
      </c>
      <c r="Z178">
        <v>65.709999999999994</v>
      </c>
      <c r="AA178">
        <v>11.6</v>
      </c>
      <c r="AB178">
        <v>0</v>
      </c>
      <c r="AC178">
        <v>0</v>
      </c>
      <c r="AD178">
        <v>1</v>
      </c>
      <c r="AE178">
        <v>0</v>
      </c>
      <c r="AF178" t="s">
        <v>146</v>
      </c>
      <c r="AG178">
        <v>3.2062500000000003</v>
      </c>
      <c r="AH178">
        <v>2</v>
      </c>
      <c r="AI178">
        <v>68991279</v>
      </c>
      <c r="AJ178">
        <v>169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ROW(Source!A68)</f>
        <v>68</v>
      </c>
      <c r="B179">
        <v>68991285</v>
      </c>
      <c r="C179">
        <v>68991275</v>
      </c>
      <c r="D179">
        <v>64243486</v>
      </c>
      <c r="E179">
        <v>56</v>
      </c>
      <c r="F179">
        <v>1</v>
      </c>
      <c r="G179">
        <v>1</v>
      </c>
      <c r="H179">
        <v>3</v>
      </c>
      <c r="I179" t="s">
        <v>1287</v>
      </c>
      <c r="J179" t="s">
        <v>3</v>
      </c>
      <c r="K179" t="s">
        <v>1288</v>
      </c>
      <c r="L179">
        <v>1327</v>
      </c>
      <c r="N179">
        <v>1005</v>
      </c>
      <c r="O179" t="s">
        <v>46</v>
      </c>
      <c r="P179" t="s">
        <v>46</v>
      </c>
      <c r="Q179">
        <v>1</v>
      </c>
      <c r="X179">
        <v>100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 t="s">
        <v>3</v>
      </c>
      <c r="AG179">
        <v>100</v>
      </c>
      <c r="AH179">
        <v>3</v>
      </c>
      <c r="AI179">
        <v>-1</v>
      </c>
      <c r="AJ179" t="s">
        <v>3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ROW(Source!A70)</f>
        <v>70</v>
      </c>
      <c r="B180">
        <v>68991301</v>
      </c>
      <c r="C180">
        <v>68991287</v>
      </c>
      <c r="D180">
        <v>37070495</v>
      </c>
      <c r="E180">
        <v>56</v>
      </c>
      <c r="F180">
        <v>1</v>
      </c>
      <c r="G180">
        <v>1</v>
      </c>
      <c r="H180">
        <v>1</v>
      </c>
      <c r="I180" t="s">
        <v>1045</v>
      </c>
      <c r="J180" t="s">
        <v>3</v>
      </c>
      <c r="K180" t="s">
        <v>1046</v>
      </c>
      <c r="L180">
        <v>1191</v>
      </c>
      <c r="N180">
        <v>1013</v>
      </c>
      <c r="O180" t="s">
        <v>818</v>
      </c>
      <c r="P180" t="s">
        <v>818</v>
      </c>
      <c r="Q180">
        <v>1</v>
      </c>
      <c r="X180">
        <v>310.42</v>
      </c>
      <c r="Y180">
        <v>0</v>
      </c>
      <c r="Z180">
        <v>0</v>
      </c>
      <c r="AA180">
        <v>0</v>
      </c>
      <c r="AB180">
        <v>8.74</v>
      </c>
      <c r="AC180">
        <v>0</v>
      </c>
      <c r="AD180">
        <v>1</v>
      </c>
      <c r="AE180">
        <v>1</v>
      </c>
      <c r="AF180" t="s">
        <v>147</v>
      </c>
      <c r="AG180">
        <v>481.92705000000007</v>
      </c>
      <c r="AH180">
        <v>2</v>
      </c>
      <c r="AI180">
        <v>68991288</v>
      </c>
      <c r="AJ180">
        <v>171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ROW(Source!A70)</f>
        <v>70</v>
      </c>
      <c r="B181">
        <v>68991302</v>
      </c>
      <c r="C181">
        <v>68991287</v>
      </c>
      <c r="D181">
        <v>37064876</v>
      </c>
      <c r="E181">
        <v>56</v>
      </c>
      <c r="F181">
        <v>1</v>
      </c>
      <c r="G181">
        <v>1</v>
      </c>
      <c r="H181">
        <v>1</v>
      </c>
      <c r="I181" t="s">
        <v>819</v>
      </c>
      <c r="J181" t="s">
        <v>3</v>
      </c>
      <c r="K181" t="s">
        <v>820</v>
      </c>
      <c r="L181">
        <v>1191</v>
      </c>
      <c r="N181">
        <v>1013</v>
      </c>
      <c r="O181" t="s">
        <v>818</v>
      </c>
      <c r="P181" t="s">
        <v>818</v>
      </c>
      <c r="Q181">
        <v>1</v>
      </c>
      <c r="X181">
        <v>1.73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2</v>
      </c>
      <c r="AF181" t="s">
        <v>146</v>
      </c>
      <c r="AG181">
        <v>2.9193750000000005</v>
      </c>
      <c r="AH181">
        <v>2</v>
      </c>
      <c r="AI181">
        <v>68991289</v>
      </c>
      <c r="AJ181">
        <v>172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ROW(Source!A70)</f>
        <v>70</v>
      </c>
      <c r="B182">
        <v>68991303</v>
      </c>
      <c r="C182">
        <v>68991287</v>
      </c>
      <c r="D182">
        <v>64401704</v>
      </c>
      <c r="E182">
        <v>1</v>
      </c>
      <c r="F182">
        <v>1</v>
      </c>
      <c r="G182">
        <v>1</v>
      </c>
      <c r="H182">
        <v>2</v>
      </c>
      <c r="I182" t="s">
        <v>1047</v>
      </c>
      <c r="J182" t="s">
        <v>1048</v>
      </c>
      <c r="K182" t="s">
        <v>1049</v>
      </c>
      <c r="L182">
        <v>1368</v>
      </c>
      <c r="N182">
        <v>1011</v>
      </c>
      <c r="O182" t="s">
        <v>824</v>
      </c>
      <c r="P182" t="s">
        <v>824</v>
      </c>
      <c r="Q182">
        <v>1</v>
      </c>
      <c r="X182">
        <v>0.02</v>
      </c>
      <c r="Y182">
        <v>0</v>
      </c>
      <c r="Z182">
        <v>83.43</v>
      </c>
      <c r="AA182">
        <v>13.5</v>
      </c>
      <c r="AB182">
        <v>0</v>
      </c>
      <c r="AC182">
        <v>0</v>
      </c>
      <c r="AD182">
        <v>1</v>
      </c>
      <c r="AE182">
        <v>0</v>
      </c>
      <c r="AF182" t="s">
        <v>146</v>
      </c>
      <c r="AG182">
        <v>3.3750000000000002E-2</v>
      </c>
      <c r="AH182">
        <v>2</v>
      </c>
      <c r="AI182">
        <v>68991290</v>
      </c>
      <c r="AJ182">
        <v>173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ROW(Source!A70)</f>
        <v>70</v>
      </c>
      <c r="B183">
        <v>68991304</v>
      </c>
      <c r="C183">
        <v>68991287</v>
      </c>
      <c r="D183">
        <v>64401763</v>
      </c>
      <c r="E183">
        <v>1</v>
      </c>
      <c r="F183">
        <v>1</v>
      </c>
      <c r="G183">
        <v>1</v>
      </c>
      <c r="H183">
        <v>2</v>
      </c>
      <c r="I183" t="s">
        <v>821</v>
      </c>
      <c r="J183" t="s">
        <v>822</v>
      </c>
      <c r="K183" t="s">
        <v>823</v>
      </c>
      <c r="L183">
        <v>1368</v>
      </c>
      <c r="N183">
        <v>1011</v>
      </c>
      <c r="O183" t="s">
        <v>824</v>
      </c>
      <c r="P183" t="s">
        <v>824</v>
      </c>
      <c r="Q183">
        <v>1</v>
      </c>
      <c r="X183">
        <v>0.01</v>
      </c>
      <c r="Y183">
        <v>0</v>
      </c>
      <c r="Z183">
        <v>115.4</v>
      </c>
      <c r="AA183">
        <v>13.5</v>
      </c>
      <c r="AB183">
        <v>0</v>
      </c>
      <c r="AC183">
        <v>0</v>
      </c>
      <c r="AD183">
        <v>1</v>
      </c>
      <c r="AE183">
        <v>0</v>
      </c>
      <c r="AF183" t="s">
        <v>146</v>
      </c>
      <c r="AG183">
        <v>1.6875000000000001E-2</v>
      </c>
      <c r="AH183">
        <v>2</v>
      </c>
      <c r="AI183">
        <v>68991291</v>
      </c>
      <c r="AJ183">
        <v>174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ROW(Source!A70)</f>
        <v>70</v>
      </c>
      <c r="B184">
        <v>68991305</v>
      </c>
      <c r="C184">
        <v>68991287</v>
      </c>
      <c r="D184">
        <v>64402082</v>
      </c>
      <c r="E184">
        <v>1</v>
      </c>
      <c r="F184">
        <v>1</v>
      </c>
      <c r="G184">
        <v>1</v>
      </c>
      <c r="H184">
        <v>2</v>
      </c>
      <c r="I184" t="s">
        <v>1023</v>
      </c>
      <c r="J184" t="s">
        <v>1024</v>
      </c>
      <c r="K184" t="s">
        <v>1025</v>
      </c>
      <c r="L184">
        <v>1368</v>
      </c>
      <c r="N184">
        <v>1011</v>
      </c>
      <c r="O184" t="s">
        <v>824</v>
      </c>
      <c r="P184" t="s">
        <v>824</v>
      </c>
      <c r="Q184">
        <v>1</v>
      </c>
      <c r="X184">
        <v>1.69</v>
      </c>
      <c r="Y184">
        <v>0</v>
      </c>
      <c r="Z184">
        <v>12.39</v>
      </c>
      <c r="AA184">
        <v>10.06</v>
      </c>
      <c r="AB184">
        <v>0</v>
      </c>
      <c r="AC184">
        <v>0</v>
      </c>
      <c r="AD184">
        <v>1</v>
      </c>
      <c r="AE184">
        <v>0</v>
      </c>
      <c r="AF184" t="s">
        <v>146</v>
      </c>
      <c r="AG184">
        <v>2.8518750000000002</v>
      </c>
      <c r="AH184">
        <v>2</v>
      </c>
      <c r="AI184">
        <v>68991292</v>
      </c>
      <c r="AJ184">
        <v>175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ROW(Source!A70)</f>
        <v>70</v>
      </c>
      <c r="B185">
        <v>68991306</v>
      </c>
      <c r="C185">
        <v>68991287</v>
      </c>
      <c r="D185">
        <v>64402691</v>
      </c>
      <c r="E185">
        <v>1</v>
      </c>
      <c r="F185">
        <v>1</v>
      </c>
      <c r="G185">
        <v>1</v>
      </c>
      <c r="H185">
        <v>2</v>
      </c>
      <c r="I185" t="s">
        <v>825</v>
      </c>
      <c r="J185" t="s">
        <v>826</v>
      </c>
      <c r="K185" t="s">
        <v>827</v>
      </c>
      <c r="L185">
        <v>1368</v>
      </c>
      <c r="N185">
        <v>1011</v>
      </c>
      <c r="O185" t="s">
        <v>824</v>
      </c>
      <c r="P185" t="s">
        <v>824</v>
      </c>
      <c r="Q185">
        <v>1</v>
      </c>
      <c r="X185">
        <v>0.01</v>
      </c>
      <c r="Y185">
        <v>0</v>
      </c>
      <c r="Z185">
        <v>65.709999999999994</v>
      </c>
      <c r="AA185">
        <v>11.6</v>
      </c>
      <c r="AB185">
        <v>0</v>
      </c>
      <c r="AC185">
        <v>0</v>
      </c>
      <c r="AD185">
        <v>1</v>
      </c>
      <c r="AE185">
        <v>0</v>
      </c>
      <c r="AF185" t="s">
        <v>146</v>
      </c>
      <c r="AG185">
        <v>1.6875000000000001E-2</v>
      </c>
      <c r="AH185">
        <v>2</v>
      </c>
      <c r="AI185">
        <v>68991293</v>
      </c>
      <c r="AJ185">
        <v>176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ROW(Source!A70)</f>
        <v>70</v>
      </c>
      <c r="B186">
        <v>68991307</v>
      </c>
      <c r="C186">
        <v>68991287</v>
      </c>
      <c r="D186">
        <v>64252759</v>
      </c>
      <c r="E186">
        <v>1</v>
      </c>
      <c r="F186">
        <v>1</v>
      </c>
      <c r="G186">
        <v>1</v>
      </c>
      <c r="H186">
        <v>3</v>
      </c>
      <c r="I186" t="s">
        <v>988</v>
      </c>
      <c r="J186" t="s">
        <v>989</v>
      </c>
      <c r="K186" t="s">
        <v>990</v>
      </c>
      <c r="L186">
        <v>1339</v>
      </c>
      <c r="N186">
        <v>1007</v>
      </c>
      <c r="O186" t="s">
        <v>113</v>
      </c>
      <c r="P186" t="s">
        <v>113</v>
      </c>
      <c r="Q186">
        <v>1</v>
      </c>
      <c r="X186">
        <v>0.44</v>
      </c>
      <c r="Y186">
        <v>2.44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3</v>
      </c>
      <c r="AG186">
        <v>0.44</v>
      </c>
      <c r="AH186">
        <v>2</v>
      </c>
      <c r="AI186">
        <v>68991294</v>
      </c>
      <c r="AJ186">
        <v>177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ROW(Source!A70)</f>
        <v>70</v>
      </c>
      <c r="B187">
        <v>68991308</v>
      </c>
      <c r="C187">
        <v>68991287</v>
      </c>
      <c r="D187">
        <v>64258158</v>
      </c>
      <c r="E187">
        <v>1</v>
      </c>
      <c r="F187">
        <v>1</v>
      </c>
      <c r="G187">
        <v>1</v>
      </c>
      <c r="H187">
        <v>3</v>
      </c>
      <c r="I187" t="s">
        <v>1050</v>
      </c>
      <c r="J187" t="s">
        <v>1051</v>
      </c>
      <c r="K187" t="s">
        <v>1052</v>
      </c>
      <c r="L187">
        <v>1348</v>
      </c>
      <c r="N187">
        <v>1009</v>
      </c>
      <c r="O187" t="s">
        <v>71</v>
      </c>
      <c r="P187" t="s">
        <v>71</v>
      </c>
      <c r="Q187">
        <v>1000</v>
      </c>
      <c r="X187">
        <v>1.2999999999999999E-2</v>
      </c>
      <c r="Y187">
        <v>6513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3</v>
      </c>
      <c r="AG187">
        <v>1.2999999999999999E-2</v>
      </c>
      <c r="AH187">
        <v>2</v>
      </c>
      <c r="AI187">
        <v>68991295</v>
      </c>
      <c r="AJ187">
        <v>178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ROW(Source!A70)</f>
        <v>70</v>
      </c>
      <c r="B188">
        <v>68991309</v>
      </c>
      <c r="C188">
        <v>68991287</v>
      </c>
      <c r="D188">
        <v>64268074</v>
      </c>
      <c r="E188">
        <v>1</v>
      </c>
      <c r="F188">
        <v>1</v>
      </c>
      <c r="G188">
        <v>1</v>
      </c>
      <c r="H188">
        <v>3</v>
      </c>
      <c r="I188" t="s">
        <v>236</v>
      </c>
      <c r="J188" t="s">
        <v>238</v>
      </c>
      <c r="K188" t="s">
        <v>237</v>
      </c>
      <c r="L188">
        <v>1327</v>
      </c>
      <c r="N188">
        <v>1005</v>
      </c>
      <c r="O188" t="s">
        <v>46</v>
      </c>
      <c r="P188" t="s">
        <v>46</v>
      </c>
      <c r="Q188">
        <v>1</v>
      </c>
      <c r="X188">
        <v>102</v>
      </c>
      <c r="Y188">
        <v>140.44999999999999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3</v>
      </c>
      <c r="AG188">
        <v>102</v>
      </c>
      <c r="AH188">
        <v>2</v>
      </c>
      <c r="AI188">
        <v>68991296</v>
      </c>
      <c r="AJ188">
        <v>179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ROW(Source!A70)</f>
        <v>70</v>
      </c>
      <c r="B189">
        <v>68991310</v>
      </c>
      <c r="C189">
        <v>68991287</v>
      </c>
      <c r="D189">
        <v>64243383</v>
      </c>
      <c r="E189">
        <v>56</v>
      </c>
      <c r="F189">
        <v>1</v>
      </c>
      <c r="G189">
        <v>1</v>
      </c>
      <c r="H189">
        <v>3</v>
      </c>
      <c r="I189" t="s">
        <v>1289</v>
      </c>
      <c r="J189" t="s">
        <v>3</v>
      </c>
      <c r="K189" t="s">
        <v>1290</v>
      </c>
      <c r="L189">
        <v>1339</v>
      </c>
      <c r="N189">
        <v>1007</v>
      </c>
      <c r="O189" t="s">
        <v>113</v>
      </c>
      <c r="P189" t="s">
        <v>113</v>
      </c>
      <c r="Q189">
        <v>1</v>
      </c>
      <c r="X189">
        <v>0.01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 t="s">
        <v>3</v>
      </c>
      <c r="AG189">
        <v>0.01</v>
      </c>
      <c r="AH189">
        <v>3</v>
      </c>
      <c r="AI189">
        <v>-1</v>
      </c>
      <c r="AJ189" t="s">
        <v>3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ROW(Source!A70)</f>
        <v>70</v>
      </c>
      <c r="B190">
        <v>68991311</v>
      </c>
      <c r="C190">
        <v>68991287</v>
      </c>
      <c r="D190">
        <v>64243881</v>
      </c>
      <c r="E190">
        <v>56</v>
      </c>
      <c r="F190">
        <v>1</v>
      </c>
      <c r="G190">
        <v>1</v>
      </c>
      <c r="H190">
        <v>3</v>
      </c>
      <c r="I190" t="s">
        <v>1291</v>
      </c>
      <c r="J190" t="s">
        <v>3</v>
      </c>
      <c r="K190" t="s">
        <v>1292</v>
      </c>
      <c r="L190">
        <v>1348</v>
      </c>
      <c r="N190">
        <v>1009</v>
      </c>
      <c r="O190" t="s">
        <v>71</v>
      </c>
      <c r="P190" t="s">
        <v>71</v>
      </c>
      <c r="Q190">
        <v>1000</v>
      </c>
      <c r="X190">
        <v>1.2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 t="s">
        <v>3</v>
      </c>
      <c r="AG190">
        <v>1.2</v>
      </c>
      <c r="AH190">
        <v>3</v>
      </c>
      <c r="AI190">
        <v>-1</v>
      </c>
      <c r="AJ190" t="s">
        <v>3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ROW(Source!A70)</f>
        <v>70</v>
      </c>
      <c r="B191">
        <v>68991312</v>
      </c>
      <c r="C191">
        <v>68991287</v>
      </c>
      <c r="D191">
        <v>64244008</v>
      </c>
      <c r="E191">
        <v>56</v>
      </c>
      <c r="F191">
        <v>1</v>
      </c>
      <c r="G191">
        <v>1</v>
      </c>
      <c r="H191">
        <v>3</v>
      </c>
      <c r="I191" t="s">
        <v>1282</v>
      </c>
      <c r="J191" t="s">
        <v>3</v>
      </c>
      <c r="K191" t="s">
        <v>1283</v>
      </c>
      <c r="L191">
        <v>1348</v>
      </c>
      <c r="N191">
        <v>1009</v>
      </c>
      <c r="O191" t="s">
        <v>71</v>
      </c>
      <c r="P191" t="s">
        <v>71</v>
      </c>
      <c r="Q191">
        <v>1000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1</v>
      </c>
      <c r="AD191">
        <v>0</v>
      </c>
      <c r="AE191">
        <v>0</v>
      </c>
      <c r="AF191" t="s">
        <v>3</v>
      </c>
      <c r="AG191">
        <v>0</v>
      </c>
      <c r="AH191">
        <v>3</v>
      </c>
      <c r="AI191">
        <v>-1</v>
      </c>
      <c r="AJ191" t="s">
        <v>3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ROW(Source!A76)</f>
        <v>76</v>
      </c>
      <c r="B192">
        <v>68991333</v>
      </c>
      <c r="C192">
        <v>68991318</v>
      </c>
      <c r="D192">
        <v>37065248</v>
      </c>
      <c r="E192">
        <v>54</v>
      </c>
      <c r="F192">
        <v>1</v>
      </c>
      <c r="G192">
        <v>1</v>
      </c>
      <c r="H192">
        <v>1</v>
      </c>
      <c r="I192" t="s">
        <v>857</v>
      </c>
      <c r="J192" t="s">
        <v>3</v>
      </c>
      <c r="K192" t="s">
        <v>858</v>
      </c>
      <c r="L192">
        <v>1191</v>
      </c>
      <c r="N192">
        <v>1013</v>
      </c>
      <c r="O192" t="s">
        <v>818</v>
      </c>
      <c r="P192" t="s">
        <v>818</v>
      </c>
      <c r="Q192">
        <v>1</v>
      </c>
      <c r="X192">
        <v>4.8499999999999996</v>
      </c>
      <c r="Y192">
        <v>0</v>
      </c>
      <c r="Z192">
        <v>0</v>
      </c>
      <c r="AA192">
        <v>0</v>
      </c>
      <c r="AB192">
        <v>8.5299999999999994</v>
      </c>
      <c r="AC192">
        <v>0</v>
      </c>
      <c r="AD192">
        <v>1</v>
      </c>
      <c r="AE192">
        <v>1</v>
      </c>
      <c r="AF192" t="s">
        <v>147</v>
      </c>
      <c r="AG192">
        <v>7.5296249999999985</v>
      </c>
      <c r="AH192">
        <v>2</v>
      </c>
      <c r="AI192">
        <v>68991319</v>
      </c>
      <c r="AJ192">
        <v>184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ROW(Source!A76)</f>
        <v>76</v>
      </c>
      <c r="B193">
        <v>68991334</v>
      </c>
      <c r="C193">
        <v>68991318</v>
      </c>
      <c r="D193">
        <v>37064876</v>
      </c>
      <c r="E193">
        <v>54</v>
      </c>
      <c r="F193">
        <v>1</v>
      </c>
      <c r="G193">
        <v>1</v>
      </c>
      <c r="H193">
        <v>1</v>
      </c>
      <c r="I193" t="s">
        <v>819</v>
      </c>
      <c r="J193" t="s">
        <v>3</v>
      </c>
      <c r="K193" t="s">
        <v>820</v>
      </c>
      <c r="L193">
        <v>1191</v>
      </c>
      <c r="N193">
        <v>1013</v>
      </c>
      <c r="O193" t="s">
        <v>818</v>
      </c>
      <c r="P193" t="s">
        <v>818</v>
      </c>
      <c r="Q193">
        <v>1</v>
      </c>
      <c r="X193">
        <v>0.12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2</v>
      </c>
      <c r="AF193" t="s">
        <v>146</v>
      </c>
      <c r="AG193">
        <v>0.20250000000000001</v>
      </c>
      <c r="AH193">
        <v>2</v>
      </c>
      <c r="AI193">
        <v>68991320</v>
      </c>
      <c r="AJ193">
        <v>185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ROW(Source!A76)</f>
        <v>76</v>
      </c>
      <c r="B194">
        <v>68991335</v>
      </c>
      <c r="C194">
        <v>68991318</v>
      </c>
      <c r="D194">
        <v>55688846</v>
      </c>
      <c r="E194">
        <v>1</v>
      </c>
      <c r="F194">
        <v>1</v>
      </c>
      <c r="G194">
        <v>1</v>
      </c>
      <c r="H194">
        <v>2</v>
      </c>
      <c r="I194" t="s">
        <v>821</v>
      </c>
      <c r="J194" t="s">
        <v>822</v>
      </c>
      <c r="K194" t="s">
        <v>823</v>
      </c>
      <c r="L194">
        <v>1368</v>
      </c>
      <c r="N194">
        <v>1011</v>
      </c>
      <c r="O194" t="s">
        <v>824</v>
      </c>
      <c r="P194" t="s">
        <v>824</v>
      </c>
      <c r="Q194">
        <v>1</v>
      </c>
      <c r="X194">
        <v>0.01</v>
      </c>
      <c r="Y194">
        <v>0</v>
      </c>
      <c r="Z194">
        <v>115.4</v>
      </c>
      <c r="AA194">
        <v>13.5</v>
      </c>
      <c r="AB194">
        <v>0</v>
      </c>
      <c r="AC194">
        <v>0</v>
      </c>
      <c r="AD194">
        <v>1</v>
      </c>
      <c r="AE194">
        <v>0</v>
      </c>
      <c r="AF194" t="s">
        <v>146</v>
      </c>
      <c r="AG194">
        <v>1.6875000000000001E-2</v>
      </c>
      <c r="AH194">
        <v>2</v>
      </c>
      <c r="AI194">
        <v>68991321</v>
      </c>
      <c r="AJ194">
        <v>186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ROW(Source!A76)</f>
        <v>76</v>
      </c>
      <c r="B195">
        <v>68991336</v>
      </c>
      <c r="C195">
        <v>68991318</v>
      </c>
      <c r="D195">
        <v>55689123</v>
      </c>
      <c r="E195">
        <v>1</v>
      </c>
      <c r="F195">
        <v>1</v>
      </c>
      <c r="G195">
        <v>1</v>
      </c>
      <c r="H195">
        <v>2</v>
      </c>
      <c r="I195" t="s">
        <v>1053</v>
      </c>
      <c r="J195" t="s">
        <v>1054</v>
      </c>
      <c r="K195" t="s">
        <v>1055</v>
      </c>
      <c r="L195">
        <v>1368</v>
      </c>
      <c r="N195">
        <v>1011</v>
      </c>
      <c r="O195" t="s">
        <v>824</v>
      </c>
      <c r="P195" t="s">
        <v>824</v>
      </c>
      <c r="Q195">
        <v>1</v>
      </c>
      <c r="X195">
        <v>0.17</v>
      </c>
      <c r="Y195">
        <v>0</v>
      </c>
      <c r="Z195">
        <v>1.9</v>
      </c>
      <c r="AA195">
        <v>0</v>
      </c>
      <c r="AB195">
        <v>0</v>
      </c>
      <c r="AC195">
        <v>0</v>
      </c>
      <c r="AD195">
        <v>1</v>
      </c>
      <c r="AE195">
        <v>0</v>
      </c>
      <c r="AF195" t="s">
        <v>146</v>
      </c>
      <c r="AG195">
        <v>0.28687500000000005</v>
      </c>
      <c r="AH195">
        <v>2</v>
      </c>
      <c r="AI195">
        <v>68991322</v>
      </c>
      <c r="AJ195">
        <v>187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ROW(Source!A76)</f>
        <v>76</v>
      </c>
      <c r="B196">
        <v>68991337</v>
      </c>
      <c r="C196">
        <v>68991318</v>
      </c>
      <c r="D196">
        <v>55689124</v>
      </c>
      <c r="E196">
        <v>1</v>
      </c>
      <c r="F196">
        <v>1</v>
      </c>
      <c r="G196">
        <v>1</v>
      </c>
      <c r="H196">
        <v>2</v>
      </c>
      <c r="I196" t="s">
        <v>1056</v>
      </c>
      <c r="J196" t="s">
        <v>1057</v>
      </c>
      <c r="K196" t="s">
        <v>1058</v>
      </c>
      <c r="L196">
        <v>1368</v>
      </c>
      <c r="N196">
        <v>1011</v>
      </c>
      <c r="O196" t="s">
        <v>824</v>
      </c>
      <c r="P196" t="s">
        <v>824</v>
      </c>
      <c r="Q196">
        <v>1</v>
      </c>
      <c r="X196">
        <v>0.1</v>
      </c>
      <c r="Y196">
        <v>0</v>
      </c>
      <c r="Z196">
        <v>0.5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146</v>
      </c>
      <c r="AG196">
        <v>0.16875000000000001</v>
      </c>
      <c r="AH196">
        <v>2</v>
      </c>
      <c r="AI196">
        <v>68991323</v>
      </c>
      <c r="AJ196">
        <v>188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ROW(Source!A76)</f>
        <v>76</v>
      </c>
      <c r="B197">
        <v>68991338</v>
      </c>
      <c r="C197">
        <v>68991318</v>
      </c>
      <c r="D197">
        <v>55689769</v>
      </c>
      <c r="E197">
        <v>1</v>
      </c>
      <c r="F197">
        <v>1</v>
      </c>
      <c r="G197">
        <v>1</v>
      </c>
      <c r="H197">
        <v>2</v>
      </c>
      <c r="I197" t="s">
        <v>825</v>
      </c>
      <c r="J197" t="s">
        <v>826</v>
      </c>
      <c r="K197" t="s">
        <v>827</v>
      </c>
      <c r="L197">
        <v>1368</v>
      </c>
      <c r="N197">
        <v>1011</v>
      </c>
      <c r="O197" t="s">
        <v>824</v>
      </c>
      <c r="P197" t="s">
        <v>824</v>
      </c>
      <c r="Q197">
        <v>1</v>
      </c>
      <c r="X197">
        <v>0.11</v>
      </c>
      <c r="Y197">
        <v>0</v>
      </c>
      <c r="Z197">
        <v>65.709999999999994</v>
      </c>
      <c r="AA197">
        <v>11.6</v>
      </c>
      <c r="AB197">
        <v>0</v>
      </c>
      <c r="AC197">
        <v>0</v>
      </c>
      <c r="AD197">
        <v>1</v>
      </c>
      <c r="AE197">
        <v>0</v>
      </c>
      <c r="AF197" t="s">
        <v>146</v>
      </c>
      <c r="AG197">
        <v>0.18562500000000004</v>
      </c>
      <c r="AH197">
        <v>2</v>
      </c>
      <c r="AI197">
        <v>68991324</v>
      </c>
      <c r="AJ197">
        <v>189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ROW(Source!A76)</f>
        <v>76</v>
      </c>
      <c r="B198">
        <v>68991339</v>
      </c>
      <c r="C198">
        <v>68991318</v>
      </c>
      <c r="D198">
        <v>55540952</v>
      </c>
      <c r="E198">
        <v>1</v>
      </c>
      <c r="F198">
        <v>1</v>
      </c>
      <c r="G198">
        <v>1</v>
      </c>
      <c r="H198">
        <v>3</v>
      </c>
      <c r="I198" t="s">
        <v>988</v>
      </c>
      <c r="J198" t="s">
        <v>989</v>
      </c>
      <c r="K198" t="s">
        <v>990</v>
      </c>
      <c r="L198">
        <v>1339</v>
      </c>
      <c r="N198">
        <v>1007</v>
      </c>
      <c r="O198" t="s">
        <v>113</v>
      </c>
      <c r="P198" t="s">
        <v>113</v>
      </c>
      <c r="Q198">
        <v>1</v>
      </c>
      <c r="X198">
        <v>8.3999999999999995E-3</v>
      </c>
      <c r="Y198">
        <v>2.44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3</v>
      </c>
      <c r="AG198">
        <v>8.3999999999999995E-3</v>
      </c>
      <c r="AH198">
        <v>2</v>
      </c>
      <c r="AI198">
        <v>68991325</v>
      </c>
      <c r="AJ198">
        <v>190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ROW(Source!A76)</f>
        <v>76</v>
      </c>
      <c r="B199">
        <v>68991340</v>
      </c>
      <c r="C199">
        <v>68991318</v>
      </c>
      <c r="D199">
        <v>55543000</v>
      </c>
      <c r="E199">
        <v>1</v>
      </c>
      <c r="F199">
        <v>1</v>
      </c>
      <c r="G199">
        <v>1</v>
      </c>
      <c r="H199">
        <v>3</v>
      </c>
      <c r="I199" t="s">
        <v>1059</v>
      </c>
      <c r="J199" t="s">
        <v>1060</v>
      </c>
      <c r="K199" t="s">
        <v>1061</v>
      </c>
      <c r="L199">
        <v>1327</v>
      </c>
      <c r="N199">
        <v>1005</v>
      </c>
      <c r="O199" t="s">
        <v>46</v>
      </c>
      <c r="P199" t="s">
        <v>46</v>
      </c>
      <c r="Q199">
        <v>1</v>
      </c>
      <c r="X199">
        <v>0.23</v>
      </c>
      <c r="Y199">
        <v>32.299999999999997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3</v>
      </c>
      <c r="AG199">
        <v>0.23</v>
      </c>
      <c r="AH199">
        <v>2</v>
      </c>
      <c r="AI199">
        <v>68991326</v>
      </c>
      <c r="AJ199">
        <v>191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ROW(Source!A76)</f>
        <v>76</v>
      </c>
      <c r="B200">
        <v>68991341</v>
      </c>
      <c r="C200">
        <v>68991318</v>
      </c>
      <c r="D200">
        <v>55530069</v>
      </c>
      <c r="E200">
        <v>54</v>
      </c>
      <c r="F200">
        <v>1</v>
      </c>
      <c r="G200">
        <v>1</v>
      </c>
      <c r="H200">
        <v>3</v>
      </c>
      <c r="I200" t="s">
        <v>1293</v>
      </c>
      <c r="J200" t="s">
        <v>3</v>
      </c>
      <c r="K200" t="s">
        <v>1294</v>
      </c>
      <c r="L200">
        <v>1377</v>
      </c>
      <c r="N200">
        <v>1013</v>
      </c>
      <c r="O200" t="s">
        <v>1262</v>
      </c>
      <c r="P200" t="s">
        <v>1262</v>
      </c>
      <c r="Q200">
        <v>1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1</v>
      </c>
      <c r="AD200">
        <v>0</v>
      </c>
      <c r="AE200">
        <v>0</v>
      </c>
      <c r="AF200" t="s">
        <v>3</v>
      </c>
      <c r="AG200">
        <v>0</v>
      </c>
      <c r="AH200">
        <v>3</v>
      </c>
      <c r="AI200">
        <v>-1</v>
      </c>
      <c r="AJ200" t="s">
        <v>3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ROW(Source!A76)</f>
        <v>76</v>
      </c>
      <c r="B201">
        <v>68991342</v>
      </c>
      <c r="C201">
        <v>68991318</v>
      </c>
      <c r="D201">
        <v>55530410</v>
      </c>
      <c r="E201">
        <v>54</v>
      </c>
      <c r="F201">
        <v>1</v>
      </c>
      <c r="G201">
        <v>1</v>
      </c>
      <c r="H201">
        <v>3</v>
      </c>
      <c r="I201" t="s">
        <v>1295</v>
      </c>
      <c r="J201" t="s">
        <v>3</v>
      </c>
      <c r="K201" t="s">
        <v>1296</v>
      </c>
      <c r="L201">
        <v>1339</v>
      </c>
      <c r="N201">
        <v>1007</v>
      </c>
      <c r="O201" t="s">
        <v>113</v>
      </c>
      <c r="P201" t="s">
        <v>113</v>
      </c>
      <c r="Q201">
        <v>1</v>
      </c>
      <c r="X201">
        <v>1.0149999999999999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 t="s">
        <v>3</v>
      </c>
      <c r="AG201">
        <v>1.0149999999999999</v>
      </c>
      <c r="AH201">
        <v>3</v>
      </c>
      <c r="AI201">
        <v>-1</v>
      </c>
      <c r="AJ201" t="s">
        <v>3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ROW(Source!A76)</f>
        <v>76</v>
      </c>
      <c r="B202">
        <v>68991343</v>
      </c>
      <c r="C202">
        <v>68991318</v>
      </c>
      <c r="D202">
        <v>55560204</v>
      </c>
      <c r="E202">
        <v>1</v>
      </c>
      <c r="F202">
        <v>1</v>
      </c>
      <c r="G202">
        <v>1</v>
      </c>
      <c r="H202">
        <v>3</v>
      </c>
      <c r="I202" t="s">
        <v>1062</v>
      </c>
      <c r="J202" t="s">
        <v>1063</v>
      </c>
      <c r="K202" t="s">
        <v>1064</v>
      </c>
      <c r="L202">
        <v>1346</v>
      </c>
      <c r="N202">
        <v>1009</v>
      </c>
      <c r="O202" t="s">
        <v>170</v>
      </c>
      <c r="P202" t="s">
        <v>170</v>
      </c>
      <c r="Q202">
        <v>1</v>
      </c>
      <c r="X202">
        <v>0.3</v>
      </c>
      <c r="Y202">
        <v>9.5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3</v>
      </c>
      <c r="AG202">
        <v>0.3</v>
      </c>
      <c r="AH202">
        <v>2</v>
      </c>
      <c r="AI202">
        <v>68991330</v>
      </c>
      <c r="AJ202">
        <v>194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ROW(Source!A76)</f>
        <v>76</v>
      </c>
      <c r="B203">
        <v>68991344</v>
      </c>
      <c r="C203">
        <v>68991318</v>
      </c>
      <c r="D203">
        <v>55531643</v>
      </c>
      <c r="E203">
        <v>54</v>
      </c>
      <c r="F203">
        <v>1</v>
      </c>
      <c r="G203">
        <v>1</v>
      </c>
      <c r="H203">
        <v>3</v>
      </c>
      <c r="I203" t="s">
        <v>1297</v>
      </c>
      <c r="J203" t="s">
        <v>3</v>
      </c>
      <c r="K203" t="s">
        <v>1298</v>
      </c>
      <c r="L203">
        <v>1348</v>
      </c>
      <c r="N203">
        <v>1009</v>
      </c>
      <c r="O203" t="s">
        <v>71</v>
      </c>
      <c r="P203" t="s">
        <v>71</v>
      </c>
      <c r="Q203">
        <v>1000</v>
      </c>
      <c r="X203">
        <v>0.03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 t="s">
        <v>3</v>
      </c>
      <c r="AG203">
        <v>0.03</v>
      </c>
      <c r="AH203">
        <v>3</v>
      </c>
      <c r="AI203">
        <v>-1</v>
      </c>
      <c r="AJ203" t="s">
        <v>3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ROW(Source!A76)</f>
        <v>76</v>
      </c>
      <c r="B204">
        <v>68991345</v>
      </c>
      <c r="C204">
        <v>68991318</v>
      </c>
      <c r="D204">
        <v>55564315</v>
      </c>
      <c r="E204">
        <v>1</v>
      </c>
      <c r="F204">
        <v>1</v>
      </c>
      <c r="G204">
        <v>1</v>
      </c>
      <c r="H204">
        <v>3</v>
      </c>
      <c r="I204" t="s">
        <v>1065</v>
      </c>
      <c r="J204" t="s">
        <v>1066</v>
      </c>
      <c r="K204" t="s">
        <v>1067</v>
      </c>
      <c r="L204">
        <v>1339</v>
      </c>
      <c r="N204">
        <v>1007</v>
      </c>
      <c r="O204" t="s">
        <v>113</v>
      </c>
      <c r="P204" t="s">
        <v>113</v>
      </c>
      <c r="Q204">
        <v>1</v>
      </c>
      <c r="X204">
        <v>1.7999999999999999E-2</v>
      </c>
      <c r="Y204">
        <v>1287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3</v>
      </c>
      <c r="AG204">
        <v>1.7999999999999999E-2</v>
      </c>
      <c r="AH204">
        <v>2</v>
      </c>
      <c r="AI204">
        <v>68991331</v>
      </c>
      <c r="AJ204">
        <v>196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ROW(Source!A76)</f>
        <v>76</v>
      </c>
      <c r="B205">
        <v>68991346</v>
      </c>
      <c r="C205">
        <v>68991318</v>
      </c>
      <c r="D205">
        <v>55564503</v>
      </c>
      <c r="E205">
        <v>1</v>
      </c>
      <c r="F205">
        <v>1</v>
      </c>
      <c r="G205">
        <v>1</v>
      </c>
      <c r="H205">
        <v>3</v>
      </c>
      <c r="I205" t="s">
        <v>1068</v>
      </c>
      <c r="J205" t="s">
        <v>1069</v>
      </c>
      <c r="K205" t="s">
        <v>1070</v>
      </c>
      <c r="L205">
        <v>1339</v>
      </c>
      <c r="N205">
        <v>1007</v>
      </c>
      <c r="O205" t="s">
        <v>113</v>
      </c>
      <c r="P205" t="s">
        <v>113</v>
      </c>
      <c r="Q205">
        <v>1</v>
      </c>
      <c r="X205">
        <v>0.13800000000000001</v>
      </c>
      <c r="Y205">
        <v>1056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3</v>
      </c>
      <c r="AG205">
        <v>0.13800000000000001</v>
      </c>
      <c r="AH205">
        <v>2</v>
      </c>
      <c r="AI205">
        <v>68991332</v>
      </c>
      <c r="AJ205">
        <v>197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ROW(Source!A80)</f>
        <v>80</v>
      </c>
      <c r="B206">
        <v>68991382</v>
      </c>
      <c r="C206">
        <v>68991381</v>
      </c>
      <c r="D206">
        <v>64240937</v>
      </c>
      <c r="E206">
        <v>56</v>
      </c>
      <c r="F206">
        <v>1</v>
      </c>
      <c r="G206">
        <v>1</v>
      </c>
      <c r="H206">
        <v>1</v>
      </c>
      <c r="I206" t="s">
        <v>892</v>
      </c>
      <c r="J206" t="s">
        <v>3</v>
      </c>
      <c r="K206" t="s">
        <v>893</v>
      </c>
      <c r="L206">
        <v>1191</v>
      </c>
      <c r="N206">
        <v>1013</v>
      </c>
      <c r="O206" t="s">
        <v>818</v>
      </c>
      <c r="P206" t="s">
        <v>818</v>
      </c>
      <c r="Q206">
        <v>1</v>
      </c>
      <c r="X206">
        <v>135</v>
      </c>
      <c r="Y206">
        <v>0</v>
      </c>
      <c r="Z206">
        <v>0</v>
      </c>
      <c r="AA206">
        <v>0</v>
      </c>
      <c r="AB206">
        <v>7.8</v>
      </c>
      <c r="AC206">
        <v>0</v>
      </c>
      <c r="AD206">
        <v>1</v>
      </c>
      <c r="AE206">
        <v>1</v>
      </c>
      <c r="AF206" t="s">
        <v>147</v>
      </c>
      <c r="AG206">
        <v>209.58750000000001</v>
      </c>
      <c r="AH206">
        <v>2</v>
      </c>
      <c r="AI206">
        <v>68991382</v>
      </c>
      <c r="AJ206">
        <v>198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ROW(Source!A80)</f>
        <v>80</v>
      </c>
      <c r="B207">
        <v>68991383</v>
      </c>
      <c r="C207">
        <v>68991381</v>
      </c>
      <c r="D207">
        <v>64241154</v>
      </c>
      <c r="E207">
        <v>56</v>
      </c>
      <c r="F207">
        <v>1</v>
      </c>
      <c r="G207">
        <v>1</v>
      </c>
      <c r="H207">
        <v>1</v>
      </c>
      <c r="I207" t="s">
        <v>819</v>
      </c>
      <c r="J207" t="s">
        <v>3</v>
      </c>
      <c r="K207" t="s">
        <v>820</v>
      </c>
      <c r="L207">
        <v>1191</v>
      </c>
      <c r="N207">
        <v>1013</v>
      </c>
      <c r="O207" t="s">
        <v>818</v>
      </c>
      <c r="P207" t="s">
        <v>818</v>
      </c>
      <c r="Q207">
        <v>1</v>
      </c>
      <c r="X207">
        <v>18.12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2</v>
      </c>
      <c r="AF207" t="s">
        <v>146</v>
      </c>
      <c r="AG207">
        <v>30.577500000000004</v>
      </c>
      <c r="AH207">
        <v>2</v>
      </c>
      <c r="AI207">
        <v>68991383</v>
      </c>
      <c r="AJ207">
        <v>199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ROW(Source!A80)</f>
        <v>80</v>
      </c>
      <c r="B208">
        <v>68991384</v>
      </c>
      <c r="C208">
        <v>68991381</v>
      </c>
      <c r="D208">
        <v>64401705</v>
      </c>
      <c r="E208">
        <v>1</v>
      </c>
      <c r="F208">
        <v>1</v>
      </c>
      <c r="G208">
        <v>1</v>
      </c>
      <c r="H208">
        <v>2</v>
      </c>
      <c r="I208" t="s">
        <v>1071</v>
      </c>
      <c r="J208" t="s">
        <v>1072</v>
      </c>
      <c r="K208" t="s">
        <v>1073</v>
      </c>
      <c r="L208">
        <v>1368</v>
      </c>
      <c r="N208">
        <v>1011</v>
      </c>
      <c r="O208" t="s">
        <v>824</v>
      </c>
      <c r="P208" t="s">
        <v>824</v>
      </c>
      <c r="Q208">
        <v>1</v>
      </c>
      <c r="X208">
        <v>18</v>
      </c>
      <c r="Y208">
        <v>0</v>
      </c>
      <c r="Z208">
        <v>86.4</v>
      </c>
      <c r="AA208">
        <v>13.5</v>
      </c>
      <c r="AB208">
        <v>0</v>
      </c>
      <c r="AC208">
        <v>0</v>
      </c>
      <c r="AD208">
        <v>1</v>
      </c>
      <c r="AE208">
        <v>0</v>
      </c>
      <c r="AF208" t="s">
        <v>146</v>
      </c>
      <c r="AG208">
        <v>30.375000000000004</v>
      </c>
      <c r="AH208">
        <v>2</v>
      </c>
      <c r="AI208">
        <v>68991384</v>
      </c>
      <c r="AJ208">
        <v>200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ROW(Source!A80)</f>
        <v>80</v>
      </c>
      <c r="B209">
        <v>68991385</v>
      </c>
      <c r="C209">
        <v>68991381</v>
      </c>
      <c r="D209">
        <v>64402043</v>
      </c>
      <c r="E209">
        <v>1</v>
      </c>
      <c r="F209">
        <v>1</v>
      </c>
      <c r="G209">
        <v>1</v>
      </c>
      <c r="H209">
        <v>2</v>
      </c>
      <c r="I209" t="s">
        <v>1056</v>
      </c>
      <c r="J209" t="s">
        <v>1057</v>
      </c>
      <c r="K209" t="s">
        <v>1058</v>
      </c>
      <c r="L209">
        <v>1368</v>
      </c>
      <c r="N209">
        <v>1011</v>
      </c>
      <c r="O209" t="s">
        <v>824</v>
      </c>
      <c r="P209" t="s">
        <v>824</v>
      </c>
      <c r="Q209">
        <v>1</v>
      </c>
      <c r="X209">
        <v>5.93</v>
      </c>
      <c r="Y209">
        <v>0</v>
      </c>
      <c r="Z209">
        <v>0.5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146</v>
      </c>
      <c r="AG209">
        <v>10.006875000000001</v>
      </c>
      <c r="AH209">
        <v>2</v>
      </c>
      <c r="AI209">
        <v>68991385</v>
      </c>
      <c r="AJ209">
        <v>201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ROW(Source!A80)</f>
        <v>80</v>
      </c>
      <c r="B210">
        <v>68991386</v>
      </c>
      <c r="C210">
        <v>68991381</v>
      </c>
      <c r="D210">
        <v>64402691</v>
      </c>
      <c r="E210">
        <v>1</v>
      </c>
      <c r="F210">
        <v>1</v>
      </c>
      <c r="G210">
        <v>1</v>
      </c>
      <c r="H210">
        <v>2</v>
      </c>
      <c r="I210" t="s">
        <v>825</v>
      </c>
      <c r="J210" t="s">
        <v>826</v>
      </c>
      <c r="K210" t="s">
        <v>827</v>
      </c>
      <c r="L210">
        <v>1368</v>
      </c>
      <c r="N210">
        <v>1011</v>
      </c>
      <c r="O210" t="s">
        <v>824</v>
      </c>
      <c r="P210" t="s">
        <v>824</v>
      </c>
      <c r="Q210">
        <v>1</v>
      </c>
      <c r="X210">
        <v>0.12</v>
      </c>
      <c r="Y210">
        <v>0</v>
      </c>
      <c r="Z210">
        <v>65.709999999999994</v>
      </c>
      <c r="AA210">
        <v>11.6</v>
      </c>
      <c r="AB210">
        <v>0</v>
      </c>
      <c r="AC210">
        <v>0</v>
      </c>
      <c r="AD210">
        <v>1</v>
      </c>
      <c r="AE210">
        <v>0</v>
      </c>
      <c r="AF210" t="s">
        <v>146</v>
      </c>
      <c r="AG210">
        <v>0.20250000000000001</v>
      </c>
      <c r="AH210">
        <v>2</v>
      </c>
      <c r="AI210">
        <v>68991386</v>
      </c>
      <c r="AJ210">
        <v>202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ROW(Source!A80)</f>
        <v>80</v>
      </c>
      <c r="B211">
        <v>68991387</v>
      </c>
      <c r="C211">
        <v>68991381</v>
      </c>
      <c r="D211">
        <v>64252759</v>
      </c>
      <c r="E211">
        <v>1</v>
      </c>
      <c r="F211">
        <v>1</v>
      </c>
      <c r="G211">
        <v>1</v>
      </c>
      <c r="H211">
        <v>3</v>
      </c>
      <c r="I211" t="s">
        <v>988</v>
      </c>
      <c r="J211" t="s">
        <v>989</v>
      </c>
      <c r="K211" t="s">
        <v>990</v>
      </c>
      <c r="L211">
        <v>1339</v>
      </c>
      <c r="N211">
        <v>1007</v>
      </c>
      <c r="O211" t="s">
        <v>113</v>
      </c>
      <c r="P211" t="s">
        <v>113</v>
      </c>
      <c r="Q211">
        <v>1</v>
      </c>
      <c r="X211">
        <v>1.75</v>
      </c>
      <c r="Y211">
        <v>2.44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3</v>
      </c>
      <c r="AG211">
        <v>1.75</v>
      </c>
      <c r="AH211">
        <v>2</v>
      </c>
      <c r="AI211">
        <v>68991387</v>
      </c>
      <c r="AJ211">
        <v>203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ROW(Source!A80)</f>
        <v>80</v>
      </c>
      <c r="B212">
        <v>68991388</v>
      </c>
      <c r="C212">
        <v>68991381</v>
      </c>
      <c r="D212">
        <v>64253252</v>
      </c>
      <c r="E212">
        <v>1</v>
      </c>
      <c r="F212">
        <v>1</v>
      </c>
      <c r="G212">
        <v>1</v>
      </c>
      <c r="H212">
        <v>3</v>
      </c>
      <c r="I212" t="s">
        <v>1074</v>
      </c>
      <c r="J212" t="s">
        <v>1075</v>
      </c>
      <c r="K212" t="s">
        <v>1076</v>
      </c>
      <c r="L212">
        <v>1327</v>
      </c>
      <c r="N212">
        <v>1005</v>
      </c>
      <c r="O212" t="s">
        <v>46</v>
      </c>
      <c r="P212" t="s">
        <v>46</v>
      </c>
      <c r="Q212">
        <v>1</v>
      </c>
      <c r="X212">
        <v>250</v>
      </c>
      <c r="Y212">
        <v>3.62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0</v>
      </c>
      <c r="AF212" t="s">
        <v>3</v>
      </c>
      <c r="AG212">
        <v>250</v>
      </c>
      <c r="AH212">
        <v>2</v>
      </c>
      <c r="AI212">
        <v>68991388</v>
      </c>
      <c r="AJ212">
        <v>204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ROW(Source!A80)</f>
        <v>80</v>
      </c>
      <c r="B213">
        <v>68991389</v>
      </c>
      <c r="C213">
        <v>68991381</v>
      </c>
      <c r="D213">
        <v>64241908</v>
      </c>
      <c r="E213">
        <v>56</v>
      </c>
      <c r="F213">
        <v>1</v>
      </c>
      <c r="G213">
        <v>1</v>
      </c>
      <c r="H213">
        <v>3</v>
      </c>
      <c r="I213" t="s">
        <v>1295</v>
      </c>
      <c r="J213" t="s">
        <v>3</v>
      </c>
      <c r="K213" t="s">
        <v>1296</v>
      </c>
      <c r="L213">
        <v>1339</v>
      </c>
      <c r="N213">
        <v>1007</v>
      </c>
      <c r="O213" t="s">
        <v>113</v>
      </c>
      <c r="P213" t="s">
        <v>113</v>
      </c>
      <c r="Q213">
        <v>1</v>
      </c>
      <c r="X213">
        <v>102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 t="s">
        <v>3</v>
      </c>
      <c r="AG213">
        <v>102</v>
      </c>
      <c r="AH213">
        <v>3</v>
      </c>
      <c r="AI213">
        <v>-1</v>
      </c>
      <c r="AJ213" t="s">
        <v>3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ROW(Source!A82)</f>
        <v>82</v>
      </c>
      <c r="B214">
        <v>68991450</v>
      </c>
      <c r="C214">
        <v>68991394</v>
      </c>
      <c r="D214">
        <v>64241003</v>
      </c>
      <c r="E214">
        <v>56</v>
      </c>
      <c r="F214">
        <v>1</v>
      </c>
      <c r="G214">
        <v>1</v>
      </c>
      <c r="H214">
        <v>1</v>
      </c>
      <c r="I214" t="s">
        <v>1077</v>
      </c>
      <c r="J214" t="s">
        <v>3</v>
      </c>
      <c r="K214" t="s">
        <v>1078</v>
      </c>
      <c r="L214">
        <v>1191</v>
      </c>
      <c r="N214">
        <v>1013</v>
      </c>
      <c r="O214" t="s">
        <v>818</v>
      </c>
      <c r="P214" t="s">
        <v>818</v>
      </c>
      <c r="Q214">
        <v>1</v>
      </c>
      <c r="X214">
        <v>14.4</v>
      </c>
      <c r="Y214">
        <v>0</v>
      </c>
      <c r="Z214">
        <v>0</v>
      </c>
      <c r="AA214">
        <v>0</v>
      </c>
      <c r="AB214">
        <v>9.2899999999999991</v>
      </c>
      <c r="AC214">
        <v>0</v>
      </c>
      <c r="AD214">
        <v>1</v>
      </c>
      <c r="AE214">
        <v>1</v>
      </c>
      <c r="AF214" t="s">
        <v>147</v>
      </c>
      <c r="AG214">
        <v>22.355999999999998</v>
      </c>
      <c r="AH214">
        <v>2</v>
      </c>
      <c r="AI214">
        <v>68991450</v>
      </c>
      <c r="AJ214">
        <v>206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ROW(Source!A82)</f>
        <v>82</v>
      </c>
      <c r="B215">
        <v>68991451</v>
      </c>
      <c r="C215">
        <v>68991394</v>
      </c>
      <c r="D215">
        <v>64241154</v>
      </c>
      <c r="E215">
        <v>56</v>
      </c>
      <c r="F215">
        <v>1</v>
      </c>
      <c r="G215">
        <v>1</v>
      </c>
      <c r="H215">
        <v>1</v>
      </c>
      <c r="I215" t="s">
        <v>819</v>
      </c>
      <c r="J215" t="s">
        <v>3</v>
      </c>
      <c r="K215" t="s">
        <v>820</v>
      </c>
      <c r="L215">
        <v>1191</v>
      </c>
      <c r="N215">
        <v>1013</v>
      </c>
      <c r="O215" t="s">
        <v>818</v>
      </c>
      <c r="P215" t="s">
        <v>818</v>
      </c>
      <c r="Q215">
        <v>1</v>
      </c>
      <c r="X215">
        <v>7.0000000000000007E-2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2</v>
      </c>
      <c r="AF215" t="s">
        <v>146</v>
      </c>
      <c r="AG215">
        <v>0.11812500000000002</v>
      </c>
      <c r="AH215">
        <v>2</v>
      </c>
      <c r="AI215">
        <v>68991451</v>
      </c>
      <c r="AJ215">
        <v>207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ROW(Source!A82)</f>
        <v>82</v>
      </c>
      <c r="B216">
        <v>68991452</v>
      </c>
      <c r="C216">
        <v>68991394</v>
      </c>
      <c r="D216">
        <v>64401763</v>
      </c>
      <c r="E216">
        <v>1</v>
      </c>
      <c r="F216">
        <v>1</v>
      </c>
      <c r="G216">
        <v>1</v>
      </c>
      <c r="H216">
        <v>2</v>
      </c>
      <c r="I216" t="s">
        <v>821</v>
      </c>
      <c r="J216" t="s">
        <v>822</v>
      </c>
      <c r="K216" t="s">
        <v>823</v>
      </c>
      <c r="L216">
        <v>1368</v>
      </c>
      <c r="N216">
        <v>1011</v>
      </c>
      <c r="O216" t="s">
        <v>824</v>
      </c>
      <c r="P216" t="s">
        <v>824</v>
      </c>
      <c r="Q216">
        <v>1</v>
      </c>
      <c r="X216">
        <v>0.02</v>
      </c>
      <c r="Y216">
        <v>0</v>
      </c>
      <c r="Z216">
        <v>115.4</v>
      </c>
      <c r="AA216">
        <v>13.5</v>
      </c>
      <c r="AB216">
        <v>0</v>
      </c>
      <c r="AC216">
        <v>0</v>
      </c>
      <c r="AD216">
        <v>1</v>
      </c>
      <c r="AE216">
        <v>0</v>
      </c>
      <c r="AF216" t="s">
        <v>146</v>
      </c>
      <c r="AG216">
        <v>3.3750000000000002E-2</v>
      </c>
      <c r="AH216">
        <v>2</v>
      </c>
      <c r="AI216">
        <v>68991452</v>
      </c>
      <c r="AJ216">
        <v>208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ROW(Source!A82)</f>
        <v>82</v>
      </c>
      <c r="B217">
        <v>68991453</v>
      </c>
      <c r="C217">
        <v>68991394</v>
      </c>
      <c r="D217">
        <v>64401921</v>
      </c>
      <c r="E217">
        <v>1</v>
      </c>
      <c r="F217">
        <v>1</v>
      </c>
      <c r="G217">
        <v>1</v>
      </c>
      <c r="H217">
        <v>2</v>
      </c>
      <c r="I217" t="s">
        <v>1020</v>
      </c>
      <c r="J217" t="s">
        <v>1021</v>
      </c>
      <c r="K217" t="s">
        <v>1022</v>
      </c>
      <c r="L217">
        <v>1368</v>
      </c>
      <c r="N217">
        <v>1011</v>
      </c>
      <c r="O217" t="s">
        <v>824</v>
      </c>
      <c r="P217" t="s">
        <v>824</v>
      </c>
      <c r="Q217">
        <v>1</v>
      </c>
      <c r="X217">
        <v>0.03</v>
      </c>
      <c r="Y217">
        <v>0</v>
      </c>
      <c r="Z217">
        <v>89.99</v>
      </c>
      <c r="AA217">
        <v>10.06</v>
      </c>
      <c r="AB217">
        <v>0</v>
      </c>
      <c r="AC217">
        <v>0</v>
      </c>
      <c r="AD217">
        <v>1</v>
      </c>
      <c r="AE217">
        <v>0</v>
      </c>
      <c r="AF217" t="s">
        <v>146</v>
      </c>
      <c r="AG217">
        <v>5.0625000000000003E-2</v>
      </c>
      <c r="AH217">
        <v>2</v>
      </c>
      <c r="AI217">
        <v>68991453</v>
      </c>
      <c r="AJ217">
        <v>209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ROW(Source!A82)</f>
        <v>82</v>
      </c>
      <c r="B218">
        <v>68991454</v>
      </c>
      <c r="C218">
        <v>68991394</v>
      </c>
      <c r="D218">
        <v>64402231</v>
      </c>
      <c r="E218">
        <v>1</v>
      </c>
      <c r="F218">
        <v>1</v>
      </c>
      <c r="G218">
        <v>1</v>
      </c>
      <c r="H218">
        <v>2</v>
      </c>
      <c r="I218" t="s">
        <v>898</v>
      </c>
      <c r="J218" t="s">
        <v>899</v>
      </c>
      <c r="K218" t="s">
        <v>900</v>
      </c>
      <c r="L218">
        <v>1368</v>
      </c>
      <c r="N218">
        <v>1011</v>
      </c>
      <c r="O218" t="s">
        <v>824</v>
      </c>
      <c r="P218" t="s">
        <v>824</v>
      </c>
      <c r="Q218">
        <v>1</v>
      </c>
      <c r="X218">
        <v>0.85</v>
      </c>
      <c r="Y218">
        <v>0</v>
      </c>
      <c r="Z218">
        <v>60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146</v>
      </c>
      <c r="AG218">
        <v>1.4343750000000002</v>
      </c>
      <c r="AH218">
        <v>2</v>
      </c>
      <c r="AI218">
        <v>68991454</v>
      </c>
      <c r="AJ218">
        <v>210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ROW(Source!A82)</f>
        <v>82</v>
      </c>
      <c r="B219">
        <v>68991455</v>
      </c>
      <c r="C219">
        <v>68991394</v>
      </c>
      <c r="D219">
        <v>64402691</v>
      </c>
      <c r="E219">
        <v>1</v>
      </c>
      <c r="F219">
        <v>1</v>
      </c>
      <c r="G219">
        <v>1</v>
      </c>
      <c r="H219">
        <v>2</v>
      </c>
      <c r="I219" t="s">
        <v>825</v>
      </c>
      <c r="J219" t="s">
        <v>826</v>
      </c>
      <c r="K219" t="s">
        <v>827</v>
      </c>
      <c r="L219">
        <v>1368</v>
      </c>
      <c r="N219">
        <v>1011</v>
      </c>
      <c r="O219" t="s">
        <v>824</v>
      </c>
      <c r="P219" t="s">
        <v>824</v>
      </c>
      <c r="Q219">
        <v>1</v>
      </c>
      <c r="X219">
        <v>0.02</v>
      </c>
      <c r="Y219">
        <v>0</v>
      </c>
      <c r="Z219">
        <v>65.709999999999994</v>
      </c>
      <c r="AA219">
        <v>11.6</v>
      </c>
      <c r="AB219">
        <v>0</v>
      </c>
      <c r="AC219">
        <v>0</v>
      </c>
      <c r="AD219">
        <v>1</v>
      </c>
      <c r="AE219">
        <v>0</v>
      </c>
      <c r="AF219" t="s">
        <v>146</v>
      </c>
      <c r="AG219">
        <v>3.3750000000000002E-2</v>
      </c>
      <c r="AH219">
        <v>2</v>
      </c>
      <c r="AI219">
        <v>68991455</v>
      </c>
      <c r="AJ219">
        <v>211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ROW(Source!A82)</f>
        <v>82</v>
      </c>
      <c r="B220">
        <v>68991456</v>
      </c>
      <c r="C220">
        <v>68991394</v>
      </c>
      <c r="D220">
        <v>64250888</v>
      </c>
      <c r="E220">
        <v>1</v>
      </c>
      <c r="F220">
        <v>1</v>
      </c>
      <c r="G220">
        <v>1</v>
      </c>
      <c r="H220">
        <v>3</v>
      </c>
      <c r="I220" t="s">
        <v>1079</v>
      </c>
      <c r="J220" t="s">
        <v>1080</v>
      </c>
      <c r="K220" t="s">
        <v>1081</v>
      </c>
      <c r="L220">
        <v>1348</v>
      </c>
      <c r="N220">
        <v>1009</v>
      </c>
      <c r="O220" t="s">
        <v>71</v>
      </c>
      <c r="P220" t="s">
        <v>71</v>
      </c>
      <c r="Q220">
        <v>1000</v>
      </c>
      <c r="X220">
        <v>0.06</v>
      </c>
      <c r="Y220">
        <v>1690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3</v>
      </c>
      <c r="AG220">
        <v>0.06</v>
      </c>
      <c r="AH220">
        <v>2</v>
      </c>
      <c r="AI220">
        <v>68991456</v>
      </c>
      <c r="AJ220">
        <v>212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ROW(Source!A82)</f>
        <v>82</v>
      </c>
      <c r="B221">
        <v>68991457</v>
      </c>
      <c r="C221">
        <v>68991394</v>
      </c>
      <c r="D221">
        <v>64256934</v>
      </c>
      <c r="E221">
        <v>1</v>
      </c>
      <c r="F221">
        <v>1</v>
      </c>
      <c r="G221">
        <v>1</v>
      </c>
      <c r="H221">
        <v>3</v>
      </c>
      <c r="I221" t="s">
        <v>1082</v>
      </c>
      <c r="J221" t="s">
        <v>1083</v>
      </c>
      <c r="K221" t="s">
        <v>1084</v>
      </c>
      <c r="L221">
        <v>1339</v>
      </c>
      <c r="N221">
        <v>1007</v>
      </c>
      <c r="O221" t="s">
        <v>113</v>
      </c>
      <c r="P221" t="s">
        <v>113</v>
      </c>
      <c r="Q221">
        <v>1</v>
      </c>
      <c r="X221">
        <v>0.5</v>
      </c>
      <c r="Y221">
        <v>59.99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3</v>
      </c>
      <c r="AG221">
        <v>0.5</v>
      </c>
      <c r="AH221">
        <v>2</v>
      </c>
      <c r="AI221">
        <v>68991457</v>
      </c>
      <c r="AJ221">
        <v>213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ROW(Source!A82)</f>
        <v>82</v>
      </c>
      <c r="B222">
        <v>68991458</v>
      </c>
      <c r="C222">
        <v>68991394</v>
      </c>
      <c r="D222">
        <v>64241944</v>
      </c>
      <c r="E222">
        <v>56</v>
      </c>
      <c r="F222">
        <v>1</v>
      </c>
      <c r="G222">
        <v>1</v>
      </c>
      <c r="H222">
        <v>3</v>
      </c>
      <c r="I222" t="s">
        <v>1299</v>
      </c>
      <c r="J222" t="s">
        <v>3</v>
      </c>
      <c r="K222" t="s">
        <v>1300</v>
      </c>
      <c r="L222">
        <v>1348</v>
      </c>
      <c r="N222">
        <v>1009</v>
      </c>
      <c r="O222" t="s">
        <v>71</v>
      </c>
      <c r="P222" t="s">
        <v>71</v>
      </c>
      <c r="Q222">
        <v>1000</v>
      </c>
      <c r="X222">
        <v>7.14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 t="s">
        <v>3</v>
      </c>
      <c r="AG222">
        <v>7.14</v>
      </c>
      <c r="AH222">
        <v>3</v>
      </c>
      <c r="AI222">
        <v>-1</v>
      </c>
      <c r="AJ222" t="s">
        <v>3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ROW(Source!A84)</f>
        <v>84</v>
      </c>
      <c r="B223">
        <v>68991471</v>
      </c>
      <c r="C223">
        <v>68991414</v>
      </c>
      <c r="D223">
        <v>64241003</v>
      </c>
      <c r="E223">
        <v>56</v>
      </c>
      <c r="F223">
        <v>1</v>
      </c>
      <c r="G223">
        <v>1</v>
      </c>
      <c r="H223">
        <v>1</v>
      </c>
      <c r="I223" t="s">
        <v>1077</v>
      </c>
      <c r="J223" t="s">
        <v>3</v>
      </c>
      <c r="K223" t="s">
        <v>1078</v>
      </c>
      <c r="L223">
        <v>1191</v>
      </c>
      <c r="N223">
        <v>1013</v>
      </c>
      <c r="O223" t="s">
        <v>818</v>
      </c>
      <c r="P223" t="s">
        <v>818</v>
      </c>
      <c r="Q223">
        <v>1</v>
      </c>
      <c r="X223">
        <v>2.3199999999999998</v>
      </c>
      <c r="Y223">
        <v>0</v>
      </c>
      <c r="Z223">
        <v>0</v>
      </c>
      <c r="AA223">
        <v>0</v>
      </c>
      <c r="AB223">
        <v>9.2899999999999991</v>
      </c>
      <c r="AC223">
        <v>0</v>
      </c>
      <c r="AD223">
        <v>1</v>
      </c>
      <c r="AE223">
        <v>1</v>
      </c>
      <c r="AF223" t="s">
        <v>279</v>
      </c>
      <c r="AG223">
        <v>14.4072</v>
      </c>
      <c r="AH223">
        <v>2</v>
      </c>
      <c r="AI223">
        <v>68991471</v>
      </c>
      <c r="AJ223">
        <v>215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ROW(Source!A84)</f>
        <v>84</v>
      </c>
      <c r="B224">
        <v>68991472</v>
      </c>
      <c r="C224">
        <v>68991414</v>
      </c>
      <c r="D224">
        <v>64402231</v>
      </c>
      <c r="E224">
        <v>1</v>
      </c>
      <c r="F224">
        <v>1</v>
      </c>
      <c r="G224">
        <v>1</v>
      </c>
      <c r="H224">
        <v>2</v>
      </c>
      <c r="I224" t="s">
        <v>898</v>
      </c>
      <c r="J224" t="s">
        <v>899</v>
      </c>
      <c r="K224" t="s">
        <v>900</v>
      </c>
      <c r="L224">
        <v>1368</v>
      </c>
      <c r="N224">
        <v>1011</v>
      </c>
      <c r="O224" t="s">
        <v>824</v>
      </c>
      <c r="P224" t="s">
        <v>824</v>
      </c>
      <c r="Q224">
        <v>1</v>
      </c>
      <c r="X224">
        <v>0.14000000000000001</v>
      </c>
      <c r="Y224">
        <v>0</v>
      </c>
      <c r="Z224">
        <v>60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278</v>
      </c>
      <c r="AG224">
        <v>0.94500000000000017</v>
      </c>
      <c r="AH224">
        <v>2</v>
      </c>
      <c r="AI224">
        <v>68991472</v>
      </c>
      <c r="AJ224">
        <v>216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ROW(Source!A84)</f>
        <v>84</v>
      </c>
      <c r="B225">
        <v>68991473</v>
      </c>
      <c r="C225">
        <v>68991414</v>
      </c>
      <c r="D225">
        <v>64241944</v>
      </c>
      <c r="E225">
        <v>56</v>
      </c>
      <c r="F225">
        <v>1</v>
      </c>
      <c r="G225">
        <v>1</v>
      </c>
      <c r="H225">
        <v>3</v>
      </c>
      <c r="I225" t="s">
        <v>1299</v>
      </c>
      <c r="J225" t="s">
        <v>3</v>
      </c>
      <c r="K225" t="s">
        <v>1300</v>
      </c>
      <c r="L225">
        <v>1348</v>
      </c>
      <c r="N225">
        <v>1009</v>
      </c>
      <c r="O225" t="s">
        <v>71</v>
      </c>
      <c r="P225" t="s">
        <v>71</v>
      </c>
      <c r="Q225">
        <v>1000</v>
      </c>
      <c r="X225">
        <v>1.21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 t="s">
        <v>3</v>
      </c>
      <c r="AG225">
        <v>1.21</v>
      </c>
      <c r="AH225">
        <v>3</v>
      </c>
      <c r="AI225">
        <v>-1</v>
      </c>
      <c r="AJ225" t="s">
        <v>3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ROW(Source!A86)</f>
        <v>86</v>
      </c>
      <c r="B226">
        <v>68991485</v>
      </c>
      <c r="C226">
        <v>68991477</v>
      </c>
      <c r="D226">
        <v>37066717</v>
      </c>
      <c r="E226">
        <v>56</v>
      </c>
      <c r="F226">
        <v>1</v>
      </c>
      <c r="G226">
        <v>1</v>
      </c>
      <c r="H226">
        <v>1</v>
      </c>
      <c r="I226" t="s">
        <v>896</v>
      </c>
      <c r="J226" t="s">
        <v>3</v>
      </c>
      <c r="K226" t="s">
        <v>897</v>
      </c>
      <c r="L226">
        <v>1191</v>
      </c>
      <c r="N226">
        <v>1013</v>
      </c>
      <c r="O226" t="s">
        <v>818</v>
      </c>
      <c r="P226" t="s">
        <v>818</v>
      </c>
      <c r="Q226">
        <v>1</v>
      </c>
      <c r="X226">
        <v>45.8</v>
      </c>
      <c r="Y226">
        <v>0</v>
      </c>
      <c r="Z226">
        <v>0</v>
      </c>
      <c r="AA226">
        <v>0</v>
      </c>
      <c r="AB226">
        <v>8.17</v>
      </c>
      <c r="AC226">
        <v>0</v>
      </c>
      <c r="AD226">
        <v>1</v>
      </c>
      <c r="AE226">
        <v>1</v>
      </c>
      <c r="AF226" t="s">
        <v>147</v>
      </c>
      <c r="AG226">
        <v>71.104500000000002</v>
      </c>
      <c r="AH226">
        <v>2</v>
      </c>
      <c r="AI226">
        <v>68991478</v>
      </c>
      <c r="AJ226">
        <v>218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ROW(Source!A86)</f>
        <v>86</v>
      </c>
      <c r="B227">
        <v>68991486</v>
      </c>
      <c r="C227">
        <v>68991477</v>
      </c>
      <c r="D227">
        <v>37064876</v>
      </c>
      <c r="E227">
        <v>56</v>
      </c>
      <c r="F227">
        <v>1</v>
      </c>
      <c r="G227">
        <v>1</v>
      </c>
      <c r="H227">
        <v>1</v>
      </c>
      <c r="I227" t="s">
        <v>819</v>
      </c>
      <c r="J227" t="s">
        <v>3</v>
      </c>
      <c r="K227" t="s">
        <v>820</v>
      </c>
      <c r="L227">
        <v>1191</v>
      </c>
      <c r="N227">
        <v>1013</v>
      </c>
      <c r="O227" t="s">
        <v>818</v>
      </c>
      <c r="P227" t="s">
        <v>818</v>
      </c>
      <c r="Q227">
        <v>1</v>
      </c>
      <c r="X227">
        <v>0.89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2</v>
      </c>
      <c r="AF227" t="s">
        <v>146</v>
      </c>
      <c r="AG227">
        <v>1.5018750000000001</v>
      </c>
      <c r="AH227">
        <v>2</v>
      </c>
      <c r="AI227">
        <v>68991479</v>
      </c>
      <c r="AJ227">
        <v>219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ROW(Source!A86)</f>
        <v>86</v>
      </c>
      <c r="B228">
        <v>68991487</v>
      </c>
      <c r="C228">
        <v>68991477</v>
      </c>
      <c r="D228">
        <v>64401763</v>
      </c>
      <c r="E228">
        <v>1</v>
      </c>
      <c r="F228">
        <v>1</v>
      </c>
      <c r="G228">
        <v>1</v>
      </c>
      <c r="H228">
        <v>2</v>
      </c>
      <c r="I228" t="s">
        <v>821</v>
      </c>
      <c r="J228" t="s">
        <v>822</v>
      </c>
      <c r="K228" t="s">
        <v>823</v>
      </c>
      <c r="L228">
        <v>1368</v>
      </c>
      <c r="N228">
        <v>1011</v>
      </c>
      <c r="O228" t="s">
        <v>824</v>
      </c>
      <c r="P228" t="s">
        <v>824</v>
      </c>
      <c r="Q228">
        <v>1</v>
      </c>
      <c r="X228">
        <v>0.38</v>
      </c>
      <c r="Y228">
        <v>0</v>
      </c>
      <c r="Z228">
        <v>115.4</v>
      </c>
      <c r="AA228">
        <v>13.5</v>
      </c>
      <c r="AB228">
        <v>0</v>
      </c>
      <c r="AC228">
        <v>0</v>
      </c>
      <c r="AD228">
        <v>1</v>
      </c>
      <c r="AE228">
        <v>0</v>
      </c>
      <c r="AF228" t="s">
        <v>146</v>
      </c>
      <c r="AG228">
        <v>0.64124999999999999</v>
      </c>
      <c r="AH228">
        <v>2</v>
      </c>
      <c r="AI228">
        <v>68991480</v>
      </c>
      <c r="AJ228">
        <v>220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ROW(Source!A86)</f>
        <v>86</v>
      </c>
      <c r="B229">
        <v>68991488</v>
      </c>
      <c r="C229">
        <v>68991477</v>
      </c>
      <c r="D229">
        <v>64402231</v>
      </c>
      <c r="E229">
        <v>1</v>
      </c>
      <c r="F229">
        <v>1</v>
      </c>
      <c r="G229">
        <v>1</v>
      </c>
      <c r="H229">
        <v>2</v>
      </c>
      <c r="I229" t="s">
        <v>898</v>
      </c>
      <c r="J229" t="s">
        <v>899</v>
      </c>
      <c r="K229" t="s">
        <v>900</v>
      </c>
      <c r="L229">
        <v>1368</v>
      </c>
      <c r="N229">
        <v>1011</v>
      </c>
      <c r="O229" t="s">
        <v>824</v>
      </c>
      <c r="P229" t="s">
        <v>824</v>
      </c>
      <c r="Q229">
        <v>1</v>
      </c>
      <c r="X229">
        <v>5.62</v>
      </c>
      <c r="Y229">
        <v>0</v>
      </c>
      <c r="Z229">
        <v>60</v>
      </c>
      <c r="AA229">
        <v>0</v>
      </c>
      <c r="AB229">
        <v>0</v>
      </c>
      <c r="AC229">
        <v>0</v>
      </c>
      <c r="AD229">
        <v>1</v>
      </c>
      <c r="AE229">
        <v>0</v>
      </c>
      <c r="AF229" t="s">
        <v>146</v>
      </c>
      <c r="AG229">
        <v>9.4837500000000006</v>
      </c>
      <c r="AH229">
        <v>2</v>
      </c>
      <c r="AI229">
        <v>68991481</v>
      </c>
      <c r="AJ229">
        <v>221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ROW(Source!A86)</f>
        <v>86</v>
      </c>
      <c r="B230">
        <v>68991489</v>
      </c>
      <c r="C230">
        <v>68991477</v>
      </c>
      <c r="D230">
        <v>64402691</v>
      </c>
      <c r="E230">
        <v>1</v>
      </c>
      <c r="F230">
        <v>1</v>
      </c>
      <c r="G230">
        <v>1</v>
      </c>
      <c r="H230">
        <v>2</v>
      </c>
      <c r="I230" t="s">
        <v>825</v>
      </c>
      <c r="J230" t="s">
        <v>826</v>
      </c>
      <c r="K230" t="s">
        <v>827</v>
      </c>
      <c r="L230">
        <v>1368</v>
      </c>
      <c r="N230">
        <v>1011</v>
      </c>
      <c r="O230" t="s">
        <v>824</v>
      </c>
      <c r="P230" t="s">
        <v>824</v>
      </c>
      <c r="Q230">
        <v>1</v>
      </c>
      <c r="X230">
        <v>0.51</v>
      </c>
      <c r="Y230">
        <v>0</v>
      </c>
      <c r="Z230">
        <v>65.709999999999994</v>
      </c>
      <c r="AA230">
        <v>11.6</v>
      </c>
      <c r="AB230">
        <v>0</v>
      </c>
      <c r="AC230">
        <v>0</v>
      </c>
      <c r="AD230">
        <v>1</v>
      </c>
      <c r="AE230">
        <v>0</v>
      </c>
      <c r="AF230" t="s">
        <v>146</v>
      </c>
      <c r="AG230">
        <v>0.86062499999999997</v>
      </c>
      <c r="AH230">
        <v>2</v>
      </c>
      <c r="AI230">
        <v>68991482</v>
      </c>
      <c r="AJ230">
        <v>222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ROW(Source!A86)</f>
        <v>86</v>
      </c>
      <c r="B231">
        <v>68991490</v>
      </c>
      <c r="C231">
        <v>68991477</v>
      </c>
      <c r="D231">
        <v>64258007</v>
      </c>
      <c r="E231">
        <v>1</v>
      </c>
      <c r="F231">
        <v>1</v>
      </c>
      <c r="G231">
        <v>1</v>
      </c>
      <c r="H231">
        <v>3</v>
      </c>
      <c r="I231" t="s">
        <v>901</v>
      </c>
      <c r="J231" t="s">
        <v>902</v>
      </c>
      <c r="K231" t="s">
        <v>903</v>
      </c>
      <c r="L231">
        <v>1339</v>
      </c>
      <c r="N231">
        <v>1007</v>
      </c>
      <c r="O231" t="s">
        <v>113</v>
      </c>
      <c r="P231" t="s">
        <v>113</v>
      </c>
      <c r="Q231">
        <v>1</v>
      </c>
      <c r="X231">
        <v>0.05</v>
      </c>
      <c r="Y231">
        <v>486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3</v>
      </c>
      <c r="AG231">
        <v>0.05</v>
      </c>
      <c r="AH231">
        <v>2</v>
      </c>
      <c r="AI231">
        <v>68991483</v>
      </c>
      <c r="AJ231">
        <v>223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ROW(Source!A86)</f>
        <v>86</v>
      </c>
      <c r="B232">
        <v>68991491</v>
      </c>
      <c r="C232">
        <v>68991477</v>
      </c>
      <c r="D232">
        <v>64242433</v>
      </c>
      <c r="E232">
        <v>56</v>
      </c>
      <c r="F232">
        <v>1</v>
      </c>
      <c r="G232">
        <v>1</v>
      </c>
      <c r="H232">
        <v>3</v>
      </c>
      <c r="I232" t="s">
        <v>1267</v>
      </c>
      <c r="J232" t="s">
        <v>3</v>
      </c>
      <c r="K232" t="s">
        <v>1268</v>
      </c>
      <c r="L232">
        <v>1327</v>
      </c>
      <c r="N232">
        <v>1005</v>
      </c>
      <c r="O232" t="s">
        <v>46</v>
      </c>
      <c r="P232" t="s">
        <v>46</v>
      </c>
      <c r="Q232">
        <v>1</v>
      </c>
      <c r="X232">
        <v>100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 t="s">
        <v>3</v>
      </c>
      <c r="AG232">
        <v>100</v>
      </c>
      <c r="AH232">
        <v>3</v>
      </c>
      <c r="AI232">
        <v>-1</v>
      </c>
      <c r="AJ232" t="s">
        <v>3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ROW(Source!A88)</f>
        <v>88</v>
      </c>
      <c r="B233">
        <v>68991501</v>
      </c>
      <c r="C233">
        <v>68991493</v>
      </c>
      <c r="D233">
        <v>37066717</v>
      </c>
      <c r="E233">
        <v>56</v>
      </c>
      <c r="F233">
        <v>1</v>
      </c>
      <c r="G233">
        <v>1</v>
      </c>
      <c r="H233">
        <v>1</v>
      </c>
      <c r="I233" t="s">
        <v>896</v>
      </c>
      <c r="J233" t="s">
        <v>3</v>
      </c>
      <c r="K233" t="s">
        <v>897</v>
      </c>
      <c r="L233">
        <v>1191</v>
      </c>
      <c r="N233">
        <v>1013</v>
      </c>
      <c r="O233" t="s">
        <v>818</v>
      </c>
      <c r="P233" t="s">
        <v>818</v>
      </c>
      <c r="Q233">
        <v>1</v>
      </c>
      <c r="X233">
        <v>45.8</v>
      </c>
      <c r="Y233">
        <v>0</v>
      </c>
      <c r="Z233">
        <v>0</v>
      </c>
      <c r="AA233">
        <v>0</v>
      </c>
      <c r="AB233">
        <v>8.17</v>
      </c>
      <c r="AC233">
        <v>0</v>
      </c>
      <c r="AD233">
        <v>1</v>
      </c>
      <c r="AE233">
        <v>1</v>
      </c>
      <c r="AF233" t="s">
        <v>147</v>
      </c>
      <c r="AG233">
        <v>71.104500000000002</v>
      </c>
      <c r="AH233">
        <v>2</v>
      </c>
      <c r="AI233">
        <v>68991494</v>
      </c>
      <c r="AJ233">
        <v>225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ROW(Source!A88)</f>
        <v>88</v>
      </c>
      <c r="B234">
        <v>68991502</v>
      </c>
      <c r="C234">
        <v>68991493</v>
      </c>
      <c r="D234">
        <v>37064876</v>
      </c>
      <c r="E234">
        <v>56</v>
      </c>
      <c r="F234">
        <v>1</v>
      </c>
      <c r="G234">
        <v>1</v>
      </c>
      <c r="H234">
        <v>1</v>
      </c>
      <c r="I234" t="s">
        <v>819</v>
      </c>
      <c r="J234" t="s">
        <v>3</v>
      </c>
      <c r="K234" t="s">
        <v>820</v>
      </c>
      <c r="L234">
        <v>1191</v>
      </c>
      <c r="N234">
        <v>1013</v>
      </c>
      <c r="O234" t="s">
        <v>818</v>
      </c>
      <c r="P234" t="s">
        <v>818</v>
      </c>
      <c r="Q234">
        <v>1</v>
      </c>
      <c r="X234">
        <v>0.89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1</v>
      </c>
      <c r="AE234">
        <v>2</v>
      </c>
      <c r="AF234" t="s">
        <v>146</v>
      </c>
      <c r="AG234">
        <v>1.5018750000000001</v>
      </c>
      <c r="AH234">
        <v>2</v>
      </c>
      <c r="AI234">
        <v>68991495</v>
      </c>
      <c r="AJ234">
        <v>226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ROW(Source!A88)</f>
        <v>88</v>
      </c>
      <c r="B235">
        <v>68991503</v>
      </c>
      <c r="C235">
        <v>68991493</v>
      </c>
      <c r="D235">
        <v>64401763</v>
      </c>
      <c r="E235">
        <v>1</v>
      </c>
      <c r="F235">
        <v>1</v>
      </c>
      <c r="G235">
        <v>1</v>
      </c>
      <c r="H235">
        <v>2</v>
      </c>
      <c r="I235" t="s">
        <v>821</v>
      </c>
      <c r="J235" t="s">
        <v>822</v>
      </c>
      <c r="K235" t="s">
        <v>823</v>
      </c>
      <c r="L235">
        <v>1368</v>
      </c>
      <c r="N235">
        <v>1011</v>
      </c>
      <c r="O235" t="s">
        <v>824</v>
      </c>
      <c r="P235" t="s">
        <v>824</v>
      </c>
      <c r="Q235">
        <v>1</v>
      </c>
      <c r="X235">
        <v>0.38</v>
      </c>
      <c r="Y235">
        <v>0</v>
      </c>
      <c r="Z235">
        <v>115.4</v>
      </c>
      <c r="AA235">
        <v>13.5</v>
      </c>
      <c r="AB235">
        <v>0</v>
      </c>
      <c r="AC235">
        <v>0</v>
      </c>
      <c r="AD235">
        <v>1</v>
      </c>
      <c r="AE235">
        <v>0</v>
      </c>
      <c r="AF235" t="s">
        <v>146</v>
      </c>
      <c r="AG235">
        <v>0.64124999999999999</v>
      </c>
      <c r="AH235">
        <v>2</v>
      </c>
      <c r="AI235">
        <v>68991496</v>
      </c>
      <c r="AJ235">
        <v>227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ROW(Source!A88)</f>
        <v>88</v>
      </c>
      <c r="B236">
        <v>68991504</v>
      </c>
      <c r="C236">
        <v>68991493</v>
      </c>
      <c r="D236">
        <v>64402231</v>
      </c>
      <c r="E236">
        <v>1</v>
      </c>
      <c r="F236">
        <v>1</v>
      </c>
      <c r="G236">
        <v>1</v>
      </c>
      <c r="H236">
        <v>2</v>
      </c>
      <c r="I236" t="s">
        <v>898</v>
      </c>
      <c r="J236" t="s">
        <v>899</v>
      </c>
      <c r="K236" t="s">
        <v>900</v>
      </c>
      <c r="L236">
        <v>1368</v>
      </c>
      <c r="N236">
        <v>1011</v>
      </c>
      <c r="O236" t="s">
        <v>824</v>
      </c>
      <c r="P236" t="s">
        <v>824</v>
      </c>
      <c r="Q236">
        <v>1</v>
      </c>
      <c r="X236">
        <v>5.62</v>
      </c>
      <c r="Y236">
        <v>0</v>
      </c>
      <c r="Z236">
        <v>60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146</v>
      </c>
      <c r="AG236">
        <v>9.4837500000000006</v>
      </c>
      <c r="AH236">
        <v>2</v>
      </c>
      <c r="AI236">
        <v>68991497</v>
      </c>
      <c r="AJ236">
        <v>228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ROW(Source!A88)</f>
        <v>88</v>
      </c>
      <c r="B237">
        <v>68991505</v>
      </c>
      <c r="C237">
        <v>68991493</v>
      </c>
      <c r="D237">
        <v>64402691</v>
      </c>
      <c r="E237">
        <v>1</v>
      </c>
      <c r="F237">
        <v>1</v>
      </c>
      <c r="G237">
        <v>1</v>
      </c>
      <c r="H237">
        <v>2</v>
      </c>
      <c r="I237" t="s">
        <v>825</v>
      </c>
      <c r="J237" t="s">
        <v>826</v>
      </c>
      <c r="K237" t="s">
        <v>827</v>
      </c>
      <c r="L237">
        <v>1368</v>
      </c>
      <c r="N237">
        <v>1011</v>
      </c>
      <c r="O237" t="s">
        <v>824</v>
      </c>
      <c r="P237" t="s">
        <v>824</v>
      </c>
      <c r="Q237">
        <v>1</v>
      </c>
      <c r="X237">
        <v>0.51</v>
      </c>
      <c r="Y237">
        <v>0</v>
      </c>
      <c r="Z237">
        <v>65.709999999999994</v>
      </c>
      <c r="AA237">
        <v>11.6</v>
      </c>
      <c r="AB237">
        <v>0</v>
      </c>
      <c r="AC237">
        <v>0</v>
      </c>
      <c r="AD237">
        <v>1</v>
      </c>
      <c r="AE237">
        <v>0</v>
      </c>
      <c r="AF237" t="s">
        <v>146</v>
      </c>
      <c r="AG237">
        <v>0.86062499999999997</v>
      </c>
      <c r="AH237">
        <v>2</v>
      </c>
      <c r="AI237">
        <v>68991498</v>
      </c>
      <c r="AJ237">
        <v>229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ROW(Source!A88)</f>
        <v>88</v>
      </c>
      <c r="B238">
        <v>68991506</v>
      </c>
      <c r="C238">
        <v>68991493</v>
      </c>
      <c r="D238">
        <v>64258007</v>
      </c>
      <c r="E238">
        <v>1</v>
      </c>
      <c r="F238">
        <v>1</v>
      </c>
      <c r="G238">
        <v>1</v>
      </c>
      <c r="H238">
        <v>3</v>
      </c>
      <c r="I238" t="s">
        <v>901</v>
      </c>
      <c r="J238" t="s">
        <v>902</v>
      </c>
      <c r="K238" t="s">
        <v>903</v>
      </c>
      <c r="L238">
        <v>1339</v>
      </c>
      <c r="N238">
        <v>1007</v>
      </c>
      <c r="O238" t="s">
        <v>113</v>
      </c>
      <c r="P238" t="s">
        <v>113</v>
      </c>
      <c r="Q238">
        <v>1</v>
      </c>
      <c r="X238">
        <v>0.05</v>
      </c>
      <c r="Y238">
        <v>486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3</v>
      </c>
      <c r="AG238">
        <v>0.05</v>
      </c>
      <c r="AH238">
        <v>2</v>
      </c>
      <c r="AI238">
        <v>68991499</v>
      </c>
      <c r="AJ238">
        <v>230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ROW(Source!A88)</f>
        <v>88</v>
      </c>
      <c r="B239">
        <v>68991507</v>
      </c>
      <c r="C239">
        <v>68991493</v>
      </c>
      <c r="D239">
        <v>64242433</v>
      </c>
      <c r="E239">
        <v>56</v>
      </c>
      <c r="F239">
        <v>1</v>
      </c>
      <c r="G239">
        <v>1</v>
      </c>
      <c r="H239">
        <v>3</v>
      </c>
      <c r="I239" t="s">
        <v>1267</v>
      </c>
      <c r="J239" t="s">
        <v>3</v>
      </c>
      <c r="K239" t="s">
        <v>1268</v>
      </c>
      <c r="L239">
        <v>1327</v>
      </c>
      <c r="N239">
        <v>1005</v>
      </c>
      <c r="O239" t="s">
        <v>46</v>
      </c>
      <c r="P239" t="s">
        <v>46</v>
      </c>
      <c r="Q239">
        <v>1</v>
      </c>
      <c r="X239">
        <v>100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 t="s">
        <v>3</v>
      </c>
      <c r="AG239">
        <v>100</v>
      </c>
      <c r="AH239">
        <v>3</v>
      </c>
      <c r="AI239">
        <v>-1</v>
      </c>
      <c r="AJ239" t="s">
        <v>3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ROW(Source!A90)</f>
        <v>90</v>
      </c>
      <c r="B240">
        <v>68991520</v>
      </c>
      <c r="C240">
        <v>68991509</v>
      </c>
      <c r="D240">
        <v>37072887</v>
      </c>
      <c r="E240">
        <v>56</v>
      </c>
      <c r="F240">
        <v>1</v>
      </c>
      <c r="G240">
        <v>1</v>
      </c>
      <c r="H240">
        <v>1</v>
      </c>
      <c r="I240" t="s">
        <v>1085</v>
      </c>
      <c r="J240" t="s">
        <v>3</v>
      </c>
      <c r="K240" t="s">
        <v>1086</v>
      </c>
      <c r="L240">
        <v>1191</v>
      </c>
      <c r="N240">
        <v>1013</v>
      </c>
      <c r="O240" t="s">
        <v>818</v>
      </c>
      <c r="P240" t="s">
        <v>818</v>
      </c>
      <c r="Q240">
        <v>1</v>
      </c>
      <c r="X240">
        <v>51.28</v>
      </c>
      <c r="Y240">
        <v>0</v>
      </c>
      <c r="Z240">
        <v>0</v>
      </c>
      <c r="AA240">
        <v>0</v>
      </c>
      <c r="AB240">
        <v>10.210000000000001</v>
      </c>
      <c r="AC240">
        <v>0</v>
      </c>
      <c r="AD240">
        <v>1</v>
      </c>
      <c r="AE240">
        <v>1</v>
      </c>
      <c r="AF240" t="s">
        <v>147</v>
      </c>
      <c r="AG240">
        <v>79.612200000000001</v>
      </c>
      <c r="AH240">
        <v>2</v>
      </c>
      <c r="AI240">
        <v>68991510</v>
      </c>
      <c r="AJ240">
        <v>232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ROW(Source!A90)</f>
        <v>90</v>
      </c>
      <c r="B241">
        <v>68991521</v>
      </c>
      <c r="C241">
        <v>68991509</v>
      </c>
      <c r="D241">
        <v>37064876</v>
      </c>
      <c r="E241">
        <v>56</v>
      </c>
      <c r="F241">
        <v>1</v>
      </c>
      <c r="G241">
        <v>1</v>
      </c>
      <c r="H241">
        <v>1</v>
      </c>
      <c r="I241" t="s">
        <v>819</v>
      </c>
      <c r="J241" t="s">
        <v>3</v>
      </c>
      <c r="K241" t="s">
        <v>820</v>
      </c>
      <c r="L241">
        <v>1191</v>
      </c>
      <c r="N241">
        <v>1013</v>
      </c>
      <c r="O241" t="s">
        <v>818</v>
      </c>
      <c r="P241" t="s">
        <v>818</v>
      </c>
      <c r="Q241">
        <v>1</v>
      </c>
      <c r="X241">
        <v>0.08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2</v>
      </c>
      <c r="AF241" t="s">
        <v>146</v>
      </c>
      <c r="AG241">
        <v>0.13500000000000001</v>
      </c>
      <c r="AH241">
        <v>2</v>
      </c>
      <c r="AI241">
        <v>68991511</v>
      </c>
      <c r="AJ241">
        <v>233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ROW(Source!A90)</f>
        <v>90</v>
      </c>
      <c r="B242">
        <v>68991522</v>
      </c>
      <c r="C242">
        <v>68991509</v>
      </c>
      <c r="D242">
        <v>64401959</v>
      </c>
      <c r="E242">
        <v>1</v>
      </c>
      <c r="F242">
        <v>1</v>
      </c>
      <c r="G242">
        <v>1</v>
      </c>
      <c r="H242">
        <v>2</v>
      </c>
      <c r="I242" t="s">
        <v>859</v>
      </c>
      <c r="J242" t="s">
        <v>860</v>
      </c>
      <c r="K242" t="s">
        <v>861</v>
      </c>
      <c r="L242">
        <v>1368</v>
      </c>
      <c r="N242">
        <v>1011</v>
      </c>
      <c r="O242" t="s">
        <v>824</v>
      </c>
      <c r="P242" t="s">
        <v>824</v>
      </c>
      <c r="Q242">
        <v>1</v>
      </c>
      <c r="X242">
        <v>0.03</v>
      </c>
      <c r="Y242">
        <v>0</v>
      </c>
      <c r="Z242">
        <v>31.26</v>
      </c>
      <c r="AA242">
        <v>13.5</v>
      </c>
      <c r="AB242">
        <v>0</v>
      </c>
      <c r="AC242">
        <v>0</v>
      </c>
      <c r="AD242">
        <v>1</v>
      </c>
      <c r="AE242">
        <v>0</v>
      </c>
      <c r="AF242" t="s">
        <v>146</v>
      </c>
      <c r="AG242">
        <v>5.0625000000000003E-2</v>
      </c>
      <c r="AH242">
        <v>2</v>
      </c>
      <c r="AI242">
        <v>68991512</v>
      </c>
      <c r="AJ242">
        <v>234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ROW(Source!A90)</f>
        <v>90</v>
      </c>
      <c r="B243">
        <v>68991523</v>
      </c>
      <c r="C243">
        <v>68991509</v>
      </c>
      <c r="D243">
        <v>64402691</v>
      </c>
      <c r="E243">
        <v>1</v>
      </c>
      <c r="F243">
        <v>1</v>
      </c>
      <c r="G243">
        <v>1</v>
      </c>
      <c r="H243">
        <v>2</v>
      </c>
      <c r="I243" t="s">
        <v>825</v>
      </c>
      <c r="J243" t="s">
        <v>826</v>
      </c>
      <c r="K243" t="s">
        <v>827</v>
      </c>
      <c r="L243">
        <v>1368</v>
      </c>
      <c r="N243">
        <v>1011</v>
      </c>
      <c r="O243" t="s">
        <v>824</v>
      </c>
      <c r="P243" t="s">
        <v>824</v>
      </c>
      <c r="Q243">
        <v>1</v>
      </c>
      <c r="X243">
        <v>0.05</v>
      </c>
      <c r="Y243">
        <v>0</v>
      </c>
      <c r="Z243">
        <v>65.709999999999994</v>
      </c>
      <c r="AA243">
        <v>11.6</v>
      </c>
      <c r="AB243">
        <v>0</v>
      </c>
      <c r="AC243">
        <v>0</v>
      </c>
      <c r="AD243">
        <v>1</v>
      </c>
      <c r="AE243">
        <v>0</v>
      </c>
      <c r="AF243" t="s">
        <v>146</v>
      </c>
      <c r="AG243">
        <v>8.4375000000000006E-2</v>
      </c>
      <c r="AH243">
        <v>2</v>
      </c>
      <c r="AI243">
        <v>68991513</v>
      </c>
      <c r="AJ243">
        <v>235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ROW(Source!A90)</f>
        <v>90</v>
      </c>
      <c r="B244">
        <v>68991524</v>
      </c>
      <c r="C244">
        <v>68991509</v>
      </c>
      <c r="D244">
        <v>64403361</v>
      </c>
      <c r="E244">
        <v>1</v>
      </c>
      <c r="F244">
        <v>1</v>
      </c>
      <c r="G244">
        <v>1</v>
      </c>
      <c r="H244">
        <v>2</v>
      </c>
      <c r="I244" t="s">
        <v>1087</v>
      </c>
      <c r="J244" t="s">
        <v>1088</v>
      </c>
      <c r="K244" t="s">
        <v>1089</v>
      </c>
      <c r="L244">
        <v>1368</v>
      </c>
      <c r="N244">
        <v>1011</v>
      </c>
      <c r="O244" t="s">
        <v>824</v>
      </c>
      <c r="P244" t="s">
        <v>824</v>
      </c>
      <c r="Q244">
        <v>1</v>
      </c>
      <c r="X244">
        <v>9</v>
      </c>
      <c r="Y244">
        <v>0</v>
      </c>
      <c r="Z244">
        <v>1.5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146</v>
      </c>
      <c r="AG244">
        <v>15.187500000000002</v>
      </c>
      <c r="AH244">
        <v>2</v>
      </c>
      <c r="AI244">
        <v>68991514</v>
      </c>
      <c r="AJ244">
        <v>236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ROW(Source!A90)</f>
        <v>90</v>
      </c>
      <c r="B245">
        <v>68991525</v>
      </c>
      <c r="C245">
        <v>68991509</v>
      </c>
      <c r="D245">
        <v>64252428</v>
      </c>
      <c r="E245">
        <v>1</v>
      </c>
      <c r="F245">
        <v>1</v>
      </c>
      <c r="G245">
        <v>1</v>
      </c>
      <c r="H245">
        <v>3</v>
      </c>
      <c r="I245" t="s">
        <v>1090</v>
      </c>
      <c r="J245" t="s">
        <v>1091</v>
      </c>
      <c r="K245" t="s">
        <v>1092</v>
      </c>
      <c r="L245">
        <v>1327</v>
      </c>
      <c r="N245">
        <v>1005</v>
      </c>
      <c r="O245" t="s">
        <v>46</v>
      </c>
      <c r="P245" t="s">
        <v>46</v>
      </c>
      <c r="Q245">
        <v>1</v>
      </c>
      <c r="X245">
        <v>102</v>
      </c>
      <c r="Y245">
        <v>132</v>
      </c>
      <c r="Z245">
        <v>0</v>
      </c>
      <c r="AA245">
        <v>0</v>
      </c>
      <c r="AB245">
        <v>0</v>
      </c>
      <c r="AC245">
        <v>0</v>
      </c>
      <c r="AD245">
        <v>1</v>
      </c>
      <c r="AE245">
        <v>0</v>
      </c>
      <c r="AF245" t="s">
        <v>297</v>
      </c>
      <c r="AG245">
        <v>0</v>
      </c>
      <c r="AH245">
        <v>2</v>
      </c>
      <c r="AI245">
        <v>68991515</v>
      </c>
      <c r="AJ245">
        <v>237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ROW(Source!A90)</f>
        <v>90</v>
      </c>
      <c r="B246">
        <v>68991526</v>
      </c>
      <c r="C246">
        <v>68991509</v>
      </c>
      <c r="D246">
        <v>64255622</v>
      </c>
      <c r="E246">
        <v>1</v>
      </c>
      <c r="F246">
        <v>1</v>
      </c>
      <c r="G246">
        <v>1</v>
      </c>
      <c r="H246">
        <v>3</v>
      </c>
      <c r="I246" t="s">
        <v>1093</v>
      </c>
      <c r="J246" t="s">
        <v>1094</v>
      </c>
      <c r="K246" t="s">
        <v>1095</v>
      </c>
      <c r="L246">
        <v>1346</v>
      </c>
      <c r="N246">
        <v>1009</v>
      </c>
      <c r="O246" t="s">
        <v>170</v>
      </c>
      <c r="P246" t="s">
        <v>170</v>
      </c>
      <c r="Q246">
        <v>1</v>
      </c>
      <c r="X246">
        <v>1</v>
      </c>
      <c r="Y246">
        <v>5.71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297</v>
      </c>
      <c r="AG246">
        <v>0</v>
      </c>
      <c r="AH246">
        <v>2</v>
      </c>
      <c r="AI246">
        <v>68991516</v>
      </c>
      <c r="AJ246">
        <v>238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ROW(Source!A90)</f>
        <v>90</v>
      </c>
      <c r="B247">
        <v>68991527</v>
      </c>
      <c r="C247">
        <v>68991509</v>
      </c>
      <c r="D247">
        <v>64256200</v>
      </c>
      <c r="E247">
        <v>1</v>
      </c>
      <c r="F247">
        <v>1</v>
      </c>
      <c r="G247">
        <v>1</v>
      </c>
      <c r="H247">
        <v>3</v>
      </c>
      <c r="I247" t="s">
        <v>1034</v>
      </c>
      <c r="J247" t="s">
        <v>1035</v>
      </c>
      <c r="K247" t="s">
        <v>1036</v>
      </c>
      <c r="L247">
        <v>1346</v>
      </c>
      <c r="N247">
        <v>1009</v>
      </c>
      <c r="O247" t="s">
        <v>170</v>
      </c>
      <c r="P247" t="s">
        <v>170</v>
      </c>
      <c r="Q247">
        <v>1</v>
      </c>
      <c r="X247">
        <v>1</v>
      </c>
      <c r="Y247">
        <v>1.82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297</v>
      </c>
      <c r="AG247">
        <v>0</v>
      </c>
      <c r="AH247">
        <v>2</v>
      </c>
      <c r="AI247">
        <v>68991517</v>
      </c>
      <c r="AJ247">
        <v>239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ROW(Source!A90)</f>
        <v>90</v>
      </c>
      <c r="B248">
        <v>68991528</v>
      </c>
      <c r="C248">
        <v>68991509</v>
      </c>
      <c r="D248">
        <v>64284828</v>
      </c>
      <c r="E248">
        <v>1</v>
      </c>
      <c r="F248">
        <v>1</v>
      </c>
      <c r="G248">
        <v>1</v>
      </c>
      <c r="H248">
        <v>3</v>
      </c>
      <c r="I248" t="s">
        <v>1096</v>
      </c>
      <c r="J248" t="s">
        <v>1097</v>
      </c>
      <c r="K248" t="s">
        <v>1098</v>
      </c>
      <c r="L248">
        <v>1346</v>
      </c>
      <c r="N248">
        <v>1009</v>
      </c>
      <c r="O248" t="s">
        <v>170</v>
      </c>
      <c r="P248" t="s">
        <v>170</v>
      </c>
      <c r="Q248">
        <v>1</v>
      </c>
      <c r="X248">
        <v>52</v>
      </c>
      <c r="Y248">
        <v>8.36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0</v>
      </c>
      <c r="AF248" t="s">
        <v>297</v>
      </c>
      <c r="AG248">
        <v>0</v>
      </c>
      <c r="AH248">
        <v>2</v>
      </c>
      <c r="AI248">
        <v>68991518</v>
      </c>
      <c r="AJ248">
        <v>240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ROW(Source!A90)</f>
        <v>90</v>
      </c>
      <c r="B249">
        <v>68991529</v>
      </c>
      <c r="C249">
        <v>68991509</v>
      </c>
      <c r="D249">
        <v>64244114</v>
      </c>
      <c r="E249">
        <v>56</v>
      </c>
      <c r="F249">
        <v>1</v>
      </c>
      <c r="G249">
        <v>1</v>
      </c>
      <c r="H249">
        <v>3</v>
      </c>
      <c r="I249" t="s">
        <v>1301</v>
      </c>
      <c r="J249" t="s">
        <v>3</v>
      </c>
      <c r="K249" t="s">
        <v>1302</v>
      </c>
      <c r="L249">
        <v>1346</v>
      </c>
      <c r="N249">
        <v>1009</v>
      </c>
      <c r="O249" t="s">
        <v>170</v>
      </c>
      <c r="P249" t="s">
        <v>170</v>
      </c>
      <c r="Q249">
        <v>1</v>
      </c>
      <c r="X249">
        <v>1.9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 t="s">
        <v>297</v>
      </c>
      <c r="AG249">
        <v>0</v>
      </c>
      <c r="AH249">
        <v>3</v>
      </c>
      <c r="AI249">
        <v>-1</v>
      </c>
      <c r="AJ249" t="s">
        <v>3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ROW(Source!A92)</f>
        <v>92</v>
      </c>
      <c r="B250">
        <v>68991568</v>
      </c>
      <c r="C250">
        <v>68991550</v>
      </c>
      <c r="D250">
        <v>64240953</v>
      </c>
      <c r="E250">
        <v>56</v>
      </c>
      <c r="F250">
        <v>1</v>
      </c>
      <c r="G250">
        <v>1</v>
      </c>
      <c r="H250">
        <v>1</v>
      </c>
      <c r="I250" t="s">
        <v>1099</v>
      </c>
      <c r="J250" t="s">
        <v>3</v>
      </c>
      <c r="K250" t="s">
        <v>1100</v>
      </c>
      <c r="L250">
        <v>1191</v>
      </c>
      <c r="N250">
        <v>1013</v>
      </c>
      <c r="O250" t="s">
        <v>818</v>
      </c>
      <c r="P250" t="s">
        <v>818</v>
      </c>
      <c r="Q250">
        <v>1</v>
      </c>
      <c r="X250">
        <v>14.4</v>
      </c>
      <c r="Y250">
        <v>0</v>
      </c>
      <c r="Z250">
        <v>0</v>
      </c>
      <c r="AA250">
        <v>0</v>
      </c>
      <c r="AB250">
        <v>8.02</v>
      </c>
      <c r="AC250">
        <v>0</v>
      </c>
      <c r="AD250">
        <v>1</v>
      </c>
      <c r="AE250">
        <v>1</v>
      </c>
      <c r="AF250" t="s">
        <v>147</v>
      </c>
      <c r="AG250">
        <v>22.355999999999998</v>
      </c>
      <c r="AH250">
        <v>2</v>
      </c>
      <c r="AI250">
        <v>68991568</v>
      </c>
      <c r="AJ250">
        <v>242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ROW(Source!A92)</f>
        <v>92</v>
      </c>
      <c r="B251">
        <v>68991569</v>
      </c>
      <c r="C251">
        <v>68991550</v>
      </c>
      <c r="D251">
        <v>64241154</v>
      </c>
      <c r="E251">
        <v>56</v>
      </c>
      <c r="F251">
        <v>1</v>
      </c>
      <c r="G251">
        <v>1</v>
      </c>
      <c r="H251">
        <v>1</v>
      </c>
      <c r="I251" t="s">
        <v>819</v>
      </c>
      <c r="J251" t="s">
        <v>3</v>
      </c>
      <c r="K251" t="s">
        <v>820</v>
      </c>
      <c r="L251">
        <v>1191</v>
      </c>
      <c r="N251">
        <v>1013</v>
      </c>
      <c r="O251" t="s">
        <v>818</v>
      </c>
      <c r="P251" t="s">
        <v>818</v>
      </c>
      <c r="Q251">
        <v>1</v>
      </c>
      <c r="X251">
        <v>13.88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2</v>
      </c>
      <c r="AF251" t="s">
        <v>146</v>
      </c>
      <c r="AG251">
        <v>23.422500000000003</v>
      </c>
      <c r="AH251">
        <v>2</v>
      </c>
      <c r="AI251">
        <v>68991569</v>
      </c>
      <c r="AJ251">
        <v>243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ROW(Source!A92)</f>
        <v>92</v>
      </c>
      <c r="B252">
        <v>68991570</v>
      </c>
      <c r="C252">
        <v>68991550</v>
      </c>
      <c r="D252">
        <v>64401227</v>
      </c>
      <c r="E252">
        <v>1</v>
      </c>
      <c r="F252">
        <v>1</v>
      </c>
      <c r="G252">
        <v>1</v>
      </c>
      <c r="H252">
        <v>2</v>
      </c>
      <c r="I252" t="s">
        <v>971</v>
      </c>
      <c r="J252" t="s">
        <v>972</v>
      </c>
      <c r="K252" t="s">
        <v>973</v>
      </c>
      <c r="L252">
        <v>1368</v>
      </c>
      <c r="N252">
        <v>1011</v>
      </c>
      <c r="O252" t="s">
        <v>824</v>
      </c>
      <c r="P252" t="s">
        <v>824</v>
      </c>
      <c r="Q252">
        <v>1</v>
      </c>
      <c r="X252">
        <v>1.77</v>
      </c>
      <c r="Y252">
        <v>0</v>
      </c>
      <c r="Z252">
        <v>123</v>
      </c>
      <c r="AA252">
        <v>13.5</v>
      </c>
      <c r="AB252">
        <v>0</v>
      </c>
      <c r="AC252">
        <v>0</v>
      </c>
      <c r="AD252">
        <v>1</v>
      </c>
      <c r="AE252">
        <v>0</v>
      </c>
      <c r="AF252" t="s">
        <v>146</v>
      </c>
      <c r="AG252">
        <v>2.9868749999999999</v>
      </c>
      <c r="AH252">
        <v>2</v>
      </c>
      <c r="AI252">
        <v>68991570</v>
      </c>
      <c r="AJ252">
        <v>244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ROW(Source!A92)</f>
        <v>92</v>
      </c>
      <c r="B253">
        <v>68991571</v>
      </c>
      <c r="C253">
        <v>68991550</v>
      </c>
      <c r="D253">
        <v>64401921</v>
      </c>
      <c r="E253">
        <v>1</v>
      </c>
      <c r="F253">
        <v>1</v>
      </c>
      <c r="G253">
        <v>1</v>
      </c>
      <c r="H253">
        <v>2</v>
      </c>
      <c r="I253" t="s">
        <v>1020</v>
      </c>
      <c r="J253" t="s">
        <v>1021</v>
      </c>
      <c r="K253" t="s">
        <v>1022</v>
      </c>
      <c r="L253">
        <v>1368</v>
      </c>
      <c r="N253">
        <v>1011</v>
      </c>
      <c r="O253" t="s">
        <v>824</v>
      </c>
      <c r="P253" t="s">
        <v>824</v>
      </c>
      <c r="Q253">
        <v>1</v>
      </c>
      <c r="X253">
        <v>4.29</v>
      </c>
      <c r="Y253">
        <v>0</v>
      </c>
      <c r="Z253">
        <v>89.99</v>
      </c>
      <c r="AA253">
        <v>10.06</v>
      </c>
      <c r="AB253">
        <v>0</v>
      </c>
      <c r="AC253">
        <v>0</v>
      </c>
      <c r="AD253">
        <v>1</v>
      </c>
      <c r="AE253">
        <v>0</v>
      </c>
      <c r="AF253" t="s">
        <v>146</v>
      </c>
      <c r="AG253">
        <v>7.2393749999999999</v>
      </c>
      <c r="AH253">
        <v>2</v>
      </c>
      <c r="AI253">
        <v>68991571</v>
      </c>
      <c r="AJ253">
        <v>245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ROW(Source!A92)</f>
        <v>92</v>
      </c>
      <c r="B254">
        <v>68991572</v>
      </c>
      <c r="C254">
        <v>68991550</v>
      </c>
      <c r="D254">
        <v>64402151</v>
      </c>
      <c r="E254">
        <v>1</v>
      </c>
      <c r="F254">
        <v>1</v>
      </c>
      <c r="G254">
        <v>1</v>
      </c>
      <c r="H254">
        <v>2</v>
      </c>
      <c r="I254" t="s">
        <v>1101</v>
      </c>
      <c r="J254" t="s">
        <v>1102</v>
      </c>
      <c r="K254" t="s">
        <v>1103</v>
      </c>
      <c r="L254">
        <v>1368</v>
      </c>
      <c r="N254">
        <v>1011</v>
      </c>
      <c r="O254" t="s">
        <v>824</v>
      </c>
      <c r="P254" t="s">
        <v>824</v>
      </c>
      <c r="Q254">
        <v>1</v>
      </c>
      <c r="X254">
        <v>7.08</v>
      </c>
      <c r="Y254">
        <v>0</v>
      </c>
      <c r="Z254">
        <v>364.07</v>
      </c>
      <c r="AA254">
        <v>13.5</v>
      </c>
      <c r="AB254">
        <v>0</v>
      </c>
      <c r="AC254">
        <v>0</v>
      </c>
      <c r="AD254">
        <v>1</v>
      </c>
      <c r="AE254">
        <v>0</v>
      </c>
      <c r="AF254" t="s">
        <v>146</v>
      </c>
      <c r="AG254">
        <v>11.9475</v>
      </c>
      <c r="AH254">
        <v>2</v>
      </c>
      <c r="AI254">
        <v>68991572</v>
      </c>
      <c r="AJ254">
        <v>246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ROW(Source!A92)</f>
        <v>92</v>
      </c>
      <c r="B255">
        <v>68991573</v>
      </c>
      <c r="C255">
        <v>68991550</v>
      </c>
      <c r="D255">
        <v>64402639</v>
      </c>
      <c r="E255">
        <v>1</v>
      </c>
      <c r="F255">
        <v>1</v>
      </c>
      <c r="G255">
        <v>1</v>
      </c>
      <c r="H255">
        <v>2</v>
      </c>
      <c r="I255" t="s">
        <v>1104</v>
      </c>
      <c r="J255" t="s">
        <v>1105</v>
      </c>
      <c r="K255" t="s">
        <v>1106</v>
      </c>
      <c r="L255">
        <v>1368</v>
      </c>
      <c r="N255">
        <v>1011</v>
      </c>
      <c r="O255" t="s">
        <v>824</v>
      </c>
      <c r="P255" t="s">
        <v>824</v>
      </c>
      <c r="Q255">
        <v>1</v>
      </c>
      <c r="X255">
        <v>0.74</v>
      </c>
      <c r="Y255">
        <v>0</v>
      </c>
      <c r="Z255">
        <v>110</v>
      </c>
      <c r="AA255">
        <v>11.6</v>
      </c>
      <c r="AB255">
        <v>0</v>
      </c>
      <c r="AC255">
        <v>0</v>
      </c>
      <c r="AD255">
        <v>1</v>
      </c>
      <c r="AE255">
        <v>0</v>
      </c>
      <c r="AF255" t="s">
        <v>146</v>
      </c>
      <c r="AG255">
        <v>1.2487500000000002</v>
      </c>
      <c r="AH255">
        <v>2</v>
      </c>
      <c r="AI255">
        <v>68991573</v>
      </c>
      <c r="AJ255">
        <v>247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ROW(Source!A92)</f>
        <v>92</v>
      </c>
      <c r="B256">
        <v>68991574</v>
      </c>
      <c r="C256">
        <v>68991550</v>
      </c>
      <c r="D256">
        <v>64252759</v>
      </c>
      <c r="E256">
        <v>1</v>
      </c>
      <c r="F256">
        <v>1</v>
      </c>
      <c r="G256">
        <v>1</v>
      </c>
      <c r="H256">
        <v>3</v>
      </c>
      <c r="I256" t="s">
        <v>988</v>
      </c>
      <c r="J256" t="s">
        <v>989</v>
      </c>
      <c r="K256" t="s">
        <v>990</v>
      </c>
      <c r="L256">
        <v>1339</v>
      </c>
      <c r="N256">
        <v>1007</v>
      </c>
      <c r="O256" t="s">
        <v>113</v>
      </c>
      <c r="P256" t="s">
        <v>113</v>
      </c>
      <c r="Q256">
        <v>1</v>
      </c>
      <c r="X256">
        <v>5</v>
      </c>
      <c r="Y256">
        <v>2.44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3</v>
      </c>
      <c r="AG256">
        <v>5</v>
      </c>
      <c r="AH256">
        <v>2</v>
      </c>
      <c r="AI256">
        <v>68991574</v>
      </c>
      <c r="AJ256">
        <v>248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ROW(Source!A92)</f>
        <v>92</v>
      </c>
      <c r="B257">
        <v>68991575</v>
      </c>
      <c r="C257">
        <v>68991550</v>
      </c>
      <c r="D257">
        <v>64241813</v>
      </c>
      <c r="E257">
        <v>56</v>
      </c>
      <c r="F257">
        <v>1</v>
      </c>
      <c r="G257">
        <v>1</v>
      </c>
      <c r="H257">
        <v>3</v>
      </c>
      <c r="I257" t="s">
        <v>1303</v>
      </c>
      <c r="J257" t="s">
        <v>3</v>
      </c>
      <c r="K257" t="s">
        <v>1304</v>
      </c>
      <c r="L257">
        <v>1339</v>
      </c>
      <c r="N257">
        <v>1007</v>
      </c>
      <c r="O257" t="s">
        <v>113</v>
      </c>
      <c r="P257" t="s">
        <v>113</v>
      </c>
      <c r="Q257">
        <v>1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1</v>
      </c>
      <c r="AD257">
        <v>0</v>
      </c>
      <c r="AE257">
        <v>0</v>
      </c>
      <c r="AF257" t="s">
        <v>3</v>
      </c>
      <c r="AG257">
        <v>0</v>
      </c>
      <c r="AH257">
        <v>3</v>
      </c>
      <c r="AI257">
        <v>-1</v>
      </c>
      <c r="AJ257" t="s">
        <v>3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ROW(Source!A94)</f>
        <v>94</v>
      </c>
      <c r="B258">
        <v>68991584</v>
      </c>
      <c r="C258">
        <v>68991577</v>
      </c>
      <c r="D258">
        <v>37068121</v>
      </c>
      <c r="E258">
        <v>56</v>
      </c>
      <c r="F258">
        <v>1</v>
      </c>
      <c r="G258">
        <v>1</v>
      </c>
      <c r="H258">
        <v>1</v>
      </c>
      <c r="I258" t="s">
        <v>1107</v>
      </c>
      <c r="J258" t="s">
        <v>3</v>
      </c>
      <c r="K258" t="s">
        <v>1108</v>
      </c>
      <c r="L258">
        <v>1191</v>
      </c>
      <c r="N258">
        <v>1013</v>
      </c>
      <c r="O258" t="s">
        <v>818</v>
      </c>
      <c r="P258" t="s">
        <v>818</v>
      </c>
      <c r="Q258">
        <v>1</v>
      </c>
      <c r="X258">
        <v>35.6</v>
      </c>
      <c r="Y258">
        <v>0</v>
      </c>
      <c r="Z258">
        <v>0</v>
      </c>
      <c r="AA258">
        <v>0</v>
      </c>
      <c r="AB258">
        <v>7.94</v>
      </c>
      <c r="AC258">
        <v>0</v>
      </c>
      <c r="AD258">
        <v>1</v>
      </c>
      <c r="AE258">
        <v>1</v>
      </c>
      <c r="AF258" t="s">
        <v>147</v>
      </c>
      <c r="AG258">
        <v>55.268999999999998</v>
      </c>
      <c r="AH258">
        <v>2</v>
      </c>
      <c r="AI258">
        <v>68991578</v>
      </c>
      <c r="AJ258">
        <v>250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ROW(Source!A94)</f>
        <v>94</v>
      </c>
      <c r="B259">
        <v>68991585</v>
      </c>
      <c r="C259">
        <v>68991577</v>
      </c>
      <c r="D259">
        <v>37064876</v>
      </c>
      <c r="E259">
        <v>56</v>
      </c>
      <c r="F259">
        <v>1</v>
      </c>
      <c r="G259">
        <v>1</v>
      </c>
      <c r="H259">
        <v>1</v>
      </c>
      <c r="I259" t="s">
        <v>819</v>
      </c>
      <c r="J259" t="s">
        <v>3</v>
      </c>
      <c r="K259" t="s">
        <v>820</v>
      </c>
      <c r="L259">
        <v>1191</v>
      </c>
      <c r="N259">
        <v>1013</v>
      </c>
      <c r="O259" t="s">
        <v>818</v>
      </c>
      <c r="P259" t="s">
        <v>818</v>
      </c>
      <c r="Q259">
        <v>1</v>
      </c>
      <c r="X259">
        <v>1.27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2</v>
      </c>
      <c r="AF259" t="s">
        <v>146</v>
      </c>
      <c r="AG259">
        <v>2.1431249999999999</v>
      </c>
      <c r="AH259">
        <v>2</v>
      </c>
      <c r="AI259">
        <v>68991579</v>
      </c>
      <c r="AJ259">
        <v>251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ROW(Source!A94)</f>
        <v>94</v>
      </c>
      <c r="B260">
        <v>68991586</v>
      </c>
      <c r="C260">
        <v>68991577</v>
      </c>
      <c r="D260">
        <v>64401959</v>
      </c>
      <c r="E260">
        <v>1</v>
      </c>
      <c r="F260">
        <v>1</v>
      </c>
      <c r="G260">
        <v>1</v>
      </c>
      <c r="H260">
        <v>2</v>
      </c>
      <c r="I260" t="s">
        <v>859</v>
      </c>
      <c r="J260" t="s">
        <v>860</v>
      </c>
      <c r="K260" t="s">
        <v>861</v>
      </c>
      <c r="L260">
        <v>1368</v>
      </c>
      <c r="N260">
        <v>1011</v>
      </c>
      <c r="O260" t="s">
        <v>824</v>
      </c>
      <c r="P260" t="s">
        <v>824</v>
      </c>
      <c r="Q260">
        <v>1</v>
      </c>
      <c r="X260">
        <v>1.27</v>
      </c>
      <c r="Y260">
        <v>0</v>
      </c>
      <c r="Z260">
        <v>31.26</v>
      </c>
      <c r="AA260">
        <v>13.5</v>
      </c>
      <c r="AB260">
        <v>0</v>
      </c>
      <c r="AC260">
        <v>0</v>
      </c>
      <c r="AD260">
        <v>1</v>
      </c>
      <c r="AE260">
        <v>0</v>
      </c>
      <c r="AF260" t="s">
        <v>146</v>
      </c>
      <c r="AG260">
        <v>2.1431249999999999</v>
      </c>
      <c r="AH260">
        <v>2</v>
      </c>
      <c r="AI260">
        <v>68991580</v>
      </c>
      <c r="AJ260">
        <v>252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ROW(Source!A94)</f>
        <v>94</v>
      </c>
      <c r="B261">
        <v>68991587</v>
      </c>
      <c r="C261">
        <v>68991577</v>
      </c>
      <c r="D261">
        <v>64402043</v>
      </c>
      <c r="E261">
        <v>1</v>
      </c>
      <c r="F261">
        <v>1</v>
      </c>
      <c r="G261">
        <v>1</v>
      </c>
      <c r="H261">
        <v>2</v>
      </c>
      <c r="I261" t="s">
        <v>1056</v>
      </c>
      <c r="J261" t="s">
        <v>1057</v>
      </c>
      <c r="K261" t="s">
        <v>1058</v>
      </c>
      <c r="L261">
        <v>1368</v>
      </c>
      <c r="N261">
        <v>1011</v>
      </c>
      <c r="O261" t="s">
        <v>824</v>
      </c>
      <c r="P261" t="s">
        <v>824</v>
      </c>
      <c r="Q261">
        <v>1</v>
      </c>
      <c r="X261">
        <v>7.82</v>
      </c>
      <c r="Y261">
        <v>0</v>
      </c>
      <c r="Z261">
        <v>0.5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146</v>
      </c>
      <c r="AG261">
        <v>13.196250000000001</v>
      </c>
      <c r="AH261">
        <v>2</v>
      </c>
      <c r="AI261">
        <v>68991581</v>
      </c>
      <c r="AJ261">
        <v>253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ROW(Source!A94)</f>
        <v>94</v>
      </c>
      <c r="B262">
        <v>68991588</v>
      </c>
      <c r="C262">
        <v>68991577</v>
      </c>
      <c r="D262">
        <v>64252759</v>
      </c>
      <c r="E262">
        <v>1</v>
      </c>
      <c r="F262">
        <v>1</v>
      </c>
      <c r="G262">
        <v>1</v>
      </c>
      <c r="H262">
        <v>3</v>
      </c>
      <c r="I262" t="s">
        <v>988</v>
      </c>
      <c r="J262" t="s">
        <v>989</v>
      </c>
      <c r="K262" t="s">
        <v>990</v>
      </c>
      <c r="L262">
        <v>1339</v>
      </c>
      <c r="N262">
        <v>1007</v>
      </c>
      <c r="O262" t="s">
        <v>113</v>
      </c>
      <c r="P262" t="s">
        <v>113</v>
      </c>
      <c r="Q262">
        <v>1</v>
      </c>
      <c r="X262">
        <v>3.5</v>
      </c>
      <c r="Y262">
        <v>2.44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3</v>
      </c>
      <c r="AG262">
        <v>3.5</v>
      </c>
      <c r="AH262">
        <v>2</v>
      </c>
      <c r="AI262">
        <v>68991582</v>
      </c>
      <c r="AJ262">
        <v>254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ROW(Source!A94)</f>
        <v>94</v>
      </c>
      <c r="B263">
        <v>68991589</v>
      </c>
      <c r="C263">
        <v>68991577</v>
      </c>
      <c r="D263">
        <v>64241988</v>
      </c>
      <c r="E263">
        <v>56</v>
      </c>
      <c r="F263">
        <v>1</v>
      </c>
      <c r="G263">
        <v>1</v>
      </c>
      <c r="H263">
        <v>3</v>
      </c>
      <c r="I263" t="s">
        <v>1305</v>
      </c>
      <c r="J263" t="s">
        <v>3</v>
      </c>
      <c r="K263" t="s">
        <v>1306</v>
      </c>
      <c r="L263">
        <v>1339</v>
      </c>
      <c r="N263">
        <v>1007</v>
      </c>
      <c r="O263" t="s">
        <v>113</v>
      </c>
      <c r="P263" t="s">
        <v>113</v>
      </c>
      <c r="Q263">
        <v>1</v>
      </c>
      <c r="X263">
        <v>2.04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 t="s">
        <v>3</v>
      </c>
      <c r="AG263">
        <v>2.04</v>
      </c>
      <c r="AH263">
        <v>3</v>
      </c>
      <c r="AI263">
        <v>-1</v>
      </c>
      <c r="AJ263" t="s">
        <v>3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ROW(Source!A96)</f>
        <v>96</v>
      </c>
      <c r="B264">
        <v>68991632</v>
      </c>
      <c r="C264">
        <v>68991618</v>
      </c>
      <c r="D264">
        <v>64240981</v>
      </c>
      <c r="E264">
        <v>56</v>
      </c>
      <c r="F264">
        <v>1</v>
      </c>
      <c r="G264">
        <v>1</v>
      </c>
      <c r="H264">
        <v>1</v>
      </c>
      <c r="I264" t="s">
        <v>1026</v>
      </c>
      <c r="J264" t="s">
        <v>3</v>
      </c>
      <c r="K264" t="s">
        <v>1027</v>
      </c>
      <c r="L264">
        <v>1191</v>
      </c>
      <c r="N264">
        <v>1013</v>
      </c>
      <c r="O264" t="s">
        <v>818</v>
      </c>
      <c r="P264" t="s">
        <v>818</v>
      </c>
      <c r="Q264">
        <v>1</v>
      </c>
      <c r="X264">
        <v>11.6</v>
      </c>
      <c r="Y264">
        <v>0</v>
      </c>
      <c r="Z264">
        <v>0</v>
      </c>
      <c r="AA264">
        <v>0</v>
      </c>
      <c r="AB264">
        <v>8.86</v>
      </c>
      <c r="AC264">
        <v>0</v>
      </c>
      <c r="AD264">
        <v>1</v>
      </c>
      <c r="AE264">
        <v>1</v>
      </c>
      <c r="AF264" t="s">
        <v>147</v>
      </c>
      <c r="AG264">
        <v>18.009</v>
      </c>
      <c r="AH264">
        <v>2</v>
      </c>
      <c r="AI264">
        <v>68991632</v>
      </c>
      <c r="AJ264">
        <v>256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ROW(Source!A96)</f>
        <v>96</v>
      </c>
      <c r="B265">
        <v>68991633</v>
      </c>
      <c r="C265">
        <v>68991618</v>
      </c>
      <c r="D265">
        <v>64241154</v>
      </c>
      <c r="E265">
        <v>56</v>
      </c>
      <c r="F265">
        <v>1</v>
      </c>
      <c r="G265">
        <v>1</v>
      </c>
      <c r="H265">
        <v>1</v>
      </c>
      <c r="I265" t="s">
        <v>819</v>
      </c>
      <c r="J265" t="s">
        <v>3</v>
      </c>
      <c r="K265" t="s">
        <v>820</v>
      </c>
      <c r="L265">
        <v>1191</v>
      </c>
      <c r="N265">
        <v>1013</v>
      </c>
      <c r="O265" t="s">
        <v>818</v>
      </c>
      <c r="P265" t="s">
        <v>818</v>
      </c>
      <c r="Q265">
        <v>1</v>
      </c>
      <c r="X265">
        <v>0.35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2</v>
      </c>
      <c r="AF265" t="s">
        <v>146</v>
      </c>
      <c r="AG265">
        <v>0.59062500000000007</v>
      </c>
      <c r="AH265">
        <v>2</v>
      </c>
      <c r="AI265">
        <v>68991633</v>
      </c>
      <c r="AJ265">
        <v>257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ROW(Source!A96)</f>
        <v>96</v>
      </c>
      <c r="B266">
        <v>68991634</v>
      </c>
      <c r="C266">
        <v>68991618</v>
      </c>
      <c r="D266">
        <v>64401763</v>
      </c>
      <c r="E266">
        <v>1</v>
      </c>
      <c r="F266">
        <v>1</v>
      </c>
      <c r="G266">
        <v>1</v>
      </c>
      <c r="H266">
        <v>2</v>
      </c>
      <c r="I266" t="s">
        <v>821</v>
      </c>
      <c r="J266" t="s">
        <v>822</v>
      </c>
      <c r="K266" t="s">
        <v>823</v>
      </c>
      <c r="L266">
        <v>1368</v>
      </c>
      <c r="N266">
        <v>1011</v>
      </c>
      <c r="O266" t="s">
        <v>824</v>
      </c>
      <c r="P266" t="s">
        <v>824</v>
      </c>
      <c r="Q266">
        <v>1</v>
      </c>
      <c r="X266">
        <v>0.15</v>
      </c>
      <c r="Y266">
        <v>0</v>
      </c>
      <c r="Z266">
        <v>115.4</v>
      </c>
      <c r="AA266">
        <v>13.5</v>
      </c>
      <c r="AB266">
        <v>0</v>
      </c>
      <c r="AC266">
        <v>0</v>
      </c>
      <c r="AD266">
        <v>1</v>
      </c>
      <c r="AE266">
        <v>0</v>
      </c>
      <c r="AF266" t="s">
        <v>146</v>
      </c>
      <c r="AG266">
        <v>0.25312500000000004</v>
      </c>
      <c r="AH266">
        <v>2</v>
      </c>
      <c r="AI266">
        <v>68991634</v>
      </c>
      <c r="AJ266">
        <v>258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ROW(Source!A96)</f>
        <v>96</v>
      </c>
      <c r="B267">
        <v>68991635</v>
      </c>
      <c r="C267">
        <v>68991618</v>
      </c>
      <c r="D267">
        <v>64402691</v>
      </c>
      <c r="E267">
        <v>1</v>
      </c>
      <c r="F267">
        <v>1</v>
      </c>
      <c r="G267">
        <v>1</v>
      </c>
      <c r="H267">
        <v>2</v>
      </c>
      <c r="I267" t="s">
        <v>825</v>
      </c>
      <c r="J267" t="s">
        <v>826</v>
      </c>
      <c r="K267" t="s">
        <v>827</v>
      </c>
      <c r="L267">
        <v>1368</v>
      </c>
      <c r="N267">
        <v>1011</v>
      </c>
      <c r="O267" t="s">
        <v>824</v>
      </c>
      <c r="P267" t="s">
        <v>824</v>
      </c>
      <c r="Q267">
        <v>1</v>
      </c>
      <c r="X267">
        <v>0.2</v>
      </c>
      <c r="Y267">
        <v>0</v>
      </c>
      <c r="Z267">
        <v>65.709999999999994</v>
      </c>
      <c r="AA267">
        <v>11.6</v>
      </c>
      <c r="AB267">
        <v>0</v>
      </c>
      <c r="AC267">
        <v>0</v>
      </c>
      <c r="AD267">
        <v>1</v>
      </c>
      <c r="AE267">
        <v>0</v>
      </c>
      <c r="AF267" t="s">
        <v>146</v>
      </c>
      <c r="AG267">
        <v>0.33750000000000002</v>
      </c>
      <c r="AH267">
        <v>2</v>
      </c>
      <c r="AI267">
        <v>68991635</v>
      </c>
      <c r="AJ267">
        <v>259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ROW(Source!A96)</f>
        <v>96</v>
      </c>
      <c r="B268">
        <v>68991636</v>
      </c>
      <c r="C268">
        <v>68991618</v>
      </c>
      <c r="D268">
        <v>64272188</v>
      </c>
      <c r="E268">
        <v>1</v>
      </c>
      <c r="F268">
        <v>1</v>
      </c>
      <c r="G268">
        <v>1</v>
      </c>
      <c r="H268">
        <v>3</v>
      </c>
      <c r="I268" t="s">
        <v>1109</v>
      </c>
      <c r="J268" t="s">
        <v>1110</v>
      </c>
      <c r="K268" t="s">
        <v>1111</v>
      </c>
      <c r="L268">
        <v>1348</v>
      </c>
      <c r="N268">
        <v>1009</v>
      </c>
      <c r="O268" t="s">
        <v>71</v>
      </c>
      <c r="P268" t="s">
        <v>71</v>
      </c>
      <c r="Q268">
        <v>1000</v>
      </c>
      <c r="X268">
        <v>2.8000000000000001E-2</v>
      </c>
      <c r="Y268">
        <v>10200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3</v>
      </c>
      <c r="AG268">
        <v>2.8000000000000001E-2</v>
      </c>
      <c r="AH268">
        <v>2</v>
      </c>
      <c r="AI268">
        <v>68991636</v>
      </c>
      <c r="AJ268">
        <v>261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ROW(Source!A96)</f>
        <v>96</v>
      </c>
      <c r="B269">
        <v>68991637</v>
      </c>
      <c r="C269">
        <v>68991618</v>
      </c>
      <c r="D269">
        <v>64243190</v>
      </c>
      <c r="E269">
        <v>56</v>
      </c>
      <c r="F269">
        <v>1</v>
      </c>
      <c r="G269">
        <v>1</v>
      </c>
      <c r="H269">
        <v>3</v>
      </c>
      <c r="I269" t="s">
        <v>1297</v>
      </c>
      <c r="J269" t="s">
        <v>3</v>
      </c>
      <c r="K269" t="s">
        <v>1298</v>
      </c>
      <c r="L269">
        <v>1348</v>
      </c>
      <c r="N269">
        <v>1009</v>
      </c>
      <c r="O269" t="s">
        <v>71</v>
      </c>
      <c r="P269" t="s">
        <v>71</v>
      </c>
      <c r="Q269">
        <v>1000</v>
      </c>
      <c r="X269">
        <v>1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 t="s">
        <v>3</v>
      </c>
      <c r="AG269">
        <v>1</v>
      </c>
      <c r="AH269">
        <v>3</v>
      </c>
      <c r="AI269">
        <v>-1</v>
      </c>
      <c r="AJ269" t="s">
        <v>3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ROW(Source!A98)</f>
        <v>98</v>
      </c>
      <c r="B270">
        <v>68991597</v>
      </c>
      <c r="C270">
        <v>68991591</v>
      </c>
      <c r="D270">
        <v>37068121</v>
      </c>
      <c r="E270">
        <v>56</v>
      </c>
      <c r="F270">
        <v>1</v>
      </c>
      <c r="G270">
        <v>1</v>
      </c>
      <c r="H270">
        <v>1</v>
      </c>
      <c r="I270" t="s">
        <v>1107</v>
      </c>
      <c r="J270" t="s">
        <v>3</v>
      </c>
      <c r="K270" t="s">
        <v>1108</v>
      </c>
      <c r="L270">
        <v>1191</v>
      </c>
      <c r="N270">
        <v>1013</v>
      </c>
      <c r="O270" t="s">
        <v>818</v>
      </c>
      <c r="P270" t="s">
        <v>818</v>
      </c>
      <c r="Q270">
        <v>1</v>
      </c>
      <c r="X270">
        <v>0.44</v>
      </c>
      <c r="Y270">
        <v>0</v>
      </c>
      <c r="Z270">
        <v>0</v>
      </c>
      <c r="AA270">
        <v>0</v>
      </c>
      <c r="AB270">
        <v>7.94</v>
      </c>
      <c r="AC270">
        <v>0</v>
      </c>
      <c r="AD270">
        <v>1</v>
      </c>
      <c r="AE270">
        <v>1</v>
      </c>
      <c r="AF270" t="s">
        <v>331</v>
      </c>
      <c r="AG270">
        <v>1.3662000000000001</v>
      </c>
      <c r="AH270">
        <v>2</v>
      </c>
      <c r="AI270">
        <v>68991592</v>
      </c>
      <c r="AJ270">
        <v>262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ROW(Source!A98)</f>
        <v>98</v>
      </c>
      <c r="B271">
        <v>68991598</v>
      </c>
      <c r="C271">
        <v>68991591</v>
      </c>
      <c r="D271">
        <v>37064876</v>
      </c>
      <c r="E271">
        <v>56</v>
      </c>
      <c r="F271">
        <v>1</v>
      </c>
      <c r="G271">
        <v>1</v>
      </c>
      <c r="H271">
        <v>1</v>
      </c>
      <c r="I271" t="s">
        <v>819</v>
      </c>
      <c r="J271" t="s">
        <v>3</v>
      </c>
      <c r="K271" t="s">
        <v>820</v>
      </c>
      <c r="L271">
        <v>1191</v>
      </c>
      <c r="N271">
        <v>1013</v>
      </c>
      <c r="O271" t="s">
        <v>818</v>
      </c>
      <c r="P271" t="s">
        <v>818</v>
      </c>
      <c r="Q271">
        <v>1</v>
      </c>
      <c r="X271">
        <v>0.21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1</v>
      </c>
      <c r="AE271">
        <v>2</v>
      </c>
      <c r="AF271" t="s">
        <v>330</v>
      </c>
      <c r="AG271">
        <v>0.7087500000000001</v>
      </c>
      <c r="AH271">
        <v>2</v>
      </c>
      <c r="AI271">
        <v>68991593</v>
      </c>
      <c r="AJ271">
        <v>263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ROW(Source!A98)</f>
        <v>98</v>
      </c>
      <c r="B272">
        <v>68991599</v>
      </c>
      <c r="C272">
        <v>68991591</v>
      </c>
      <c r="D272">
        <v>64401959</v>
      </c>
      <c r="E272">
        <v>1</v>
      </c>
      <c r="F272">
        <v>1</v>
      </c>
      <c r="G272">
        <v>1</v>
      </c>
      <c r="H272">
        <v>2</v>
      </c>
      <c r="I272" t="s">
        <v>859</v>
      </c>
      <c r="J272" t="s">
        <v>860</v>
      </c>
      <c r="K272" t="s">
        <v>861</v>
      </c>
      <c r="L272">
        <v>1368</v>
      </c>
      <c r="N272">
        <v>1011</v>
      </c>
      <c r="O272" t="s">
        <v>824</v>
      </c>
      <c r="P272" t="s">
        <v>824</v>
      </c>
      <c r="Q272">
        <v>1</v>
      </c>
      <c r="X272">
        <v>0.21</v>
      </c>
      <c r="Y272">
        <v>0</v>
      </c>
      <c r="Z272">
        <v>31.26</v>
      </c>
      <c r="AA272">
        <v>13.5</v>
      </c>
      <c r="AB272">
        <v>0</v>
      </c>
      <c r="AC272">
        <v>0</v>
      </c>
      <c r="AD272">
        <v>1</v>
      </c>
      <c r="AE272">
        <v>0</v>
      </c>
      <c r="AF272" t="s">
        <v>330</v>
      </c>
      <c r="AG272">
        <v>0.7087500000000001</v>
      </c>
      <c r="AH272">
        <v>2</v>
      </c>
      <c r="AI272">
        <v>68991594</v>
      </c>
      <c r="AJ272">
        <v>264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ROW(Source!A98)</f>
        <v>98</v>
      </c>
      <c r="B273">
        <v>68991600</v>
      </c>
      <c r="C273">
        <v>68991591</v>
      </c>
      <c r="D273">
        <v>64402043</v>
      </c>
      <c r="E273">
        <v>1</v>
      </c>
      <c r="F273">
        <v>1</v>
      </c>
      <c r="G273">
        <v>1</v>
      </c>
      <c r="H273">
        <v>2</v>
      </c>
      <c r="I273" t="s">
        <v>1056</v>
      </c>
      <c r="J273" t="s">
        <v>1057</v>
      </c>
      <c r="K273" t="s">
        <v>1058</v>
      </c>
      <c r="L273">
        <v>1368</v>
      </c>
      <c r="N273">
        <v>1011</v>
      </c>
      <c r="O273" t="s">
        <v>824</v>
      </c>
      <c r="P273" t="s">
        <v>824</v>
      </c>
      <c r="Q273">
        <v>1</v>
      </c>
      <c r="X273">
        <v>2</v>
      </c>
      <c r="Y273">
        <v>0</v>
      </c>
      <c r="Z273">
        <v>0.5</v>
      </c>
      <c r="AA273">
        <v>0</v>
      </c>
      <c r="AB273">
        <v>0</v>
      </c>
      <c r="AC273">
        <v>0</v>
      </c>
      <c r="AD273">
        <v>1</v>
      </c>
      <c r="AE273">
        <v>0</v>
      </c>
      <c r="AF273" t="s">
        <v>330</v>
      </c>
      <c r="AG273">
        <v>6.75</v>
      </c>
      <c r="AH273">
        <v>2</v>
      </c>
      <c r="AI273">
        <v>68991595</v>
      </c>
      <c r="AJ273">
        <v>265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ROW(Source!A98)</f>
        <v>98</v>
      </c>
      <c r="B274">
        <v>68991601</v>
      </c>
      <c r="C274">
        <v>68991591</v>
      </c>
      <c r="D274">
        <v>64241988</v>
      </c>
      <c r="E274">
        <v>56</v>
      </c>
      <c r="F274">
        <v>1</v>
      </c>
      <c r="G274">
        <v>1</v>
      </c>
      <c r="H274">
        <v>3</v>
      </c>
      <c r="I274" t="s">
        <v>1305</v>
      </c>
      <c r="J274" t="s">
        <v>3</v>
      </c>
      <c r="K274" t="s">
        <v>1306</v>
      </c>
      <c r="L274">
        <v>1339</v>
      </c>
      <c r="N274">
        <v>1007</v>
      </c>
      <c r="O274" t="s">
        <v>113</v>
      </c>
      <c r="P274" t="s">
        <v>113</v>
      </c>
      <c r="Q274">
        <v>1</v>
      </c>
      <c r="X274">
        <v>0.51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 t="s">
        <v>3</v>
      </c>
      <c r="AG274">
        <v>0.51</v>
      </c>
      <c r="AH274">
        <v>3</v>
      </c>
      <c r="AI274">
        <v>-1</v>
      </c>
      <c r="AJ274" t="s">
        <v>3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ROW(Source!A100)</f>
        <v>100</v>
      </c>
      <c r="B275">
        <v>68991653</v>
      </c>
      <c r="C275">
        <v>68991652</v>
      </c>
      <c r="D275">
        <v>64240991</v>
      </c>
      <c r="E275">
        <v>56</v>
      </c>
      <c r="F275">
        <v>1</v>
      </c>
      <c r="G275">
        <v>1</v>
      </c>
      <c r="H275">
        <v>1</v>
      </c>
      <c r="I275" t="s">
        <v>980</v>
      </c>
      <c r="J275" t="s">
        <v>3</v>
      </c>
      <c r="K275" t="s">
        <v>981</v>
      </c>
      <c r="L275">
        <v>1191</v>
      </c>
      <c r="N275">
        <v>1013</v>
      </c>
      <c r="O275" t="s">
        <v>818</v>
      </c>
      <c r="P275" t="s">
        <v>818</v>
      </c>
      <c r="Q275">
        <v>1</v>
      </c>
      <c r="X275">
        <v>5.38</v>
      </c>
      <c r="Y275">
        <v>0</v>
      </c>
      <c r="Z275">
        <v>0</v>
      </c>
      <c r="AA275">
        <v>0</v>
      </c>
      <c r="AB275">
        <v>9.07</v>
      </c>
      <c r="AC275">
        <v>0</v>
      </c>
      <c r="AD275">
        <v>1</v>
      </c>
      <c r="AE275">
        <v>1</v>
      </c>
      <c r="AF275" t="s">
        <v>147</v>
      </c>
      <c r="AG275">
        <v>8.3524499999999993</v>
      </c>
      <c r="AH275">
        <v>2</v>
      </c>
      <c r="AI275">
        <v>68991653</v>
      </c>
      <c r="AJ275">
        <v>267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ROW(Source!A100)</f>
        <v>100</v>
      </c>
      <c r="B276">
        <v>68991654</v>
      </c>
      <c r="C276">
        <v>68991652</v>
      </c>
      <c r="D276">
        <v>64241154</v>
      </c>
      <c r="E276">
        <v>56</v>
      </c>
      <c r="F276">
        <v>1</v>
      </c>
      <c r="G276">
        <v>1</v>
      </c>
      <c r="H276">
        <v>1</v>
      </c>
      <c r="I276" t="s">
        <v>819</v>
      </c>
      <c r="J276" t="s">
        <v>3</v>
      </c>
      <c r="K276" t="s">
        <v>820</v>
      </c>
      <c r="L276">
        <v>1191</v>
      </c>
      <c r="N276">
        <v>1013</v>
      </c>
      <c r="O276" t="s">
        <v>818</v>
      </c>
      <c r="P276" t="s">
        <v>818</v>
      </c>
      <c r="Q276">
        <v>1</v>
      </c>
      <c r="X276">
        <v>0.02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2</v>
      </c>
      <c r="AF276" t="s">
        <v>146</v>
      </c>
      <c r="AG276">
        <v>3.3750000000000002E-2</v>
      </c>
      <c r="AH276">
        <v>2</v>
      </c>
      <c r="AI276">
        <v>68991654</v>
      </c>
      <c r="AJ276">
        <v>268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ROW(Source!A100)</f>
        <v>100</v>
      </c>
      <c r="B277">
        <v>68991655</v>
      </c>
      <c r="C277">
        <v>68991652</v>
      </c>
      <c r="D277">
        <v>64401902</v>
      </c>
      <c r="E277">
        <v>1</v>
      </c>
      <c r="F277">
        <v>1</v>
      </c>
      <c r="G277">
        <v>1</v>
      </c>
      <c r="H277">
        <v>2</v>
      </c>
      <c r="I277" t="s">
        <v>1112</v>
      </c>
      <c r="J277" t="s">
        <v>1113</v>
      </c>
      <c r="K277" t="s">
        <v>1114</v>
      </c>
      <c r="L277">
        <v>1368</v>
      </c>
      <c r="N277">
        <v>1011</v>
      </c>
      <c r="O277" t="s">
        <v>824</v>
      </c>
      <c r="P277" t="s">
        <v>824</v>
      </c>
      <c r="Q277">
        <v>1</v>
      </c>
      <c r="X277">
        <v>0.01</v>
      </c>
      <c r="Y277">
        <v>0</v>
      </c>
      <c r="Z277">
        <v>1.7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146</v>
      </c>
      <c r="AG277">
        <v>1.6875000000000001E-2</v>
      </c>
      <c r="AH277">
        <v>2</v>
      </c>
      <c r="AI277">
        <v>68991655</v>
      </c>
      <c r="AJ277">
        <v>269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ROW(Source!A100)</f>
        <v>100</v>
      </c>
      <c r="B278">
        <v>68991656</v>
      </c>
      <c r="C278">
        <v>68991652</v>
      </c>
      <c r="D278">
        <v>64401921</v>
      </c>
      <c r="E278">
        <v>1</v>
      </c>
      <c r="F278">
        <v>1</v>
      </c>
      <c r="G278">
        <v>1</v>
      </c>
      <c r="H278">
        <v>2</v>
      </c>
      <c r="I278" t="s">
        <v>1020</v>
      </c>
      <c r="J278" t="s">
        <v>1021</v>
      </c>
      <c r="K278" t="s">
        <v>1022</v>
      </c>
      <c r="L278">
        <v>1368</v>
      </c>
      <c r="N278">
        <v>1011</v>
      </c>
      <c r="O278" t="s">
        <v>824</v>
      </c>
      <c r="P278" t="s">
        <v>824</v>
      </c>
      <c r="Q278">
        <v>1</v>
      </c>
      <c r="X278">
        <v>0.01</v>
      </c>
      <c r="Y278">
        <v>0</v>
      </c>
      <c r="Z278">
        <v>89.99</v>
      </c>
      <c r="AA278">
        <v>10.06</v>
      </c>
      <c r="AB278">
        <v>0</v>
      </c>
      <c r="AC278">
        <v>0</v>
      </c>
      <c r="AD278">
        <v>1</v>
      </c>
      <c r="AE278">
        <v>0</v>
      </c>
      <c r="AF278" t="s">
        <v>146</v>
      </c>
      <c r="AG278">
        <v>1.6875000000000001E-2</v>
      </c>
      <c r="AH278">
        <v>2</v>
      </c>
      <c r="AI278">
        <v>68991656</v>
      </c>
      <c r="AJ278">
        <v>270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ROW(Source!A100)</f>
        <v>100</v>
      </c>
      <c r="B279">
        <v>68991657</v>
      </c>
      <c r="C279">
        <v>68991652</v>
      </c>
      <c r="D279">
        <v>64402691</v>
      </c>
      <c r="E279">
        <v>1</v>
      </c>
      <c r="F279">
        <v>1</v>
      </c>
      <c r="G279">
        <v>1</v>
      </c>
      <c r="H279">
        <v>2</v>
      </c>
      <c r="I279" t="s">
        <v>825</v>
      </c>
      <c r="J279" t="s">
        <v>826</v>
      </c>
      <c r="K279" t="s">
        <v>827</v>
      </c>
      <c r="L279">
        <v>1368</v>
      </c>
      <c r="N279">
        <v>1011</v>
      </c>
      <c r="O279" t="s">
        <v>824</v>
      </c>
      <c r="P279" t="s">
        <v>824</v>
      </c>
      <c r="Q279">
        <v>1</v>
      </c>
      <c r="X279">
        <v>0.01</v>
      </c>
      <c r="Y279">
        <v>0</v>
      </c>
      <c r="Z279">
        <v>65.709999999999994</v>
      </c>
      <c r="AA279">
        <v>11.6</v>
      </c>
      <c r="AB279">
        <v>0</v>
      </c>
      <c r="AC279">
        <v>0</v>
      </c>
      <c r="AD279">
        <v>1</v>
      </c>
      <c r="AE279">
        <v>0</v>
      </c>
      <c r="AF279" t="s">
        <v>146</v>
      </c>
      <c r="AG279">
        <v>1.6875000000000001E-2</v>
      </c>
      <c r="AH279">
        <v>2</v>
      </c>
      <c r="AI279">
        <v>68991657</v>
      </c>
      <c r="AJ279">
        <v>271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ROW(Source!A100)</f>
        <v>100</v>
      </c>
      <c r="B280">
        <v>68991658</v>
      </c>
      <c r="C280">
        <v>68991652</v>
      </c>
      <c r="D280">
        <v>64403327</v>
      </c>
      <c r="E280">
        <v>1</v>
      </c>
      <c r="F280">
        <v>1</v>
      </c>
      <c r="G280">
        <v>1</v>
      </c>
      <c r="H280">
        <v>2</v>
      </c>
      <c r="I280" t="s">
        <v>1115</v>
      </c>
      <c r="J280" t="s">
        <v>1116</v>
      </c>
      <c r="K280" t="s">
        <v>1117</v>
      </c>
      <c r="L280">
        <v>1368</v>
      </c>
      <c r="N280">
        <v>1011</v>
      </c>
      <c r="O280" t="s">
        <v>824</v>
      </c>
      <c r="P280" t="s">
        <v>824</v>
      </c>
      <c r="Q280">
        <v>1</v>
      </c>
      <c r="X280">
        <v>0.65</v>
      </c>
      <c r="Y280">
        <v>0</v>
      </c>
      <c r="Z280">
        <v>6.82</v>
      </c>
      <c r="AA280">
        <v>0</v>
      </c>
      <c r="AB280">
        <v>0</v>
      </c>
      <c r="AC280">
        <v>0</v>
      </c>
      <c r="AD280">
        <v>1</v>
      </c>
      <c r="AE280">
        <v>0</v>
      </c>
      <c r="AF280" t="s">
        <v>146</v>
      </c>
      <c r="AG280">
        <v>1.096875</v>
      </c>
      <c r="AH280">
        <v>2</v>
      </c>
      <c r="AI280">
        <v>68991658</v>
      </c>
      <c r="AJ280">
        <v>272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ROW(Source!A100)</f>
        <v>100</v>
      </c>
      <c r="B281">
        <v>68991659</v>
      </c>
      <c r="C281">
        <v>68991652</v>
      </c>
      <c r="D281">
        <v>64284478</v>
      </c>
      <c r="E281">
        <v>1</v>
      </c>
      <c r="F281">
        <v>1</v>
      </c>
      <c r="G281">
        <v>1</v>
      </c>
      <c r="H281">
        <v>3</v>
      </c>
      <c r="I281" t="s">
        <v>1118</v>
      </c>
      <c r="J281" t="s">
        <v>1119</v>
      </c>
      <c r="K281" t="s">
        <v>1120</v>
      </c>
      <c r="L281">
        <v>1348</v>
      </c>
      <c r="N281">
        <v>1009</v>
      </c>
      <c r="O281" t="s">
        <v>71</v>
      </c>
      <c r="P281" t="s">
        <v>71</v>
      </c>
      <c r="Q281">
        <v>1000</v>
      </c>
      <c r="X281">
        <v>8.9999999999999993E-3</v>
      </c>
      <c r="Y281">
        <v>24950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0</v>
      </c>
      <c r="AF281" t="s">
        <v>3</v>
      </c>
      <c r="AG281">
        <v>8.9999999999999993E-3</v>
      </c>
      <c r="AH281">
        <v>2</v>
      </c>
      <c r="AI281">
        <v>68991659</v>
      </c>
      <c r="AJ281">
        <v>273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ROW(Source!A100)</f>
        <v>100</v>
      </c>
      <c r="B282">
        <v>68991660</v>
      </c>
      <c r="C282">
        <v>68991652</v>
      </c>
      <c r="D282">
        <v>64285001</v>
      </c>
      <c r="E282">
        <v>1</v>
      </c>
      <c r="F282">
        <v>1</v>
      </c>
      <c r="G282">
        <v>1</v>
      </c>
      <c r="H282">
        <v>3</v>
      </c>
      <c r="I282" t="s">
        <v>1121</v>
      </c>
      <c r="J282" t="s">
        <v>1122</v>
      </c>
      <c r="K282" t="s">
        <v>1123</v>
      </c>
      <c r="L282">
        <v>1348</v>
      </c>
      <c r="N282">
        <v>1009</v>
      </c>
      <c r="O282" t="s">
        <v>71</v>
      </c>
      <c r="P282" t="s">
        <v>71</v>
      </c>
      <c r="Q282">
        <v>1000</v>
      </c>
      <c r="X282">
        <v>1.4E-3</v>
      </c>
      <c r="Y282">
        <v>7640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3</v>
      </c>
      <c r="AG282">
        <v>1.4E-3</v>
      </c>
      <c r="AH282">
        <v>2</v>
      </c>
      <c r="AI282">
        <v>68991660</v>
      </c>
      <c r="AJ282">
        <v>274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ROW(Source!A101)</f>
        <v>101</v>
      </c>
      <c r="B283">
        <v>68991668</v>
      </c>
      <c r="C283">
        <v>68991662</v>
      </c>
      <c r="D283">
        <v>37070164</v>
      </c>
      <c r="E283">
        <v>56</v>
      </c>
      <c r="F283">
        <v>1</v>
      </c>
      <c r="G283">
        <v>1</v>
      </c>
      <c r="H283">
        <v>1</v>
      </c>
      <c r="I283" t="s">
        <v>1077</v>
      </c>
      <c r="J283" t="s">
        <v>3</v>
      </c>
      <c r="K283" t="s">
        <v>1078</v>
      </c>
      <c r="L283">
        <v>1191</v>
      </c>
      <c r="N283">
        <v>1013</v>
      </c>
      <c r="O283" t="s">
        <v>818</v>
      </c>
      <c r="P283" t="s">
        <v>818</v>
      </c>
      <c r="Q283">
        <v>1</v>
      </c>
      <c r="X283">
        <v>12.62</v>
      </c>
      <c r="Y283">
        <v>0</v>
      </c>
      <c r="Z283">
        <v>0</v>
      </c>
      <c r="AA283">
        <v>0</v>
      </c>
      <c r="AB283">
        <v>9.2899999999999991</v>
      </c>
      <c r="AC283">
        <v>0</v>
      </c>
      <c r="AD283">
        <v>1</v>
      </c>
      <c r="AE283">
        <v>1</v>
      </c>
      <c r="AF283" t="s">
        <v>147</v>
      </c>
      <c r="AG283">
        <v>19.592549999999999</v>
      </c>
      <c r="AH283">
        <v>2</v>
      </c>
      <c r="AI283">
        <v>68991663</v>
      </c>
      <c r="AJ283">
        <v>275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ROW(Source!A101)</f>
        <v>101</v>
      </c>
      <c r="B284">
        <v>68991669</v>
      </c>
      <c r="C284">
        <v>68991662</v>
      </c>
      <c r="D284">
        <v>37064876</v>
      </c>
      <c r="E284">
        <v>56</v>
      </c>
      <c r="F284">
        <v>1</v>
      </c>
      <c r="G284">
        <v>1</v>
      </c>
      <c r="H284">
        <v>1</v>
      </c>
      <c r="I284" t="s">
        <v>819</v>
      </c>
      <c r="J284" t="s">
        <v>3</v>
      </c>
      <c r="K284" t="s">
        <v>820</v>
      </c>
      <c r="L284">
        <v>1191</v>
      </c>
      <c r="N284">
        <v>1013</v>
      </c>
      <c r="O284" t="s">
        <v>818</v>
      </c>
      <c r="P284" t="s">
        <v>818</v>
      </c>
      <c r="Q284">
        <v>1</v>
      </c>
      <c r="X284">
        <v>0.05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2</v>
      </c>
      <c r="AF284" t="s">
        <v>146</v>
      </c>
      <c r="AG284">
        <v>8.4375000000000006E-2</v>
      </c>
      <c r="AH284">
        <v>2</v>
      </c>
      <c r="AI284">
        <v>68991664</v>
      </c>
      <c r="AJ284">
        <v>276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ROW(Source!A101)</f>
        <v>101</v>
      </c>
      <c r="B285">
        <v>68991670</v>
      </c>
      <c r="C285">
        <v>68991662</v>
      </c>
      <c r="D285">
        <v>64402691</v>
      </c>
      <c r="E285">
        <v>1</v>
      </c>
      <c r="F285">
        <v>1</v>
      </c>
      <c r="G285">
        <v>1</v>
      </c>
      <c r="H285">
        <v>2</v>
      </c>
      <c r="I285" t="s">
        <v>825</v>
      </c>
      <c r="J285" t="s">
        <v>826</v>
      </c>
      <c r="K285" t="s">
        <v>827</v>
      </c>
      <c r="L285">
        <v>1368</v>
      </c>
      <c r="N285">
        <v>1011</v>
      </c>
      <c r="O285" t="s">
        <v>824</v>
      </c>
      <c r="P285" t="s">
        <v>824</v>
      </c>
      <c r="Q285">
        <v>1</v>
      </c>
      <c r="X285">
        <v>0.05</v>
      </c>
      <c r="Y285">
        <v>0</v>
      </c>
      <c r="Z285">
        <v>65.709999999999994</v>
      </c>
      <c r="AA285">
        <v>11.6</v>
      </c>
      <c r="AB285">
        <v>0</v>
      </c>
      <c r="AC285">
        <v>0</v>
      </c>
      <c r="AD285">
        <v>1</v>
      </c>
      <c r="AE285">
        <v>0</v>
      </c>
      <c r="AF285" t="s">
        <v>146</v>
      </c>
      <c r="AG285">
        <v>8.4375000000000006E-2</v>
      </c>
      <c r="AH285">
        <v>2</v>
      </c>
      <c r="AI285">
        <v>68991665</v>
      </c>
      <c r="AJ285">
        <v>277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ROW(Source!A101)</f>
        <v>101</v>
      </c>
      <c r="B286">
        <v>68991671</v>
      </c>
      <c r="C286">
        <v>68991662</v>
      </c>
      <c r="D286">
        <v>64255522</v>
      </c>
      <c r="E286">
        <v>1</v>
      </c>
      <c r="F286">
        <v>1</v>
      </c>
      <c r="G286">
        <v>1</v>
      </c>
      <c r="H286">
        <v>3</v>
      </c>
      <c r="I286" t="s">
        <v>1124</v>
      </c>
      <c r="J286" t="s">
        <v>1125</v>
      </c>
      <c r="K286" t="s">
        <v>1126</v>
      </c>
      <c r="L286">
        <v>1348</v>
      </c>
      <c r="N286">
        <v>1009</v>
      </c>
      <c r="O286" t="s">
        <v>71</v>
      </c>
      <c r="P286" t="s">
        <v>71</v>
      </c>
      <c r="Q286">
        <v>1000</v>
      </c>
      <c r="X286">
        <v>7.5000000000000002E-4</v>
      </c>
      <c r="Y286">
        <v>12430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3</v>
      </c>
      <c r="AG286">
        <v>7.5000000000000002E-4</v>
      </c>
      <c r="AH286">
        <v>2</v>
      </c>
      <c r="AI286">
        <v>68991666</v>
      </c>
      <c r="AJ286">
        <v>278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ROW(Source!A101)</f>
        <v>101</v>
      </c>
      <c r="B287">
        <v>68991672</v>
      </c>
      <c r="C287">
        <v>68991662</v>
      </c>
      <c r="D287">
        <v>64242848</v>
      </c>
      <c r="E287">
        <v>56</v>
      </c>
      <c r="F287">
        <v>1</v>
      </c>
      <c r="G287">
        <v>1</v>
      </c>
      <c r="H287">
        <v>3</v>
      </c>
      <c r="I287" t="s">
        <v>1307</v>
      </c>
      <c r="J287" t="s">
        <v>3</v>
      </c>
      <c r="K287" t="s">
        <v>1308</v>
      </c>
      <c r="L287">
        <v>1348</v>
      </c>
      <c r="N287">
        <v>1009</v>
      </c>
      <c r="O287" t="s">
        <v>71</v>
      </c>
      <c r="P287" t="s">
        <v>71</v>
      </c>
      <c r="Q287">
        <v>1000</v>
      </c>
      <c r="X287">
        <v>4.0000000000000001E-3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 t="s">
        <v>3</v>
      </c>
      <c r="AG287">
        <v>4.0000000000000001E-3</v>
      </c>
      <c r="AH287">
        <v>3</v>
      </c>
      <c r="AI287">
        <v>-1</v>
      </c>
      <c r="AJ287" t="s">
        <v>3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ROW(Source!A101)</f>
        <v>101</v>
      </c>
      <c r="B288">
        <v>68991673</v>
      </c>
      <c r="C288">
        <v>68991662</v>
      </c>
      <c r="D288">
        <v>64243105</v>
      </c>
      <c r="E288">
        <v>56</v>
      </c>
      <c r="F288">
        <v>1</v>
      </c>
      <c r="G288">
        <v>1</v>
      </c>
      <c r="H288">
        <v>3</v>
      </c>
      <c r="I288" t="s">
        <v>1309</v>
      </c>
      <c r="J288" t="s">
        <v>3</v>
      </c>
      <c r="K288" t="s">
        <v>1266</v>
      </c>
      <c r="L288">
        <v>1348</v>
      </c>
      <c r="N288">
        <v>1009</v>
      </c>
      <c r="O288" t="s">
        <v>71</v>
      </c>
      <c r="P288" t="s">
        <v>71</v>
      </c>
      <c r="Q288">
        <v>1000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1</v>
      </c>
      <c r="AD288">
        <v>0</v>
      </c>
      <c r="AE288">
        <v>0</v>
      </c>
      <c r="AF288" t="s">
        <v>3</v>
      </c>
      <c r="AG288">
        <v>0</v>
      </c>
      <c r="AH288">
        <v>3</v>
      </c>
      <c r="AI288">
        <v>-1</v>
      </c>
      <c r="AJ288" t="s">
        <v>3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ROW(Source!A103)</f>
        <v>103</v>
      </c>
      <c r="B289">
        <v>68991684</v>
      </c>
      <c r="C289">
        <v>68991678</v>
      </c>
      <c r="D289">
        <v>37080781</v>
      </c>
      <c r="E289">
        <v>56</v>
      </c>
      <c r="F289">
        <v>1</v>
      </c>
      <c r="G289">
        <v>1</v>
      </c>
      <c r="H289">
        <v>1</v>
      </c>
      <c r="I289" t="s">
        <v>816</v>
      </c>
      <c r="J289" t="s">
        <v>3</v>
      </c>
      <c r="K289" t="s">
        <v>817</v>
      </c>
      <c r="L289">
        <v>1191</v>
      </c>
      <c r="N289">
        <v>1013</v>
      </c>
      <c r="O289" t="s">
        <v>818</v>
      </c>
      <c r="P289" t="s">
        <v>818</v>
      </c>
      <c r="Q289">
        <v>1</v>
      </c>
      <c r="X289">
        <v>1.1100000000000001</v>
      </c>
      <c r="Y289">
        <v>0</v>
      </c>
      <c r="Z289">
        <v>0</v>
      </c>
      <c r="AA289">
        <v>0</v>
      </c>
      <c r="AB289">
        <v>9.92</v>
      </c>
      <c r="AC289">
        <v>0</v>
      </c>
      <c r="AD289">
        <v>1</v>
      </c>
      <c r="AE289">
        <v>1</v>
      </c>
      <c r="AF289" t="s">
        <v>147</v>
      </c>
      <c r="AG289">
        <v>1.7232750000000001</v>
      </c>
      <c r="AH289">
        <v>2</v>
      </c>
      <c r="AI289">
        <v>68991679</v>
      </c>
      <c r="AJ289">
        <v>280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ROW(Source!A103)</f>
        <v>103</v>
      </c>
      <c r="B290">
        <v>68991685</v>
      </c>
      <c r="C290">
        <v>68991678</v>
      </c>
      <c r="D290">
        <v>64402901</v>
      </c>
      <c r="E290">
        <v>1</v>
      </c>
      <c r="F290">
        <v>1</v>
      </c>
      <c r="G290">
        <v>1</v>
      </c>
      <c r="H290">
        <v>2</v>
      </c>
      <c r="I290" t="s">
        <v>862</v>
      </c>
      <c r="J290" t="s">
        <v>863</v>
      </c>
      <c r="K290" t="s">
        <v>864</v>
      </c>
      <c r="L290">
        <v>1368</v>
      </c>
      <c r="N290">
        <v>1011</v>
      </c>
      <c r="O290" t="s">
        <v>824</v>
      </c>
      <c r="P290" t="s">
        <v>824</v>
      </c>
      <c r="Q290">
        <v>1</v>
      </c>
      <c r="X290">
        <v>0.26</v>
      </c>
      <c r="Y290">
        <v>0</v>
      </c>
      <c r="Z290">
        <v>8.1</v>
      </c>
      <c r="AA290">
        <v>0</v>
      </c>
      <c r="AB290">
        <v>0</v>
      </c>
      <c r="AC290">
        <v>0</v>
      </c>
      <c r="AD290">
        <v>1</v>
      </c>
      <c r="AE290">
        <v>0</v>
      </c>
      <c r="AF290" t="s">
        <v>146</v>
      </c>
      <c r="AG290">
        <v>0.43875000000000003</v>
      </c>
      <c r="AH290">
        <v>2</v>
      </c>
      <c r="AI290">
        <v>68991680</v>
      </c>
      <c r="AJ290">
        <v>281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ROW(Source!A103)</f>
        <v>103</v>
      </c>
      <c r="B291">
        <v>68991686</v>
      </c>
      <c r="C291">
        <v>68991678</v>
      </c>
      <c r="D291">
        <v>64241277</v>
      </c>
      <c r="E291">
        <v>56</v>
      </c>
      <c r="F291">
        <v>1</v>
      </c>
      <c r="G291">
        <v>1</v>
      </c>
      <c r="H291">
        <v>3</v>
      </c>
      <c r="I291" t="s">
        <v>1276</v>
      </c>
      <c r="J291" t="s">
        <v>3</v>
      </c>
      <c r="K291" t="s">
        <v>1277</v>
      </c>
      <c r="L291">
        <v>1371</v>
      </c>
      <c r="N291">
        <v>1013</v>
      </c>
      <c r="O291" t="s">
        <v>29</v>
      </c>
      <c r="P291" t="s">
        <v>29</v>
      </c>
      <c r="Q291">
        <v>1</v>
      </c>
      <c r="X291">
        <v>1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 t="s">
        <v>3</v>
      </c>
      <c r="AG291">
        <v>1</v>
      </c>
      <c r="AH291">
        <v>3</v>
      </c>
      <c r="AI291">
        <v>-1</v>
      </c>
      <c r="AJ291" t="s">
        <v>3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ROW(Source!A103)</f>
        <v>103</v>
      </c>
      <c r="B292">
        <v>68991687</v>
      </c>
      <c r="C292">
        <v>68991678</v>
      </c>
      <c r="D292">
        <v>64253859</v>
      </c>
      <c r="E292">
        <v>1</v>
      </c>
      <c r="F292">
        <v>1</v>
      </c>
      <c r="G292">
        <v>1</v>
      </c>
      <c r="H292">
        <v>3</v>
      </c>
      <c r="I292" t="s">
        <v>865</v>
      </c>
      <c r="J292" t="s">
        <v>866</v>
      </c>
      <c r="K292" t="s">
        <v>867</v>
      </c>
      <c r="L292">
        <v>1348</v>
      </c>
      <c r="N292">
        <v>1009</v>
      </c>
      <c r="O292" t="s">
        <v>71</v>
      </c>
      <c r="P292" t="s">
        <v>71</v>
      </c>
      <c r="Q292">
        <v>1000</v>
      </c>
      <c r="X292">
        <v>6.9999999999999994E-5</v>
      </c>
      <c r="Y292">
        <v>10315.01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3</v>
      </c>
      <c r="AG292">
        <v>6.9999999999999994E-5</v>
      </c>
      <c r="AH292">
        <v>2</v>
      </c>
      <c r="AI292">
        <v>68991682</v>
      </c>
      <c r="AJ292">
        <v>283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ROW(Source!A103)</f>
        <v>103</v>
      </c>
      <c r="B293">
        <v>68991688</v>
      </c>
      <c r="C293">
        <v>68991678</v>
      </c>
      <c r="D293">
        <v>64255051</v>
      </c>
      <c r="E293">
        <v>1</v>
      </c>
      <c r="F293">
        <v>1</v>
      </c>
      <c r="G293">
        <v>1</v>
      </c>
      <c r="H293">
        <v>3</v>
      </c>
      <c r="I293" t="s">
        <v>966</v>
      </c>
      <c r="J293" t="s">
        <v>967</v>
      </c>
      <c r="K293" t="s">
        <v>968</v>
      </c>
      <c r="L293">
        <v>1425</v>
      </c>
      <c r="N293">
        <v>1013</v>
      </c>
      <c r="O293" t="s">
        <v>18</v>
      </c>
      <c r="P293" t="s">
        <v>18</v>
      </c>
      <c r="Q293">
        <v>1</v>
      </c>
      <c r="X293">
        <v>0.08</v>
      </c>
      <c r="Y293">
        <v>20</v>
      </c>
      <c r="Z293">
        <v>0</v>
      </c>
      <c r="AA293">
        <v>0</v>
      </c>
      <c r="AB293">
        <v>0</v>
      </c>
      <c r="AC293">
        <v>0</v>
      </c>
      <c r="AD293">
        <v>1</v>
      </c>
      <c r="AE293">
        <v>0</v>
      </c>
      <c r="AF293" t="s">
        <v>3</v>
      </c>
      <c r="AG293">
        <v>0.08</v>
      </c>
      <c r="AH293">
        <v>2</v>
      </c>
      <c r="AI293">
        <v>68991683</v>
      </c>
      <c r="AJ293">
        <v>284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ROW(Source!A105)</f>
        <v>105</v>
      </c>
      <c r="B294">
        <v>68991692</v>
      </c>
      <c r="C294">
        <v>68991690</v>
      </c>
      <c r="D294">
        <v>37065248</v>
      </c>
      <c r="E294">
        <v>56</v>
      </c>
      <c r="F294">
        <v>1</v>
      </c>
      <c r="G294">
        <v>1</v>
      </c>
      <c r="H294">
        <v>1</v>
      </c>
      <c r="I294" t="s">
        <v>857</v>
      </c>
      <c r="J294" t="s">
        <v>3</v>
      </c>
      <c r="K294" t="s">
        <v>858</v>
      </c>
      <c r="L294">
        <v>1191</v>
      </c>
      <c r="N294">
        <v>1013</v>
      </c>
      <c r="O294" t="s">
        <v>818</v>
      </c>
      <c r="P294" t="s">
        <v>818</v>
      </c>
      <c r="Q294">
        <v>1</v>
      </c>
      <c r="X294">
        <v>5</v>
      </c>
      <c r="Y294">
        <v>0</v>
      </c>
      <c r="Z294">
        <v>0</v>
      </c>
      <c r="AA294">
        <v>0</v>
      </c>
      <c r="AB294">
        <v>8.5299999999999994</v>
      </c>
      <c r="AC294">
        <v>0</v>
      </c>
      <c r="AD294">
        <v>1</v>
      </c>
      <c r="AE294">
        <v>1</v>
      </c>
      <c r="AF294" t="s">
        <v>38</v>
      </c>
      <c r="AG294">
        <v>5.75</v>
      </c>
      <c r="AH294">
        <v>2</v>
      </c>
      <c r="AI294">
        <v>68991691</v>
      </c>
      <c r="AJ294">
        <v>285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ROW(Source!A105)</f>
        <v>105</v>
      </c>
      <c r="B295">
        <v>68991693</v>
      </c>
      <c r="C295">
        <v>68991690</v>
      </c>
      <c r="D295">
        <v>64252775</v>
      </c>
      <c r="E295">
        <v>1</v>
      </c>
      <c r="F295">
        <v>1</v>
      </c>
      <c r="G295">
        <v>1</v>
      </c>
      <c r="H295">
        <v>3</v>
      </c>
      <c r="I295" t="s">
        <v>1310</v>
      </c>
      <c r="J295" t="s">
        <v>1311</v>
      </c>
      <c r="K295" t="s">
        <v>1312</v>
      </c>
      <c r="L295">
        <v>1374</v>
      </c>
      <c r="N295">
        <v>1013</v>
      </c>
      <c r="O295" t="s">
        <v>839</v>
      </c>
      <c r="P295" t="s">
        <v>839</v>
      </c>
      <c r="Q295">
        <v>1</v>
      </c>
      <c r="X295">
        <v>0.85</v>
      </c>
      <c r="Y295">
        <v>1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 t="s">
        <v>3</v>
      </c>
      <c r="AG295">
        <v>0.85</v>
      </c>
      <c r="AH295">
        <v>3</v>
      </c>
      <c r="AI295">
        <v>-1</v>
      </c>
      <c r="AJ295" t="s">
        <v>3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ROW(Source!A105)</f>
        <v>105</v>
      </c>
      <c r="B296">
        <v>68991694</v>
      </c>
      <c r="C296">
        <v>68991690</v>
      </c>
      <c r="D296">
        <v>64241602</v>
      </c>
      <c r="E296">
        <v>56</v>
      </c>
      <c r="F296">
        <v>1</v>
      </c>
      <c r="G296">
        <v>1</v>
      </c>
      <c r="H296">
        <v>3</v>
      </c>
      <c r="I296" t="s">
        <v>1313</v>
      </c>
      <c r="J296" t="s">
        <v>3</v>
      </c>
      <c r="K296" t="s">
        <v>1314</v>
      </c>
      <c r="L296">
        <v>1371</v>
      </c>
      <c r="N296">
        <v>1013</v>
      </c>
      <c r="O296" t="s">
        <v>29</v>
      </c>
      <c r="P296" t="s">
        <v>29</v>
      </c>
      <c r="Q296">
        <v>1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1</v>
      </c>
      <c r="AD296">
        <v>0</v>
      </c>
      <c r="AE296">
        <v>0</v>
      </c>
      <c r="AF296" t="s">
        <v>3</v>
      </c>
      <c r="AG296">
        <v>0</v>
      </c>
      <c r="AH296">
        <v>3</v>
      </c>
      <c r="AI296">
        <v>-1</v>
      </c>
      <c r="AJ296" t="s">
        <v>3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ROW(Source!A106)</f>
        <v>106</v>
      </c>
      <c r="B297">
        <v>68991700</v>
      </c>
      <c r="C297">
        <v>68991695</v>
      </c>
      <c r="D297">
        <v>37064928</v>
      </c>
      <c r="E297">
        <v>56</v>
      </c>
      <c r="F297">
        <v>1</v>
      </c>
      <c r="G297">
        <v>1</v>
      </c>
      <c r="H297">
        <v>1</v>
      </c>
      <c r="I297" t="s">
        <v>980</v>
      </c>
      <c r="J297" t="s">
        <v>3</v>
      </c>
      <c r="K297" t="s">
        <v>981</v>
      </c>
      <c r="L297">
        <v>1191</v>
      </c>
      <c r="N297">
        <v>1013</v>
      </c>
      <c r="O297" t="s">
        <v>818</v>
      </c>
      <c r="P297" t="s">
        <v>818</v>
      </c>
      <c r="Q297">
        <v>1</v>
      </c>
      <c r="X297">
        <v>11.9</v>
      </c>
      <c r="Y297">
        <v>0</v>
      </c>
      <c r="Z297">
        <v>0</v>
      </c>
      <c r="AA297">
        <v>0</v>
      </c>
      <c r="AB297">
        <v>9.07</v>
      </c>
      <c r="AC297">
        <v>0</v>
      </c>
      <c r="AD297">
        <v>1</v>
      </c>
      <c r="AE297">
        <v>1</v>
      </c>
      <c r="AF297" t="s">
        <v>147</v>
      </c>
      <c r="AG297">
        <v>18.47475</v>
      </c>
      <c r="AH297">
        <v>2</v>
      </c>
      <c r="AI297">
        <v>68991696</v>
      </c>
      <c r="AJ297">
        <v>286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ROW(Source!A106)</f>
        <v>106</v>
      </c>
      <c r="B298">
        <v>68991701</v>
      </c>
      <c r="C298">
        <v>68991695</v>
      </c>
      <c r="D298">
        <v>37064876</v>
      </c>
      <c r="E298">
        <v>56</v>
      </c>
      <c r="F298">
        <v>1</v>
      </c>
      <c r="G298">
        <v>1</v>
      </c>
      <c r="H298">
        <v>1</v>
      </c>
      <c r="I298" t="s">
        <v>819</v>
      </c>
      <c r="J298" t="s">
        <v>3</v>
      </c>
      <c r="K298" t="s">
        <v>820</v>
      </c>
      <c r="L298">
        <v>1191</v>
      </c>
      <c r="N298">
        <v>1013</v>
      </c>
      <c r="O298" t="s">
        <v>818</v>
      </c>
      <c r="P298" t="s">
        <v>818</v>
      </c>
      <c r="Q298">
        <v>1</v>
      </c>
      <c r="X298">
        <v>0.03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2</v>
      </c>
      <c r="AF298" t="s">
        <v>146</v>
      </c>
      <c r="AG298">
        <v>5.0625000000000003E-2</v>
      </c>
      <c r="AH298">
        <v>2</v>
      </c>
      <c r="AI298">
        <v>68991697</v>
      </c>
      <c r="AJ298">
        <v>287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ROW(Source!A106)</f>
        <v>106</v>
      </c>
      <c r="B299">
        <v>68991702</v>
      </c>
      <c r="C299">
        <v>68991695</v>
      </c>
      <c r="D299">
        <v>64402691</v>
      </c>
      <c r="E299">
        <v>1</v>
      </c>
      <c r="F299">
        <v>1</v>
      </c>
      <c r="G299">
        <v>1</v>
      </c>
      <c r="H299">
        <v>2</v>
      </c>
      <c r="I299" t="s">
        <v>825</v>
      </c>
      <c r="J299" t="s">
        <v>826</v>
      </c>
      <c r="K299" t="s">
        <v>827</v>
      </c>
      <c r="L299">
        <v>1368</v>
      </c>
      <c r="N299">
        <v>1011</v>
      </c>
      <c r="O299" t="s">
        <v>824</v>
      </c>
      <c r="P299" t="s">
        <v>824</v>
      </c>
      <c r="Q299">
        <v>1</v>
      </c>
      <c r="X299">
        <v>2.8000000000000001E-2</v>
      </c>
      <c r="Y299">
        <v>0</v>
      </c>
      <c r="Z299">
        <v>65.709999999999994</v>
      </c>
      <c r="AA299">
        <v>11.6</v>
      </c>
      <c r="AB299">
        <v>0</v>
      </c>
      <c r="AC299">
        <v>0</v>
      </c>
      <c r="AD299">
        <v>1</v>
      </c>
      <c r="AE299">
        <v>0</v>
      </c>
      <c r="AF299" t="s">
        <v>146</v>
      </c>
      <c r="AG299">
        <v>4.7250000000000007E-2</v>
      </c>
      <c r="AH299">
        <v>2</v>
      </c>
      <c r="AI299">
        <v>68991698</v>
      </c>
      <c r="AJ299">
        <v>288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ROW(Source!A106)</f>
        <v>106</v>
      </c>
      <c r="B300">
        <v>68991703</v>
      </c>
      <c r="C300">
        <v>68991695</v>
      </c>
      <c r="D300">
        <v>64255009</v>
      </c>
      <c r="E300">
        <v>1</v>
      </c>
      <c r="F300">
        <v>1</v>
      </c>
      <c r="G300">
        <v>1</v>
      </c>
      <c r="H300">
        <v>3</v>
      </c>
      <c r="I300" t="s">
        <v>963</v>
      </c>
      <c r="J300" t="s">
        <v>964</v>
      </c>
      <c r="K300" t="s">
        <v>965</v>
      </c>
      <c r="L300">
        <v>1346</v>
      </c>
      <c r="N300">
        <v>1009</v>
      </c>
      <c r="O300" t="s">
        <v>170</v>
      </c>
      <c r="P300" t="s">
        <v>170</v>
      </c>
      <c r="Q300">
        <v>1</v>
      </c>
      <c r="X300">
        <v>0</v>
      </c>
      <c r="Y300">
        <v>9.0399999999999991</v>
      </c>
      <c r="Z300">
        <v>0</v>
      </c>
      <c r="AA300">
        <v>0</v>
      </c>
      <c r="AB300">
        <v>0</v>
      </c>
      <c r="AC300">
        <v>1</v>
      </c>
      <c r="AD300">
        <v>0</v>
      </c>
      <c r="AE300">
        <v>0</v>
      </c>
      <c r="AF300" t="s">
        <v>3</v>
      </c>
      <c r="AG300">
        <v>0</v>
      </c>
      <c r="AH300">
        <v>3</v>
      </c>
      <c r="AI300">
        <v>-1</v>
      </c>
      <c r="AJ300" t="s">
        <v>3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ROW(Source!A108)</f>
        <v>108</v>
      </c>
      <c r="B301">
        <v>68991839</v>
      </c>
      <c r="C301">
        <v>68991821</v>
      </c>
      <c r="D301">
        <v>37064878</v>
      </c>
      <c r="E301">
        <v>56</v>
      </c>
      <c r="F301">
        <v>1</v>
      </c>
      <c r="G301">
        <v>1</v>
      </c>
      <c r="H301">
        <v>1</v>
      </c>
      <c r="I301" t="s">
        <v>955</v>
      </c>
      <c r="J301" t="s">
        <v>3</v>
      </c>
      <c r="K301" t="s">
        <v>956</v>
      </c>
      <c r="L301">
        <v>1191</v>
      </c>
      <c r="N301">
        <v>1013</v>
      </c>
      <c r="O301" t="s">
        <v>818</v>
      </c>
      <c r="P301" t="s">
        <v>818</v>
      </c>
      <c r="Q301">
        <v>1</v>
      </c>
      <c r="X301">
        <v>120</v>
      </c>
      <c r="Y301">
        <v>0</v>
      </c>
      <c r="Z301">
        <v>0</v>
      </c>
      <c r="AA301">
        <v>0</v>
      </c>
      <c r="AB301">
        <v>9.4</v>
      </c>
      <c r="AC301">
        <v>0</v>
      </c>
      <c r="AD301">
        <v>1</v>
      </c>
      <c r="AE301">
        <v>1</v>
      </c>
      <c r="AF301" t="s">
        <v>200</v>
      </c>
      <c r="AG301">
        <v>162</v>
      </c>
      <c r="AH301">
        <v>2</v>
      </c>
      <c r="AI301">
        <v>68991822</v>
      </c>
      <c r="AJ301">
        <v>290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ROW(Source!A108)</f>
        <v>108</v>
      </c>
      <c r="B302">
        <v>68991840</v>
      </c>
      <c r="C302">
        <v>68991821</v>
      </c>
      <c r="D302">
        <v>37064876</v>
      </c>
      <c r="E302">
        <v>56</v>
      </c>
      <c r="F302">
        <v>1</v>
      </c>
      <c r="G302">
        <v>1</v>
      </c>
      <c r="H302">
        <v>1</v>
      </c>
      <c r="I302" t="s">
        <v>819</v>
      </c>
      <c r="J302" t="s">
        <v>3</v>
      </c>
      <c r="K302" t="s">
        <v>820</v>
      </c>
      <c r="L302">
        <v>1191</v>
      </c>
      <c r="N302">
        <v>1013</v>
      </c>
      <c r="O302" t="s">
        <v>818</v>
      </c>
      <c r="P302" t="s">
        <v>818</v>
      </c>
      <c r="Q302">
        <v>1</v>
      </c>
      <c r="X302">
        <v>3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2</v>
      </c>
      <c r="AF302" t="s">
        <v>200</v>
      </c>
      <c r="AG302">
        <v>4.0500000000000007</v>
      </c>
      <c r="AH302">
        <v>2</v>
      </c>
      <c r="AI302">
        <v>68991823</v>
      </c>
      <c r="AJ302">
        <v>291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ROW(Source!A108)</f>
        <v>108</v>
      </c>
      <c r="B303">
        <v>68991841</v>
      </c>
      <c r="C303">
        <v>68991821</v>
      </c>
      <c r="D303">
        <v>64401763</v>
      </c>
      <c r="E303">
        <v>1</v>
      </c>
      <c r="F303">
        <v>1</v>
      </c>
      <c r="G303">
        <v>1</v>
      </c>
      <c r="H303">
        <v>2</v>
      </c>
      <c r="I303" t="s">
        <v>821</v>
      </c>
      <c r="J303" t="s">
        <v>822</v>
      </c>
      <c r="K303" t="s">
        <v>823</v>
      </c>
      <c r="L303">
        <v>1368</v>
      </c>
      <c r="N303">
        <v>1011</v>
      </c>
      <c r="O303" t="s">
        <v>824</v>
      </c>
      <c r="P303" t="s">
        <v>824</v>
      </c>
      <c r="Q303">
        <v>1</v>
      </c>
      <c r="X303">
        <v>0.5</v>
      </c>
      <c r="Y303">
        <v>0</v>
      </c>
      <c r="Z303">
        <v>115.4</v>
      </c>
      <c r="AA303">
        <v>13.5</v>
      </c>
      <c r="AB303">
        <v>0</v>
      </c>
      <c r="AC303">
        <v>0</v>
      </c>
      <c r="AD303">
        <v>1</v>
      </c>
      <c r="AE303">
        <v>0</v>
      </c>
      <c r="AF303" t="s">
        <v>200</v>
      </c>
      <c r="AG303">
        <v>0.67500000000000004</v>
      </c>
      <c r="AH303">
        <v>2</v>
      </c>
      <c r="AI303">
        <v>68991824</v>
      </c>
      <c r="AJ303">
        <v>292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ROW(Source!A108)</f>
        <v>108</v>
      </c>
      <c r="B304">
        <v>68991842</v>
      </c>
      <c r="C304">
        <v>68991821</v>
      </c>
      <c r="D304">
        <v>64401904</v>
      </c>
      <c r="E304">
        <v>1</v>
      </c>
      <c r="F304">
        <v>1</v>
      </c>
      <c r="G304">
        <v>1</v>
      </c>
      <c r="H304">
        <v>2</v>
      </c>
      <c r="I304" t="s">
        <v>960</v>
      </c>
      <c r="J304" t="s">
        <v>961</v>
      </c>
      <c r="K304" t="s">
        <v>962</v>
      </c>
      <c r="L304">
        <v>1368</v>
      </c>
      <c r="N304">
        <v>1011</v>
      </c>
      <c r="O304" t="s">
        <v>824</v>
      </c>
      <c r="P304" t="s">
        <v>824</v>
      </c>
      <c r="Q304">
        <v>1</v>
      </c>
      <c r="X304">
        <v>1.37</v>
      </c>
      <c r="Y304">
        <v>0</v>
      </c>
      <c r="Z304">
        <v>6.9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200</v>
      </c>
      <c r="AG304">
        <v>1.8495000000000004</v>
      </c>
      <c r="AH304">
        <v>2</v>
      </c>
      <c r="AI304">
        <v>68991825</v>
      </c>
      <c r="AJ304">
        <v>293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ROW(Source!A108)</f>
        <v>108</v>
      </c>
      <c r="B305">
        <v>68991843</v>
      </c>
      <c r="C305">
        <v>68991821</v>
      </c>
      <c r="D305">
        <v>64402692</v>
      </c>
      <c r="E305">
        <v>1</v>
      </c>
      <c r="F305">
        <v>1</v>
      </c>
      <c r="G305">
        <v>1</v>
      </c>
      <c r="H305">
        <v>2</v>
      </c>
      <c r="I305" t="s">
        <v>1127</v>
      </c>
      <c r="J305" t="s">
        <v>1128</v>
      </c>
      <c r="K305" t="s">
        <v>1129</v>
      </c>
      <c r="L305">
        <v>1368</v>
      </c>
      <c r="N305">
        <v>1011</v>
      </c>
      <c r="O305" t="s">
        <v>824</v>
      </c>
      <c r="P305" t="s">
        <v>824</v>
      </c>
      <c r="Q305">
        <v>1</v>
      </c>
      <c r="X305">
        <v>0.5</v>
      </c>
      <c r="Y305">
        <v>0</v>
      </c>
      <c r="Z305">
        <v>85.84</v>
      </c>
      <c r="AA305">
        <v>11.6</v>
      </c>
      <c r="AB305">
        <v>0</v>
      </c>
      <c r="AC305">
        <v>0</v>
      </c>
      <c r="AD305">
        <v>1</v>
      </c>
      <c r="AE305">
        <v>0</v>
      </c>
      <c r="AF305" t="s">
        <v>200</v>
      </c>
      <c r="AG305">
        <v>0.67500000000000004</v>
      </c>
      <c r="AH305">
        <v>2</v>
      </c>
      <c r="AI305">
        <v>68991826</v>
      </c>
      <c r="AJ305">
        <v>294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ROW(Source!A108)</f>
        <v>108</v>
      </c>
      <c r="B306">
        <v>68991844</v>
      </c>
      <c r="C306">
        <v>68991821</v>
      </c>
      <c r="D306">
        <v>64402844</v>
      </c>
      <c r="E306">
        <v>1</v>
      </c>
      <c r="F306">
        <v>1</v>
      </c>
      <c r="G306">
        <v>1</v>
      </c>
      <c r="H306">
        <v>2</v>
      </c>
      <c r="I306" t="s">
        <v>910</v>
      </c>
      <c r="J306" t="s">
        <v>911</v>
      </c>
      <c r="K306" t="s">
        <v>912</v>
      </c>
      <c r="L306">
        <v>1368</v>
      </c>
      <c r="N306">
        <v>1011</v>
      </c>
      <c r="O306" t="s">
        <v>824</v>
      </c>
      <c r="P306" t="s">
        <v>824</v>
      </c>
      <c r="Q306">
        <v>1</v>
      </c>
      <c r="X306">
        <v>1.5</v>
      </c>
      <c r="Y306">
        <v>0</v>
      </c>
      <c r="Z306">
        <v>1.2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200</v>
      </c>
      <c r="AG306">
        <v>2.0250000000000004</v>
      </c>
      <c r="AH306">
        <v>2</v>
      </c>
      <c r="AI306">
        <v>68991827</v>
      </c>
      <c r="AJ306">
        <v>295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ROW(Source!A108)</f>
        <v>108</v>
      </c>
      <c r="B307">
        <v>68991845</v>
      </c>
      <c r="C307">
        <v>68991821</v>
      </c>
      <c r="D307">
        <v>64402901</v>
      </c>
      <c r="E307">
        <v>1</v>
      </c>
      <c r="F307">
        <v>1</v>
      </c>
      <c r="G307">
        <v>1</v>
      </c>
      <c r="H307">
        <v>2</v>
      </c>
      <c r="I307" t="s">
        <v>862</v>
      </c>
      <c r="J307" t="s">
        <v>863</v>
      </c>
      <c r="K307" t="s">
        <v>864</v>
      </c>
      <c r="L307">
        <v>1368</v>
      </c>
      <c r="N307">
        <v>1011</v>
      </c>
      <c r="O307" t="s">
        <v>824</v>
      </c>
      <c r="P307" t="s">
        <v>824</v>
      </c>
      <c r="Q307">
        <v>1</v>
      </c>
      <c r="X307">
        <v>22.65</v>
      </c>
      <c r="Y307">
        <v>0</v>
      </c>
      <c r="Z307">
        <v>8.1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200</v>
      </c>
      <c r="AG307">
        <v>30.577500000000001</v>
      </c>
      <c r="AH307">
        <v>2</v>
      </c>
      <c r="AI307">
        <v>68991828</v>
      </c>
      <c r="AJ307">
        <v>296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ROW(Source!A108)</f>
        <v>108</v>
      </c>
      <c r="B308">
        <v>68991846</v>
      </c>
      <c r="C308">
        <v>68991821</v>
      </c>
      <c r="D308">
        <v>64403387</v>
      </c>
      <c r="E308">
        <v>1</v>
      </c>
      <c r="F308">
        <v>1</v>
      </c>
      <c r="G308">
        <v>1</v>
      </c>
      <c r="H308">
        <v>2</v>
      </c>
      <c r="I308" t="s">
        <v>1130</v>
      </c>
      <c r="J308" t="s">
        <v>1131</v>
      </c>
      <c r="K308" t="s">
        <v>1132</v>
      </c>
      <c r="L308">
        <v>1368</v>
      </c>
      <c r="N308">
        <v>1011</v>
      </c>
      <c r="O308" t="s">
        <v>824</v>
      </c>
      <c r="P308" t="s">
        <v>824</v>
      </c>
      <c r="Q308">
        <v>1</v>
      </c>
      <c r="X308">
        <v>2.4</v>
      </c>
      <c r="Y308">
        <v>0</v>
      </c>
      <c r="Z308">
        <v>70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200</v>
      </c>
      <c r="AG308">
        <v>3.24</v>
      </c>
      <c r="AH308">
        <v>2</v>
      </c>
      <c r="AI308">
        <v>68991829</v>
      </c>
      <c r="AJ308">
        <v>297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ROW(Source!A108)</f>
        <v>108</v>
      </c>
      <c r="B309">
        <v>68991847</v>
      </c>
      <c r="C309">
        <v>68991821</v>
      </c>
      <c r="D309">
        <v>64403408</v>
      </c>
      <c r="E309">
        <v>1</v>
      </c>
      <c r="F309">
        <v>1</v>
      </c>
      <c r="G309">
        <v>1</v>
      </c>
      <c r="H309">
        <v>2</v>
      </c>
      <c r="I309" t="s">
        <v>1133</v>
      </c>
      <c r="J309" t="s">
        <v>1134</v>
      </c>
      <c r="K309" t="s">
        <v>1135</v>
      </c>
      <c r="L309">
        <v>1368</v>
      </c>
      <c r="N309">
        <v>1011</v>
      </c>
      <c r="O309" t="s">
        <v>824</v>
      </c>
      <c r="P309" t="s">
        <v>824</v>
      </c>
      <c r="Q309">
        <v>1</v>
      </c>
      <c r="X309">
        <v>2</v>
      </c>
      <c r="Y309">
        <v>0</v>
      </c>
      <c r="Z309">
        <v>15.4</v>
      </c>
      <c r="AA309">
        <v>10.06</v>
      </c>
      <c r="AB309">
        <v>0</v>
      </c>
      <c r="AC309">
        <v>0</v>
      </c>
      <c r="AD309">
        <v>1</v>
      </c>
      <c r="AE309">
        <v>0</v>
      </c>
      <c r="AF309" t="s">
        <v>200</v>
      </c>
      <c r="AG309">
        <v>2.7</v>
      </c>
      <c r="AH309">
        <v>2</v>
      </c>
      <c r="AI309">
        <v>68991830</v>
      </c>
      <c r="AJ309">
        <v>298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ROW(Source!A108)</f>
        <v>108</v>
      </c>
      <c r="B310">
        <v>68991848</v>
      </c>
      <c r="C310">
        <v>68991821</v>
      </c>
      <c r="D310">
        <v>64251195</v>
      </c>
      <c r="E310">
        <v>1</v>
      </c>
      <c r="F310">
        <v>1</v>
      </c>
      <c r="G310">
        <v>1</v>
      </c>
      <c r="H310">
        <v>3</v>
      </c>
      <c r="I310" t="s">
        <v>916</v>
      </c>
      <c r="J310" t="s">
        <v>917</v>
      </c>
      <c r="K310" t="s">
        <v>918</v>
      </c>
      <c r="L310">
        <v>1339</v>
      </c>
      <c r="N310">
        <v>1007</v>
      </c>
      <c r="O310" t="s">
        <v>113</v>
      </c>
      <c r="P310" t="s">
        <v>113</v>
      </c>
      <c r="Q310">
        <v>1</v>
      </c>
      <c r="X310">
        <v>0.9</v>
      </c>
      <c r="Y310">
        <v>6.22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3</v>
      </c>
      <c r="AG310">
        <v>0.9</v>
      </c>
      <c r="AH310">
        <v>2</v>
      </c>
      <c r="AI310">
        <v>68991831</v>
      </c>
      <c r="AJ310">
        <v>299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ROW(Source!A108)</f>
        <v>108</v>
      </c>
      <c r="B311">
        <v>68991849</v>
      </c>
      <c r="C311">
        <v>68991821</v>
      </c>
      <c r="D311">
        <v>64251201</v>
      </c>
      <c r="E311">
        <v>1</v>
      </c>
      <c r="F311">
        <v>1</v>
      </c>
      <c r="G311">
        <v>1</v>
      </c>
      <c r="H311">
        <v>3</v>
      </c>
      <c r="I311" t="s">
        <v>919</v>
      </c>
      <c r="J311" t="s">
        <v>920</v>
      </c>
      <c r="K311" t="s">
        <v>921</v>
      </c>
      <c r="L311">
        <v>1346</v>
      </c>
      <c r="N311">
        <v>1009</v>
      </c>
      <c r="O311" t="s">
        <v>170</v>
      </c>
      <c r="P311" t="s">
        <v>170</v>
      </c>
      <c r="Q311">
        <v>1</v>
      </c>
      <c r="X311">
        <v>0.2</v>
      </c>
      <c r="Y311">
        <v>6.09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3</v>
      </c>
      <c r="AG311">
        <v>0.2</v>
      </c>
      <c r="AH311">
        <v>2</v>
      </c>
      <c r="AI311">
        <v>68991832</v>
      </c>
      <c r="AJ311">
        <v>300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ROW(Source!A108)</f>
        <v>108</v>
      </c>
      <c r="B312">
        <v>68991850</v>
      </c>
      <c r="C312">
        <v>68991821</v>
      </c>
      <c r="D312">
        <v>64253871</v>
      </c>
      <c r="E312">
        <v>1</v>
      </c>
      <c r="F312">
        <v>1</v>
      </c>
      <c r="G312">
        <v>1</v>
      </c>
      <c r="H312">
        <v>3</v>
      </c>
      <c r="I312" t="s">
        <v>1136</v>
      </c>
      <c r="J312" t="s">
        <v>1137</v>
      </c>
      <c r="K312" t="s">
        <v>1138</v>
      </c>
      <c r="L312">
        <v>1348</v>
      </c>
      <c r="N312">
        <v>1009</v>
      </c>
      <c r="O312" t="s">
        <v>71</v>
      </c>
      <c r="P312" t="s">
        <v>71</v>
      </c>
      <c r="Q312">
        <v>1000</v>
      </c>
      <c r="X312">
        <v>1.7899999999999999E-2</v>
      </c>
      <c r="Y312">
        <v>9765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3</v>
      </c>
      <c r="AG312">
        <v>1.7899999999999999E-2</v>
      </c>
      <c r="AH312">
        <v>2</v>
      </c>
      <c r="AI312">
        <v>68991833</v>
      </c>
      <c r="AJ312">
        <v>301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ROW(Source!A108)</f>
        <v>108</v>
      </c>
      <c r="B313">
        <v>68991851</v>
      </c>
      <c r="C313">
        <v>68991821</v>
      </c>
      <c r="D313">
        <v>64245580</v>
      </c>
      <c r="E313">
        <v>56</v>
      </c>
      <c r="F313">
        <v>1</v>
      </c>
      <c r="G313">
        <v>1</v>
      </c>
      <c r="H313">
        <v>3</v>
      </c>
      <c r="I313" t="s">
        <v>837</v>
      </c>
      <c r="J313" t="s">
        <v>3</v>
      </c>
      <c r="K313" t="s">
        <v>838</v>
      </c>
      <c r="L313">
        <v>1374</v>
      </c>
      <c r="N313">
        <v>1013</v>
      </c>
      <c r="O313" t="s">
        <v>839</v>
      </c>
      <c r="P313" t="s">
        <v>839</v>
      </c>
      <c r="Q313">
        <v>1</v>
      </c>
      <c r="X313">
        <v>22.56</v>
      </c>
      <c r="Y313">
        <v>1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3</v>
      </c>
      <c r="AG313">
        <v>22.56</v>
      </c>
      <c r="AH313">
        <v>2</v>
      </c>
      <c r="AI313">
        <v>68991838</v>
      </c>
      <c r="AJ313">
        <v>306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ROW(Source!A113)</f>
        <v>113</v>
      </c>
      <c r="B314">
        <v>68991878</v>
      </c>
      <c r="C314">
        <v>68991856</v>
      </c>
      <c r="D314">
        <v>37071037</v>
      </c>
      <c r="E314">
        <v>56</v>
      </c>
      <c r="F314">
        <v>1</v>
      </c>
      <c r="G314">
        <v>1</v>
      </c>
      <c r="H314">
        <v>1</v>
      </c>
      <c r="I314" t="s">
        <v>840</v>
      </c>
      <c r="J314" t="s">
        <v>3</v>
      </c>
      <c r="K314" t="s">
        <v>841</v>
      </c>
      <c r="L314">
        <v>1191</v>
      </c>
      <c r="N314">
        <v>1013</v>
      </c>
      <c r="O314" t="s">
        <v>818</v>
      </c>
      <c r="P314" t="s">
        <v>818</v>
      </c>
      <c r="Q314">
        <v>1</v>
      </c>
      <c r="X314">
        <v>120</v>
      </c>
      <c r="Y314">
        <v>0</v>
      </c>
      <c r="Z314">
        <v>0</v>
      </c>
      <c r="AA314">
        <v>0</v>
      </c>
      <c r="AB314">
        <v>9.6199999999999992</v>
      </c>
      <c r="AC314">
        <v>0</v>
      </c>
      <c r="AD314">
        <v>1</v>
      </c>
      <c r="AE314">
        <v>1</v>
      </c>
      <c r="AF314" t="s">
        <v>200</v>
      </c>
      <c r="AG314">
        <v>162</v>
      </c>
      <c r="AH314">
        <v>2</v>
      </c>
      <c r="AI314">
        <v>68991857</v>
      </c>
      <c r="AJ314">
        <v>307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ROW(Source!A113)</f>
        <v>113</v>
      </c>
      <c r="B315">
        <v>68991879</v>
      </c>
      <c r="C315">
        <v>68991856</v>
      </c>
      <c r="D315">
        <v>37064876</v>
      </c>
      <c r="E315">
        <v>56</v>
      </c>
      <c r="F315">
        <v>1</v>
      </c>
      <c r="G315">
        <v>1</v>
      </c>
      <c r="H315">
        <v>1</v>
      </c>
      <c r="I315" t="s">
        <v>819</v>
      </c>
      <c r="J315" t="s">
        <v>3</v>
      </c>
      <c r="K315" t="s">
        <v>820</v>
      </c>
      <c r="L315">
        <v>1191</v>
      </c>
      <c r="N315">
        <v>1013</v>
      </c>
      <c r="O315" t="s">
        <v>818</v>
      </c>
      <c r="P315" t="s">
        <v>818</v>
      </c>
      <c r="Q315">
        <v>1</v>
      </c>
      <c r="X315">
        <v>1.84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1</v>
      </c>
      <c r="AE315">
        <v>2</v>
      </c>
      <c r="AF315" t="s">
        <v>200</v>
      </c>
      <c r="AG315">
        <v>2.4840000000000004</v>
      </c>
      <c r="AH315">
        <v>2</v>
      </c>
      <c r="AI315">
        <v>68991858</v>
      </c>
      <c r="AJ315">
        <v>308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ROW(Source!A113)</f>
        <v>113</v>
      </c>
      <c r="B316">
        <v>68991880</v>
      </c>
      <c r="C316">
        <v>68991856</v>
      </c>
      <c r="D316">
        <v>64401763</v>
      </c>
      <c r="E316">
        <v>1</v>
      </c>
      <c r="F316">
        <v>1</v>
      </c>
      <c r="G316">
        <v>1</v>
      </c>
      <c r="H316">
        <v>2</v>
      </c>
      <c r="I316" t="s">
        <v>821</v>
      </c>
      <c r="J316" t="s">
        <v>822</v>
      </c>
      <c r="K316" t="s">
        <v>823</v>
      </c>
      <c r="L316">
        <v>1368</v>
      </c>
      <c r="N316">
        <v>1011</v>
      </c>
      <c r="O316" t="s">
        <v>824</v>
      </c>
      <c r="P316" t="s">
        <v>824</v>
      </c>
      <c r="Q316">
        <v>1</v>
      </c>
      <c r="X316">
        <v>0.5</v>
      </c>
      <c r="Y316">
        <v>0</v>
      </c>
      <c r="Z316">
        <v>115.4</v>
      </c>
      <c r="AA316">
        <v>13.5</v>
      </c>
      <c r="AB316">
        <v>0</v>
      </c>
      <c r="AC316">
        <v>0</v>
      </c>
      <c r="AD316">
        <v>1</v>
      </c>
      <c r="AE316">
        <v>0</v>
      </c>
      <c r="AF316" t="s">
        <v>200</v>
      </c>
      <c r="AG316">
        <v>0.67500000000000004</v>
      </c>
      <c r="AH316">
        <v>2</v>
      </c>
      <c r="AI316">
        <v>68991859</v>
      </c>
      <c r="AJ316">
        <v>309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ROW(Source!A113)</f>
        <v>113</v>
      </c>
      <c r="B317">
        <v>68991881</v>
      </c>
      <c r="C317">
        <v>68991856</v>
      </c>
      <c r="D317">
        <v>64401904</v>
      </c>
      <c r="E317">
        <v>1</v>
      </c>
      <c r="F317">
        <v>1</v>
      </c>
      <c r="G317">
        <v>1</v>
      </c>
      <c r="H317">
        <v>2</v>
      </c>
      <c r="I317" t="s">
        <v>960</v>
      </c>
      <c r="J317" t="s">
        <v>961</v>
      </c>
      <c r="K317" t="s">
        <v>962</v>
      </c>
      <c r="L317">
        <v>1368</v>
      </c>
      <c r="N317">
        <v>1011</v>
      </c>
      <c r="O317" t="s">
        <v>824</v>
      </c>
      <c r="P317" t="s">
        <v>824</v>
      </c>
      <c r="Q317">
        <v>1</v>
      </c>
      <c r="X317">
        <v>1.37</v>
      </c>
      <c r="Y317">
        <v>0</v>
      </c>
      <c r="Z317">
        <v>6.9</v>
      </c>
      <c r="AA317">
        <v>0</v>
      </c>
      <c r="AB317">
        <v>0</v>
      </c>
      <c r="AC317">
        <v>0</v>
      </c>
      <c r="AD317">
        <v>1</v>
      </c>
      <c r="AE317">
        <v>0</v>
      </c>
      <c r="AF317" t="s">
        <v>200</v>
      </c>
      <c r="AG317">
        <v>1.8495000000000004</v>
      </c>
      <c r="AH317">
        <v>2</v>
      </c>
      <c r="AI317">
        <v>68991860</v>
      </c>
      <c r="AJ317">
        <v>310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ROW(Source!A113)</f>
        <v>113</v>
      </c>
      <c r="B318">
        <v>68991882</v>
      </c>
      <c r="C318">
        <v>68991856</v>
      </c>
      <c r="D318">
        <v>64402692</v>
      </c>
      <c r="E318">
        <v>1</v>
      </c>
      <c r="F318">
        <v>1</v>
      </c>
      <c r="G318">
        <v>1</v>
      </c>
      <c r="H318">
        <v>2</v>
      </c>
      <c r="I318" t="s">
        <v>1127</v>
      </c>
      <c r="J318" t="s">
        <v>1128</v>
      </c>
      <c r="K318" t="s">
        <v>1129</v>
      </c>
      <c r="L318">
        <v>1368</v>
      </c>
      <c r="N318">
        <v>1011</v>
      </c>
      <c r="O318" t="s">
        <v>824</v>
      </c>
      <c r="P318" t="s">
        <v>824</v>
      </c>
      <c r="Q318">
        <v>1</v>
      </c>
      <c r="X318">
        <v>0.5</v>
      </c>
      <c r="Y318">
        <v>0</v>
      </c>
      <c r="Z318">
        <v>85.84</v>
      </c>
      <c r="AA318">
        <v>11.6</v>
      </c>
      <c r="AB318">
        <v>0</v>
      </c>
      <c r="AC318">
        <v>0</v>
      </c>
      <c r="AD318">
        <v>1</v>
      </c>
      <c r="AE318">
        <v>0</v>
      </c>
      <c r="AF318" t="s">
        <v>200</v>
      </c>
      <c r="AG318">
        <v>0.67500000000000004</v>
      </c>
      <c r="AH318">
        <v>2</v>
      </c>
      <c r="AI318">
        <v>68991861</v>
      </c>
      <c r="AJ318">
        <v>311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ROW(Source!A113)</f>
        <v>113</v>
      </c>
      <c r="B319">
        <v>68991883</v>
      </c>
      <c r="C319">
        <v>68991856</v>
      </c>
      <c r="D319">
        <v>64402844</v>
      </c>
      <c r="E319">
        <v>1</v>
      </c>
      <c r="F319">
        <v>1</v>
      </c>
      <c r="G319">
        <v>1</v>
      </c>
      <c r="H319">
        <v>2</v>
      </c>
      <c r="I319" t="s">
        <v>910</v>
      </c>
      <c r="J319" t="s">
        <v>911</v>
      </c>
      <c r="K319" t="s">
        <v>912</v>
      </c>
      <c r="L319">
        <v>1368</v>
      </c>
      <c r="N319">
        <v>1011</v>
      </c>
      <c r="O319" t="s">
        <v>824</v>
      </c>
      <c r="P319" t="s">
        <v>824</v>
      </c>
      <c r="Q319">
        <v>1</v>
      </c>
      <c r="X319">
        <v>1</v>
      </c>
      <c r="Y319">
        <v>0</v>
      </c>
      <c r="Z319">
        <v>1.2</v>
      </c>
      <c r="AA319">
        <v>0</v>
      </c>
      <c r="AB319">
        <v>0</v>
      </c>
      <c r="AC319">
        <v>0</v>
      </c>
      <c r="AD319">
        <v>1</v>
      </c>
      <c r="AE319">
        <v>0</v>
      </c>
      <c r="AF319" t="s">
        <v>200</v>
      </c>
      <c r="AG319">
        <v>1.35</v>
      </c>
      <c r="AH319">
        <v>2</v>
      </c>
      <c r="AI319">
        <v>68991862</v>
      </c>
      <c r="AJ319">
        <v>312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ROW(Source!A113)</f>
        <v>113</v>
      </c>
      <c r="B320">
        <v>68991884</v>
      </c>
      <c r="C320">
        <v>68991856</v>
      </c>
      <c r="D320">
        <v>64402901</v>
      </c>
      <c r="E320">
        <v>1</v>
      </c>
      <c r="F320">
        <v>1</v>
      </c>
      <c r="G320">
        <v>1</v>
      </c>
      <c r="H320">
        <v>2</v>
      </c>
      <c r="I320" t="s">
        <v>862</v>
      </c>
      <c r="J320" t="s">
        <v>863</v>
      </c>
      <c r="K320" t="s">
        <v>864</v>
      </c>
      <c r="L320">
        <v>1368</v>
      </c>
      <c r="N320">
        <v>1011</v>
      </c>
      <c r="O320" t="s">
        <v>824</v>
      </c>
      <c r="P320" t="s">
        <v>824</v>
      </c>
      <c r="Q320">
        <v>1</v>
      </c>
      <c r="X320">
        <v>30.3</v>
      </c>
      <c r="Y320">
        <v>0</v>
      </c>
      <c r="Z320">
        <v>8.1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200</v>
      </c>
      <c r="AG320">
        <v>40.905000000000001</v>
      </c>
      <c r="AH320">
        <v>2</v>
      </c>
      <c r="AI320">
        <v>68991863</v>
      </c>
      <c r="AJ320">
        <v>313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ROW(Source!A113)</f>
        <v>113</v>
      </c>
      <c r="B321">
        <v>68991885</v>
      </c>
      <c r="C321">
        <v>68991856</v>
      </c>
      <c r="D321">
        <v>64403408</v>
      </c>
      <c r="E321">
        <v>1</v>
      </c>
      <c r="F321">
        <v>1</v>
      </c>
      <c r="G321">
        <v>1</v>
      </c>
      <c r="H321">
        <v>2</v>
      </c>
      <c r="I321" t="s">
        <v>1133</v>
      </c>
      <c r="J321" t="s">
        <v>1134</v>
      </c>
      <c r="K321" t="s">
        <v>1135</v>
      </c>
      <c r="L321">
        <v>1368</v>
      </c>
      <c r="N321">
        <v>1011</v>
      </c>
      <c r="O321" t="s">
        <v>824</v>
      </c>
      <c r="P321" t="s">
        <v>824</v>
      </c>
      <c r="Q321">
        <v>1</v>
      </c>
      <c r="X321">
        <v>0.84</v>
      </c>
      <c r="Y321">
        <v>0</v>
      </c>
      <c r="Z321">
        <v>15.4</v>
      </c>
      <c r="AA321">
        <v>10.06</v>
      </c>
      <c r="AB321">
        <v>0</v>
      </c>
      <c r="AC321">
        <v>0</v>
      </c>
      <c r="AD321">
        <v>1</v>
      </c>
      <c r="AE321">
        <v>0</v>
      </c>
      <c r="AF321" t="s">
        <v>200</v>
      </c>
      <c r="AG321">
        <v>1.1340000000000001</v>
      </c>
      <c r="AH321">
        <v>2</v>
      </c>
      <c r="AI321">
        <v>68991864</v>
      </c>
      <c r="AJ321">
        <v>314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ROW(Source!A113)</f>
        <v>113</v>
      </c>
      <c r="B322">
        <v>68991886</v>
      </c>
      <c r="C322">
        <v>68991856</v>
      </c>
      <c r="D322">
        <v>64251195</v>
      </c>
      <c r="E322">
        <v>1</v>
      </c>
      <c r="F322">
        <v>1</v>
      </c>
      <c r="G322">
        <v>1</v>
      </c>
      <c r="H322">
        <v>3</v>
      </c>
      <c r="I322" t="s">
        <v>916</v>
      </c>
      <c r="J322" t="s">
        <v>917</v>
      </c>
      <c r="K322" t="s">
        <v>918</v>
      </c>
      <c r="L322">
        <v>1339</v>
      </c>
      <c r="N322">
        <v>1007</v>
      </c>
      <c r="O322" t="s">
        <v>113</v>
      </c>
      <c r="P322" t="s">
        <v>113</v>
      </c>
      <c r="Q322">
        <v>1</v>
      </c>
      <c r="X322">
        <v>2.6</v>
      </c>
      <c r="Y322">
        <v>6.22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3</v>
      </c>
      <c r="AG322">
        <v>2.6</v>
      </c>
      <c r="AH322">
        <v>2</v>
      </c>
      <c r="AI322">
        <v>68991865</v>
      </c>
      <c r="AJ322">
        <v>315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ROW(Source!A113)</f>
        <v>113</v>
      </c>
      <c r="B323">
        <v>68991887</v>
      </c>
      <c r="C323">
        <v>68991856</v>
      </c>
      <c r="D323">
        <v>64251201</v>
      </c>
      <c r="E323">
        <v>1</v>
      </c>
      <c r="F323">
        <v>1</v>
      </c>
      <c r="G323">
        <v>1</v>
      </c>
      <c r="H323">
        <v>3</v>
      </c>
      <c r="I323" t="s">
        <v>919</v>
      </c>
      <c r="J323" t="s">
        <v>920</v>
      </c>
      <c r="K323" t="s">
        <v>921</v>
      </c>
      <c r="L323">
        <v>1346</v>
      </c>
      <c r="N323">
        <v>1009</v>
      </c>
      <c r="O323" t="s">
        <v>170</v>
      </c>
      <c r="P323" t="s">
        <v>170</v>
      </c>
      <c r="Q323">
        <v>1</v>
      </c>
      <c r="X323">
        <v>0.5</v>
      </c>
      <c r="Y323">
        <v>6.09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3</v>
      </c>
      <c r="AG323">
        <v>0.5</v>
      </c>
      <c r="AH323">
        <v>2</v>
      </c>
      <c r="AI323">
        <v>68991866</v>
      </c>
      <c r="AJ323">
        <v>316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ROW(Source!A113)</f>
        <v>113</v>
      </c>
      <c r="B324">
        <v>68991888</v>
      </c>
      <c r="C324">
        <v>68991856</v>
      </c>
      <c r="D324">
        <v>64253871</v>
      </c>
      <c r="E324">
        <v>1</v>
      </c>
      <c r="F324">
        <v>1</v>
      </c>
      <c r="G324">
        <v>1</v>
      </c>
      <c r="H324">
        <v>3</v>
      </c>
      <c r="I324" t="s">
        <v>1136</v>
      </c>
      <c r="J324" t="s">
        <v>1137</v>
      </c>
      <c r="K324" t="s">
        <v>1138</v>
      </c>
      <c r="L324">
        <v>1348</v>
      </c>
      <c r="N324">
        <v>1009</v>
      </c>
      <c r="O324" t="s">
        <v>71</v>
      </c>
      <c r="P324" t="s">
        <v>71</v>
      </c>
      <c r="Q324">
        <v>1000</v>
      </c>
      <c r="X324">
        <v>2.1499999999999998E-2</v>
      </c>
      <c r="Y324">
        <v>9765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3</v>
      </c>
      <c r="AG324">
        <v>2.1499999999999998E-2</v>
      </c>
      <c r="AH324">
        <v>2</v>
      </c>
      <c r="AI324">
        <v>68991867</v>
      </c>
      <c r="AJ324">
        <v>317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ROW(Source!A113)</f>
        <v>113</v>
      </c>
      <c r="B325">
        <v>68991889</v>
      </c>
      <c r="C325">
        <v>68991856</v>
      </c>
      <c r="D325">
        <v>64245580</v>
      </c>
      <c r="E325">
        <v>56</v>
      </c>
      <c r="F325">
        <v>1</v>
      </c>
      <c r="G325">
        <v>1</v>
      </c>
      <c r="H325">
        <v>3</v>
      </c>
      <c r="I325" t="s">
        <v>837</v>
      </c>
      <c r="J325" t="s">
        <v>3</v>
      </c>
      <c r="K325" t="s">
        <v>838</v>
      </c>
      <c r="L325">
        <v>1374</v>
      </c>
      <c r="N325">
        <v>1013</v>
      </c>
      <c r="O325" t="s">
        <v>839</v>
      </c>
      <c r="P325" t="s">
        <v>839</v>
      </c>
      <c r="Q325">
        <v>1</v>
      </c>
      <c r="X325">
        <v>23.09</v>
      </c>
      <c r="Y325">
        <v>1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3</v>
      </c>
      <c r="AG325">
        <v>23.09</v>
      </c>
      <c r="AH325">
        <v>2</v>
      </c>
      <c r="AI325">
        <v>68991877</v>
      </c>
      <c r="AJ325">
        <v>328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ROW(Source!A124)</f>
        <v>124</v>
      </c>
      <c r="B326">
        <v>68991928</v>
      </c>
      <c r="C326">
        <v>68991919</v>
      </c>
      <c r="D326">
        <v>37072442</v>
      </c>
      <c r="E326">
        <v>56</v>
      </c>
      <c r="F326">
        <v>1</v>
      </c>
      <c r="G326">
        <v>1</v>
      </c>
      <c r="H326">
        <v>1</v>
      </c>
      <c r="I326" t="s">
        <v>1139</v>
      </c>
      <c r="J326" t="s">
        <v>3</v>
      </c>
      <c r="K326" t="s">
        <v>1140</v>
      </c>
      <c r="L326">
        <v>1191</v>
      </c>
      <c r="N326">
        <v>1013</v>
      </c>
      <c r="O326" t="s">
        <v>818</v>
      </c>
      <c r="P326" t="s">
        <v>818</v>
      </c>
      <c r="Q326">
        <v>1</v>
      </c>
      <c r="X326">
        <v>5.31</v>
      </c>
      <c r="Y326">
        <v>0</v>
      </c>
      <c r="Z326">
        <v>0</v>
      </c>
      <c r="AA326">
        <v>0</v>
      </c>
      <c r="AB326">
        <v>10.65</v>
      </c>
      <c r="AC326">
        <v>0</v>
      </c>
      <c r="AD326">
        <v>1</v>
      </c>
      <c r="AE326">
        <v>1</v>
      </c>
      <c r="AF326" t="s">
        <v>147</v>
      </c>
      <c r="AG326">
        <v>8.2437749999999994</v>
      </c>
      <c r="AH326">
        <v>2</v>
      </c>
      <c r="AI326">
        <v>68991920</v>
      </c>
      <c r="AJ326">
        <v>329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ROW(Source!A124)</f>
        <v>124</v>
      </c>
      <c r="B327">
        <v>68991929</v>
      </c>
      <c r="C327">
        <v>68991919</v>
      </c>
      <c r="D327">
        <v>37064876</v>
      </c>
      <c r="E327">
        <v>56</v>
      </c>
      <c r="F327">
        <v>1</v>
      </c>
      <c r="G327">
        <v>1</v>
      </c>
      <c r="H327">
        <v>1</v>
      </c>
      <c r="I327" t="s">
        <v>819</v>
      </c>
      <c r="J327" t="s">
        <v>3</v>
      </c>
      <c r="K327" t="s">
        <v>820</v>
      </c>
      <c r="L327">
        <v>1191</v>
      </c>
      <c r="N327">
        <v>1013</v>
      </c>
      <c r="O327" t="s">
        <v>818</v>
      </c>
      <c r="P327" t="s">
        <v>818</v>
      </c>
      <c r="Q327">
        <v>1</v>
      </c>
      <c r="X327">
        <v>0.02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2</v>
      </c>
      <c r="AF327" t="s">
        <v>146</v>
      </c>
      <c r="AG327">
        <v>3.3750000000000002E-2</v>
      </c>
      <c r="AH327">
        <v>2</v>
      </c>
      <c r="AI327">
        <v>68991921</v>
      </c>
      <c r="AJ327">
        <v>330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ROW(Source!A124)</f>
        <v>124</v>
      </c>
      <c r="B328">
        <v>68991930</v>
      </c>
      <c r="C328">
        <v>68991919</v>
      </c>
      <c r="D328">
        <v>64401902</v>
      </c>
      <c r="E328">
        <v>1</v>
      </c>
      <c r="F328">
        <v>1</v>
      </c>
      <c r="G328">
        <v>1</v>
      </c>
      <c r="H328">
        <v>2</v>
      </c>
      <c r="I328" t="s">
        <v>1112</v>
      </c>
      <c r="J328" t="s">
        <v>1113</v>
      </c>
      <c r="K328" t="s">
        <v>1114</v>
      </c>
      <c r="L328">
        <v>1368</v>
      </c>
      <c r="N328">
        <v>1011</v>
      </c>
      <c r="O328" t="s">
        <v>824</v>
      </c>
      <c r="P328" t="s">
        <v>824</v>
      </c>
      <c r="Q328">
        <v>1</v>
      </c>
      <c r="X328">
        <v>0.01</v>
      </c>
      <c r="Y328">
        <v>0</v>
      </c>
      <c r="Z328">
        <v>1.7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146</v>
      </c>
      <c r="AG328">
        <v>1.6875000000000001E-2</v>
      </c>
      <c r="AH328">
        <v>2</v>
      </c>
      <c r="AI328">
        <v>68991922</v>
      </c>
      <c r="AJ328">
        <v>331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ROW(Source!A124)</f>
        <v>124</v>
      </c>
      <c r="B329">
        <v>68991931</v>
      </c>
      <c r="C329">
        <v>68991919</v>
      </c>
      <c r="D329">
        <v>64401921</v>
      </c>
      <c r="E329">
        <v>1</v>
      </c>
      <c r="F329">
        <v>1</v>
      </c>
      <c r="G329">
        <v>1</v>
      </c>
      <c r="H329">
        <v>2</v>
      </c>
      <c r="I329" t="s">
        <v>1020</v>
      </c>
      <c r="J329" t="s">
        <v>1021</v>
      </c>
      <c r="K329" t="s">
        <v>1022</v>
      </c>
      <c r="L329">
        <v>1368</v>
      </c>
      <c r="N329">
        <v>1011</v>
      </c>
      <c r="O329" t="s">
        <v>824</v>
      </c>
      <c r="P329" t="s">
        <v>824</v>
      </c>
      <c r="Q329">
        <v>1</v>
      </c>
      <c r="X329">
        <v>0.01</v>
      </c>
      <c r="Y329">
        <v>0</v>
      </c>
      <c r="Z329">
        <v>89.99</v>
      </c>
      <c r="AA329">
        <v>10.06</v>
      </c>
      <c r="AB329">
        <v>0</v>
      </c>
      <c r="AC329">
        <v>0</v>
      </c>
      <c r="AD329">
        <v>1</v>
      </c>
      <c r="AE329">
        <v>0</v>
      </c>
      <c r="AF329" t="s">
        <v>146</v>
      </c>
      <c r="AG329">
        <v>1.6875000000000001E-2</v>
      </c>
      <c r="AH329">
        <v>2</v>
      </c>
      <c r="AI329">
        <v>68991923</v>
      </c>
      <c r="AJ329">
        <v>332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ROW(Source!A124)</f>
        <v>124</v>
      </c>
      <c r="B330">
        <v>68991932</v>
      </c>
      <c r="C330">
        <v>68991919</v>
      </c>
      <c r="D330">
        <v>64402691</v>
      </c>
      <c r="E330">
        <v>1</v>
      </c>
      <c r="F330">
        <v>1</v>
      </c>
      <c r="G330">
        <v>1</v>
      </c>
      <c r="H330">
        <v>2</v>
      </c>
      <c r="I330" t="s">
        <v>825</v>
      </c>
      <c r="J330" t="s">
        <v>826</v>
      </c>
      <c r="K330" t="s">
        <v>827</v>
      </c>
      <c r="L330">
        <v>1368</v>
      </c>
      <c r="N330">
        <v>1011</v>
      </c>
      <c r="O330" t="s">
        <v>824</v>
      </c>
      <c r="P330" t="s">
        <v>824</v>
      </c>
      <c r="Q330">
        <v>1</v>
      </c>
      <c r="X330">
        <v>0.01</v>
      </c>
      <c r="Y330">
        <v>0</v>
      </c>
      <c r="Z330">
        <v>65.709999999999994</v>
      </c>
      <c r="AA330">
        <v>11.6</v>
      </c>
      <c r="AB330">
        <v>0</v>
      </c>
      <c r="AC330">
        <v>0</v>
      </c>
      <c r="AD330">
        <v>1</v>
      </c>
      <c r="AE330">
        <v>0</v>
      </c>
      <c r="AF330" t="s">
        <v>146</v>
      </c>
      <c r="AG330">
        <v>1.6875000000000001E-2</v>
      </c>
      <c r="AH330">
        <v>2</v>
      </c>
      <c r="AI330">
        <v>68991924</v>
      </c>
      <c r="AJ330">
        <v>333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ROW(Source!A124)</f>
        <v>124</v>
      </c>
      <c r="B331">
        <v>68991933</v>
      </c>
      <c r="C331">
        <v>68991919</v>
      </c>
      <c r="D331">
        <v>64403327</v>
      </c>
      <c r="E331">
        <v>1</v>
      </c>
      <c r="F331">
        <v>1</v>
      </c>
      <c r="G331">
        <v>1</v>
      </c>
      <c r="H331">
        <v>2</v>
      </c>
      <c r="I331" t="s">
        <v>1115</v>
      </c>
      <c r="J331" t="s">
        <v>1116</v>
      </c>
      <c r="K331" t="s">
        <v>1117</v>
      </c>
      <c r="L331">
        <v>1368</v>
      </c>
      <c r="N331">
        <v>1011</v>
      </c>
      <c r="O331" t="s">
        <v>824</v>
      </c>
      <c r="P331" t="s">
        <v>824</v>
      </c>
      <c r="Q331">
        <v>1</v>
      </c>
      <c r="X331">
        <v>1.1200000000000001</v>
      </c>
      <c r="Y331">
        <v>0</v>
      </c>
      <c r="Z331">
        <v>6.82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146</v>
      </c>
      <c r="AG331">
        <v>1.8900000000000003</v>
      </c>
      <c r="AH331">
        <v>2</v>
      </c>
      <c r="AI331">
        <v>68991925</v>
      </c>
      <c r="AJ331">
        <v>334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ROW(Source!A124)</f>
        <v>124</v>
      </c>
      <c r="B332">
        <v>68991934</v>
      </c>
      <c r="C332">
        <v>68991919</v>
      </c>
      <c r="D332">
        <v>64283919</v>
      </c>
      <c r="E332">
        <v>1</v>
      </c>
      <c r="F332">
        <v>1</v>
      </c>
      <c r="G332">
        <v>1</v>
      </c>
      <c r="H332">
        <v>3</v>
      </c>
      <c r="I332" t="s">
        <v>946</v>
      </c>
      <c r="J332" t="s">
        <v>947</v>
      </c>
      <c r="K332" t="s">
        <v>948</v>
      </c>
      <c r="L332">
        <v>1348</v>
      </c>
      <c r="N332">
        <v>1009</v>
      </c>
      <c r="O332" t="s">
        <v>71</v>
      </c>
      <c r="P332" t="s">
        <v>71</v>
      </c>
      <c r="Q332">
        <v>1000</v>
      </c>
      <c r="X332">
        <v>8.9999999999999993E-3</v>
      </c>
      <c r="Y332">
        <v>15620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3</v>
      </c>
      <c r="AG332">
        <v>8.9999999999999993E-3</v>
      </c>
      <c r="AH332">
        <v>2</v>
      </c>
      <c r="AI332">
        <v>68991926</v>
      </c>
      <c r="AJ332">
        <v>335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ROW(Source!A124)</f>
        <v>124</v>
      </c>
      <c r="B333">
        <v>68991935</v>
      </c>
      <c r="C333">
        <v>68991919</v>
      </c>
      <c r="D333">
        <v>64285001</v>
      </c>
      <c r="E333">
        <v>1</v>
      </c>
      <c r="F333">
        <v>1</v>
      </c>
      <c r="G333">
        <v>1</v>
      </c>
      <c r="H333">
        <v>3</v>
      </c>
      <c r="I333" t="s">
        <v>1121</v>
      </c>
      <c r="J333" t="s">
        <v>1122</v>
      </c>
      <c r="K333" t="s">
        <v>1123</v>
      </c>
      <c r="L333">
        <v>1348</v>
      </c>
      <c r="N333">
        <v>1009</v>
      </c>
      <c r="O333" t="s">
        <v>71</v>
      </c>
      <c r="P333" t="s">
        <v>71</v>
      </c>
      <c r="Q333">
        <v>1000</v>
      </c>
      <c r="X333">
        <v>1.5E-3</v>
      </c>
      <c r="Y333">
        <v>7640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3</v>
      </c>
      <c r="AG333">
        <v>1.5E-3</v>
      </c>
      <c r="AH333">
        <v>2</v>
      </c>
      <c r="AI333">
        <v>68991927</v>
      </c>
      <c r="AJ333">
        <v>336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ROW(Source!A125)</f>
        <v>125</v>
      </c>
      <c r="B334">
        <v>68991944</v>
      </c>
      <c r="C334">
        <v>68991936</v>
      </c>
      <c r="D334">
        <v>37064978</v>
      </c>
      <c r="E334">
        <v>56</v>
      </c>
      <c r="F334">
        <v>1</v>
      </c>
      <c r="G334">
        <v>1</v>
      </c>
      <c r="H334">
        <v>1</v>
      </c>
      <c r="I334" t="s">
        <v>1026</v>
      </c>
      <c r="J334" t="s">
        <v>3</v>
      </c>
      <c r="K334" t="s">
        <v>1027</v>
      </c>
      <c r="L334">
        <v>1191</v>
      </c>
      <c r="N334">
        <v>1013</v>
      </c>
      <c r="O334" t="s">
        <v>818</v>
      </c>
      <c r="P334" t="s">
        <v>818</v>
      </c>
      <c r="Q334">
        <v>1</v>
      </c>
      <c r="X334">
        <v>36.9</v>
      </c>
      <c r="Y334">
        <v>0</v>
      </c>
      <c r="Z334">
        <v>0</v>
      </c>
      <c r="AA334">
        <v>0</v>
      </c>
      <c r="AB334">
        <v>8.86</v>
      </c>
      <c r="AC334">
        <v>0</v>
      </c>
      <c r="AD334">
        <v>1</v>
      </c>
      <c r="AE334">
        <v>1</v>
      </c>
      <c r="AF334" t="s">
        <v>147</v>
      </c>
      <c r="AG334">
        <v>57.28725</v>
      </c>
      <c r="AH334">
        <v>2</v>
      </c>
      <c r="AI334">
        <v>68991937</v>
      </c>
      <c r="AJ334">
        <v>337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ROW(Source!A125)</f>
        <v>125</v>
      </c>
      <c r="B335">
        <v>68991945</v>
      </c>
      <c r="C335">
        <v>68991936</v>
      </c>
      <c r="D335">
        <v>37064876</v>
      </c>
      <c r="E335">
        <v>56</v>
      </c>
      <c r="F335">
        <v>1</v>
      </c>
      <c r="G335">
        <v>1</v>
      </c>
      <c r="H335">
        <v>1</v>
      </c>
      <c r="I335" t="s">
        <v>819</v>
      </c>
      <c r="J335" t="s">
        <v>3</v>
      </c>
      <c r="K335" t="s">
        <v>820</v>
      </c>
      <c r="L335">
        <v>1191</v>
      </c>
      <c r="N335">
        <v>1013</v>
      </c>
      <c r="O335" t="s">
        <v>818</v>
      </c>
      <c r="P335" t="s">
        <v>818</v>
      </c>
      <c r="Q335">
        <v>1</v>
      </c>
      <c r="X335">
        <v>0.04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2</v>
      </c>
      <c r="AF335" t="s">
        <v>146</v>
      </c>
      <c r="AG335">
        <v>6.7500000000000004E-2</v>
      </c>
      <c r="AH335">
        <v>2</v>
      </c>
      <c r="AI335">
        <v>68991938</v>
      </c>
      <c r="AJ335">
        <v>338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ROW(Source!A125)</f>
        <v>125</v>
      </c>
      <c r="B336">
        <v>68991946</v>
      </c>
      <c r="C336">
        <v>68991936</v>
      </c>
      <c r="D336">
        <v>64401959</v>
      </c>
      <c r="E336">
        <v>1</v>
      </c>
      <c r="F336">
        <v>1</v>
      </c>
      <c r="G336">
        <v>1</v>
      </c>
      <c r="H336">
        <v>2</v>
      </c>
      <c r="I336" t="s">
        <v>859</v>
      </c>
      <c r="J336" t="s">
        <v>860</v>
      </c>
      <c r="K336" t="s">
        <v>861</v>
      </c>
      <c r="L336">
        <v>1368</v>
      </c>
      <c r="N336">
        <v>1011</v>
      </c>
      <c r="O336" t="s">
        <v>824</v>
      </c>
      <c r="P336" t="s">
        <v>824</v>
      </c>
      <c r="Q336">
        <v>1</v>
      </c>
      <c r="X336">
        <v>0.01</v>
      </c>
      <c r="Y336">
        <v>0</v>
      </c>
      <c r="Z336">
        <v>31.26</v>
      </c>
      <c r="AA336">
        <v>13.5</v>
      </c>
      <c r="AB336">
        <v>0</v>
      </c>
      <c r="AC336">
        <v>0</v>
      </c>
      <c r="AD336">
        <v>1</v>
      </c>
      <c r="AE336">
        <v>0</v>
      </c>
      <c r="AF336" t="s">
        <v>146</v>
      </c>
      <c r="AG336">
        <v>1.6875000000000001E-2</v>
      </c>
      <c r="AH336">
        <v>2</v>
      </c>
      <c r="AI336">
        <v>68991939</v>
      </c>
      <c r="AJ336">
        <v>339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ROW(Source!A125)</f>
        <v>125</v>
      </c>
      <c r="B337">
        <v>68991947</v>
      </c>
      <c r="C337">
        <v>68991936</v>
      </c>
      <c r="D337">
        <v>64402691</v>
      </c>
      <c r="E337">
        <v>1</v>
      </c>
      <c r="F337">
        <v>1</v>
      </c>
      <c r="G337">
        <v>1</v>
      </c>
      <c r="H337">
        <v>2</v>
      </c>
      <c r="I337" t="s">
        <v>825</v>
      </c>
      <c r="J337" t="s">
        <v>826</v>
      </c>
      <c r="K337" t="s">
        <v>827</v>
      </c>
      <c r="L337">
        <v>1368</v>
      </c>
      <c r="N337">
        <v>1011</v>
      </c>
      <c r="O337" t="s">
        <v>824</v>
      </c>
      <c r="P337" t="s">
        <v>824</v>
      </c>
      <c r="Q337">
        <v>1</v>
      </c>
      <c r="X337">
        <v>0.03</v>
      </c>
      <c r="Y337">
        <v>0</v>
      </c>
      <c r="Z337">
        <v>65.709999999999994</v>
      </c>
      <c r="AA337">
        <v>11.6</v>
      </c>
      <c r="AB337">
        <v>0</v>
      </c>
      <c r="AC337">
        <v>0</v>
      </c>
      <c r="AD337">
        <v>1</v>
      </c>
      <c r="AE337">
        <v>0</v>
      </c>
      <c r="AF337" t="s">
        <v>146</v>
      </c>
      <c r="AG337">
        <v>5.0625000000000003E-2</v>
      </c>
      <c r="AH337">
        <v>2</v>
      </c>
      <c r="AI337">
        <v>68991940</v>
      </c>
      <c r="AJ337">
        <v>340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ROW(Source!A125)</f>
        <v>125</v>
      </c>
      <c r="B338">
        <v>68991948</v>
      </c>
      <c r="C338">
        <v>68991936</v>
      </c>
      <c r="D338">
        <v>64256200</v>
      </c>
      <c r="E338">
        <v>1</v>
      </c>
      <c r="F338">
        <v>1</v>
      </c>
      <c r="G338">
        <v>1</v>
      </c>
      <c r="H338">
        <v>3</v>
      </c>
      <c r="I338" t="s">
        <v>1034</v>
      </c>
      <c r="J338" t="s">
        <v>1035</v>
      </c>
      <c r="K338" t="s">
        <v>1036</v>
      </c>
      <c r="L338">
        <v>1346</v>
      </c>
      <c r="N338">
        <v>1009</v>
      </c>
      <c r="O338" t="s">
        <v>170</v>
      </c>
      <c r="P338" t="s">
        <v>170</v>
      </c>
      <c r="Q338">
        <v>1</v>
      </c>
      <c r="X338">
        <v>0.3</v>
      </c>
      <c r="Y338">
        <v>1.82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3</v>
      </c>
      <c r="AG338">
        <v>0.3</v>
      </c>
      <c r="AH338">
        <v>2</v>
      </c>
      <c r="AI338">
        <v>68991941</v>
      </c>
      <c r="AJ338">
        <v>341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ROW(Source!A125)</f>
        <v>125</v>
      </c>
      <c r="B339">
        <v>68991949</v>
      </c>
      <c r="C339">
        <v>68991936</v>
      </c>
      <c r="D339">
        <v>64244021</v>
      </c>
      <c r="E339">
        <v>56</v>
      </c>
      <c r="F339">
        <v>1</v>
      </c>
      <c r="G339">
        <v>1</v>
      </c>
      <c r="H339">
        <v>3</v>
      </c>
      <c r="I339" t="s">
        <v>1315</v>
      </c>
      <c r="J339" t="s">
        <v>3</v>
      </c>
      <c r="K339" t="s">
        <v>1316</v>
      </c>
      <c r="L339">
        <v>1348</v>
      </c>
      <c r="N339">
        <v>1009</v>
      </c>
      <c r="O339" t="s">
        <v>71</v>
      </c>
      <c r="P339" t="s">
        <v>71</v>
      </c>
      <c r="Q339">
        <v>1000</v>
      </c>
      <c r="X339">
        <v>2.46E-2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 t="s">
        <v>3</v>
      </c>
      <c r="AG339">
        <v>2.46E-2</v>
      </c>
      <c r="AH339">
        <v>3</v>
      </c>
      <c r="AI339">
        <v>-1</v>
      </c>
      <c r="AJ339" t="s">
        <v>3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ROW(Source!A125)</f>
        <v>125</v>
      </c>
      <c r="B340">
        <v>68991950</v>
      </c>
      <c r="C340">
        <v>68991936</v>
      </c>
      <c r="D340">
        <v>64284881</v>
      </c>
      <c r="E340">
        <v>1</v>
      </c>
      <c r="F340">
        <v>1</v>
      </c>
      <c r="G340">
        <v>1</v>
      </c>
      <c r="H340">
        <v>3</v>
      </c>
      <c r="I340" t="s">
        <v>1141</v>
      </c>
      <c r="J340" t="s">
        <v>1142</v>
      </c>
      <c r="K340" t="s">
        <v>1143</v>
      </c>
      <c r="L340">
        <v>1346</v>
      </c>
      <c r="N340">
        <v>1009</v>
      </c>
      <c r="O340" t="s">
        <v>170</v>
      </c>
      <c r="P340" t="s">
        <v>170</v>
      </c>
      <c r="Q340">
        <v>1</v>
      </c>
      <c r="X340">
        <v>2.7</v>
      </c>
      <c r="Y340">
        <v>32.6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3</v>
      </c>
      <c r="AG340">
        <v>2.7</v>
      </c>
      <c r="AH340">
        <v>2</v>
      </c>
      <c r="AI340">
        <v>68991943</v>
      </c>
      <c r="AJ340">
        <v>343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ROW(Source!A127)</f>
        <v>127</v>
      </c>
      <c r="B341">
        <v>68992008</v>
      </c>
      <c r="C341">
        <v>68991980</v>
      </c>
      <c r="D341">
        <v>64240997</v>
      </c>
      <c r="E341">
        <v>56</v>
      </c>
      <c r="F341">
        <v>1</v>
      </c>
      <c r="G341">
        <v>1</v>
      </c>
      <c r="H341">
        <v>1</v>
      </c>
      <c r="I341" t="s">
        <v>874</v>
      </c>
      <c r="J341" t="s">
        <v>3</v>
      </c>
      <c r="K341" t="s">
        <v>875</v>
      </c>
      <c r="L341">
        <v>1191</v>
      </c>
      <c r="N341">
        <v>1013</v>
      </c>
      <c r="O341" t="s">
        <v>818</v>
      </c>
      <c r="P341" t="s">
        <v>818</v>
      </c>
      <c r="Q341">
        <v>1</v>
      </c>
      <c r="X341">
        <v>106.19</v>
      </c>
      <c r="Y341">
        <v>0</v>
      </c>
      <c r="Z341">
        <v>0</v>
      </c>
      <c r="AA341">
        <v>0</v>
      </c>
      <c r="AB341">
        <v>9.18</v>
      </c>
      <c r="AC341">
        <v>0</v>
      </c>
      <c r="AD341">
        <v>1</v>
      </c>
      <c r="AE341">
        <v>1</v>
      </c>
      <c r="AF341" t="s">
        <v>147</v>
      </c>
      <c r="AG341">
        <v>164.85997499999999</v>
      </c>
      <c r="AH341">
        <v>2</v>
      </c>
      <c r="AI341">
        <v>68992008</v>
      </c>
      <c r="AJ341">
        <v>344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ROW(Source!A127)</f>
        <v>127</v>
      </c>
      <c r="B342">
        <v>68992009</v>
      </c>
      <c r="C342">
        <v>68991980</v>
      </c>
      <c r="D342">
        <v>64241154</v>
      </c>
      <c r="E342">
        <v>56</v>
      </c>
      <c r="F342">
        <v>1</v>
      </c>
      <c r="G342">
        <v>1</v>
      </c>
      <c r="H342">
        <v>1</v>
      </c>
      <c r="I342" t="s">
        <v>819</v>
      </c>
      <c r="J342" t="s">
        <v>3</v>
      </c>
      <c r="K342" t="s">
        <v>820</v>
      </c>
      <c r="L342">
        <v>1191</v>
      </c>
      <c r="N342">
        <v>1013</v>
      </c>
      <c r="O342" t="s">
        <v>818</v>
      </c>
      <c r="P342" t="s">
        <v>818</v>
      </c>
      <c r="Q342">
        <v>1</v>
      </c>
      <c r="X342">
        <v>0.64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2</v>
      </c>
      <c r="AF342" t="s">
        <v>146</v>
      </c>
      <c r="AG342">
        <v>1.08</v>
      </c>
      <c r="AH342">
        <v>2</v>
      </c>
      <c r="AI342">
        <v>68992009</v>
      </c>
      <c r="AJ342">
        <v>345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ROW(Source!A127)</f>
        <v>127</v>
      </c>
      <c r="B343">
        <v>68992010</v>
      </c>
      <c r="C343">
        <v>68991980</v>
      </c>
      <c r="D343">
        <v>64401763</v>
      </c>
      <c r="E343">
        <v>1</v>
      </c>
      <c r="F343">
        <v>1</v>
      </c>
      <c r="G343">
        <v>1</v>
      </c>
      <c r="H343">
        <v>2</v>
      </c>
      <c r="I343" t="s">
        <v>821</v>
      </c>
      <c r="J343" t="s">
        <v>822</v>
      </c>
      <c r="K343" t="s">
        <v>823</v>
      </c>
      <c r="L343">
        <v>1368</v>
      </c>
      <c r="N343">
        <v>1011</v>
      </c>
      <c r="O343" t="s">
        <v>824</v>
      </c>
      <c r="P343" t="s">
        <v>824</v>
      </c>
      <c r="Q343">
        <v>1</v>
      </c>
      <c r="X343">
        <v>0.27</v>
      </c>
      <c r="Y343">
        <v>0</v>
      </c>
      <c r="Z343">
        <v>115.4</v>
      </c>
      <c r="AA343">
        <v>13.5</v>
      </c>
      <c r="AB343">
        <v>0</v>
      </c>
      <c r="AC343">
        <v>0</v>
      </c>
      <c r="AD343">
        <v>1</v>
      </c>
      <c r="AE343">
        <v>0</v>
      </c>
      <c r="AF343" t="s">
        <v>146</v>
      </c>
      <c r="AG343">
        <v>0.45562500000000006</v>
      </c>
      <c r="AH343">
        <v>2</v>
      </c>
      <c r="AI343">
        <v>68992010</v>
      </c>
      <c r="AJ343">
        <v>346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ROW(Source!A127)</f>
        <v>127</v>
      </c>
      <c r="B344">
        <v>68992011</v>
      </c>
      <c r="C344">
        <v>68991980</v>
      </c>
      <c r="D344">
        <v>64402691</v>
      </c>
      <c r="E344">
        <v>1</v>
      </c>
      <c r="F344">
        <v>1</v>
      </c>
      <c r="G344">
        <v>1</v>
      </c>
      <c r="H344">
        <v>2</v>
      </c>
      <c r="I344" t="s">
        <v>825</v>
      </c>
      <c r="J344" t="s">
        <v>826</v>
      </c>
      <c r="K344" t="s">
        <v>827</v>
      </c>
      <c r="L344">
        <v>1368</v>
      </c>
      <c r="N344">
        <v>1011</v>
      </c>
      <c r="O344" t="s">
        <v>824</v>
      </c>
      <c r="P344" t="s">
        <v>824</v>
      </c>
      <c r="Q344">
        <v>1</v>
      </c>
      <c r="X344">
        <v>0.37</v>
      </c>
      <c r="Y344">
        <v>0</v>
      </c>
      <c r="Z344">
        <v>65.709999999999994</v>
      </c>
      <c r="AA344">
        <v>11.6</v>
      </c>
      <c r="AB344">
        <v>0</v>
      </c>
      <c r="AC344">
        <v>0</v>
      </c>
      <c r="AD344">
        <v>1</v>
      </c>
      <c r="AE344">
        <v>0</v>
      </c>
      <c r="AF344" t="s">
        <v>146</v>
      </c>
      <c r="AG344">
        <v>0.62437500000000012</v>
      </c>
      <c r="AH344">
        <v>2</v>
      </c>
      <c r="AI344">
        <v>68992011</v>
      </c>
      <c r="AJ344">
        <v>347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ROW(Source!A127)</f>
        <v>127</v>
      </c>
      <c r="B345">
        <v>68992012</v>
      </c>
      <c r="C345">
        <v>68991980</v>
      </c>
      <c r="D345">
        <v>64255178</v>
      </c>
      <c r="E345">
        <v>1</v>
      </c>
      <c r="F345">
        <v>1</v>
      </c>
      <c r="G345">
        <v>1</v>
      </c>
      <c r="H345">
        <v>3</v>
      </c>
      <c r="I345" t="s">
        <v>1144</v>
      </c>
      <c r="J345" t="s">
        <v>1145</v>
      </c>
      <c r="K345" t="s">
        <v>1146</v>
      </c>
      <c r="L345">
        <v>1425</v>
      </c>
      <c r="N345">
        <v>1013</v>
      </c>
      <c r="O345" t="s">
        <v>18</v>
      </c>
      <c r="P345" t="s">
        <v>18</v>
      </c>
      <c r="Q345">
        <v>1</v>
      </c>
      <c r="X345">
        <v>7</v>
      </c>
      <c r="Y345">
        <v>118</v>
      </c>
      <c r="Z345">
        <v>0</v>
      </c>
      <c r="AA345">
        <v>0</v>
      </c>
      <c r="AB345">
        <v>0</v>
      </c>
      <c r="AC345">
        <v>0</v>
      </c>
      <c r="AD345">
        <v>1</v>
      </c>
      <c r="AE345">
        <v>0</v>
      </c>
      <c r="AF345" t="s">
        <v>3</v>
      </c>
      <c r="AG345">
        <v>7</v>
      </c>
      <c r="AH345">
        <v>2</v>
      </c>
      <c r="AI345">
        <v>68992012</v>
      </c>
      <c r="AJ345">
        <v>348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ROW(Source!A127)</f>
        <v>127</v>
      </c>
      <c r="B346">
        <v>68992013</v>
      </c>
      <c r="C346">
        <v>68991980</v>
      </c>
      <c r="D346">
        <v>64255475</v>
      </c>
      <c r="E346">
        <v>1</v>
      </c>
      <c r="F346">
        <v>1</v>
      </c>
      <c r="G346">
        <v>1</v>
      </c>
      <c r="H346">
        <v>3</v>
      </c>
      <c r="I346" t="s">
        <v>1147</v>
      </c>
      <c r="J346" t="s">
        <v>1148</v>
      </c>
      <c r="K346" t="s">
        <v>1149</v>
      </c>
      <c r="L346">
        <v>1425</v>
      </c>
      <c r="N346">
        <v>1013</v>
      </c>
      <c r="O346" t="s">
        <v>18</v>
      </c>
      <c r="P346" t="s">
        <v>18</v>
      </c>
      <c r="Q346">
        <v>1</v>
      </c>
      <c r="X346">
        <v>29</v>
      </c>
      <c r="Y346">
        <v>10</v>
      </c>
      <c r="Z346">
        <v>0</v>
      </c>
      <c r="AA346">
        <v>0</v>
      </c>
      <c r="AB346">
        <v>0</v>
      </c>
      <c r="AC346">
        <v>0</v>
      </c>
      <c r="AD346">
        <v>1</v>
      </c>
      <c r="AE346">
        <v>0</v>
      </c>
      <c r="AF346" t="s">
        <v>3</v>
      </c>
      <c r="AG346">
        <v>29</v>
      </c>
      <c r="AH346">
        <v>2</v>
      </c>
      <c r="AI346">
        <v>68992013</v>
      </c>
      <c r="AJ346">
        <v>349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ROW(Source!A127)</f>
        <v>127</v>
      </c>
      <c r="B347">
        <v>68992014</v>
      </c>
      <c r="C347">
        <v>68991980</v>
      </c>
      <c r="D347">
        <v>64269397</v>
      </c>
      <c r="E347">
        <v>1</v>
      </c>
      <c r="F347">
        <v>1</v>
      </c>
      <c r="G347">
        <v>1</v>
      </c>
      <c r="H347">
        <v>3</v>
      </c>
      <c r="I347" t="s">
        <v>1150</v>
      </c>
      <c r="J347" t="s">
        <v>1151</v>
      </c>
      <c r="K347" t="s">
        <v>1152</v>
      </c>
      <c r="L347">
        <v>1301</v>
      </c>
      <c r="N347">
        <v>1003</v>
      </c>
      <c r="O347" t="s">
        <v>379</v>
      </c>
      <c r="P347" t="s">
        <v>379</v>
      </c>
      <c r="Q347">
        <v>1</v>
      </c>
      <c r="X347">
        <v>200</v>
      </c>
      <c r="Y347">
        <v>6.91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3</v>
      </c>
      <c r="AG347">
        <v>200</v>
      </c>
      <c r="AH347">
        <v>2</v>
      </c>
      <c r="AI347">
        <v>68992014</v>
      </c>
      <c r="AJ347">
        <v>350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ROW(Source!A127)</f>
        <v>127</v>
      </c>
      <c r="B348">
        <v>68992015</v>
      </c>
      <c r="C348">
        <v>68991980</v>
      </c>
      <c r="D348">
        <v>64270715</v>
      </c>
      <c r="E348">
        <v>1</v>
      </c>
      <c r="F348">
        <v>1</v>
      </c>
      <c r="G348">
        <v>1</v>
      </c>
      <c r="H348">
        <v>3</v>
      </c>
      <c r="I348" t="s">
        <v>1153</v>
      </c>
      <c r="J348" t="s">
        <v>1154</v>
      </c>
      <c r="K348" t="s">
        <v>1155</v>
      </c>
      <c r="L348">
        <v>1371</v>
      </c>
      <c r="N348">
        <v>1013</v>
      </c>
      <c r="O348" t="s">
        <v>29</v>
      </c>
      <c r="P348" t="s">
        <v>29</v>
      </c>
      <c r="Q348">
        <v>1</v>
      </c>
      <c r="X348">
        <v>350</v>
      </c>
      <c r="Y348">
        <v>17.32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3</v>
      </c>
      <c r="AG348">
        <v>350</v>
      </c>
      <c r="AH348">
        <v>2</v>
      </c>
      <c r="AI348">
        <v>68992015</v>
      </c>
      <c r="AJ348">
        <v>351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ROW(Source!A127)</f>
        <v>127</v>
      </c>
      <c r="B349">
        <v>68992016</v>
      </c>
      <c r="C349">
        <v>68991980</v>
      </c>
      <c r="D349">
        <v>64270717</v>
      </c>
      <c r="E349">
        <v>1</v>
      </c>
      <c r="F349">
        <v>1</v>
      </c>
      <c r="G349">
        <v>1</v>
      </c>
      <c r="H349">
        <v>3</v>
      </c>
      <c r="I349" t="s">
        <v>1156</v>
      </c>
      <c r="J349" t="s">
        <v>1157</v>
      </c>
      <c r="K349" t="s">
        <v>1158</v>
      </c>
      <c r="L349">
        <v>1301</v>
      </c>
      <c r="N349">
        <v>1003</v>
      </c>
      <c r="O349" t="s">
        <v>379</v>
      </c>
      <c r="P349" t="s">
        <v>379</v>
      </c>
      <c r="Q349">
        <v>1</v>
      </c>
      <c r="X349">
        <v>42</v>
      </c>
      <c r="Y349">
        <v>23.15</v>
      </c>
      <c r="Z349">
        <v>0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3</v>
      </c>
      <c r="AG349">
        <v>42</v>
      </c>
      <c r="AH349">
        <v>2</v>
      </c>
      <c r="AI349">
        <v>68992016</v>
      </c>
      <c r="AJ349">
        <v>352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ROW(Source!A127)</f>
        <v>127</v>
      </c>
      <c r="B350">
        <v>68992017</v>
      </c>
      <c r="C350">
        <v>68991980</v>
      </c>
      <c r="D350">
        <v>64270718</v>
      </c>
      <c r="E350">
        <v>1</v>
      </c>
      <c r="F350">
        <v>1</v>
      </c>
      <c r="G350">
        <v>1</v>
      </c>
      <c r="H350">
        <v>3</v>
      </c>
      <c r="I350" t="s">
        <v>1159</v>
      </c>
      <c r="J350" t="s">
        <v>1160</v>
      </c>
      <c r="K350" t="s">
        <v>1161</v>
      </c>
      <c r="L350">
        <v>1301</v>
      </c>
      <c r="N350">
        <v>1003</v>
      </c>
      <c r="O350" t="s">
        <v>379</v>
      </c>
      <c r="P350" t="s">
        <v>379</v>
      </c>
      <c r="Q350">
        <v>1</v>
      </c>
      <c r="X350">
        <v>12</v>
      </c>
      <c r="Y350">
        <v>64.47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3</v>
      </c>
      <c r="AG350">
        <v>12</v>
      </c>
      <c r="AH350">
        <v>2</v>
      </c>
      <c r="AI350">
        <v>68992017</v>
      </c>
      <c r="AJ350">
        <v>353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ROW(Source!A127)</f>
        <v>127</v>
      </c>
      <c r="B351">
        <v>68992018</v>
      </c>
      <c r="C351">
        <v>68991980</v>
      </c>
      <c r="D351">
        <v>64270720</v>
      </c>
      <c r="E351">
        <v>1</v>
      </c>
      <c r="F351">
        <v>1</v>
      </c>
      <c r="G351">
        <v>1</v>
      </c>
      <c r="H351">
        <v>3</v>
      </c>
      <c r="I351" t="s">
        <v>1162</v>
      </c>
      <c r="J351" t="s">
        <v>1163</v>
      </c>
      <c r="K351" t="s">
        <v>1164</v>
      </c>
      <c r="L351">
        <v>1301</v>
      </c>
      <c r="N351">
        <v>1003</v>
      </c>
      <c r="O351" t="s">
        <v>379</v>
      </c>
      <c r="P351" t="s">
        <v>379</v>
      </c>
      <c r="Q351">
        <v>1</v>
      </c>
      <c r="X351">
        <v>55</v>
      </c>
      <c r="Y351">
        <v>7.5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0</v>
      </c>
      <c r="AF351" t="s">
        <v>3</v>
      </c>
      <c r="AG351">
        <v>55</v>
      </c>
      <c r="AH351">
        <v>2</v>
      </c>
      <c r="AI351">
        <v>68992018</v>
      </c>
      <c r="AJ351">
        <v>354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ROW(Source!A127)</f>
        <v>127</v>
      </c>
      <c r="B352">
        <v>68992019</v>
      </c>
      <c r="C352">
        <v>68991980</v>
      </c>
      <c r="D352">
        <v>64242976</v>
      </c>
      <c r="E352">
        <v>56</v>
      </c>
      <c r="F352">
        <v>1</v>
      </c>
      <c r="G352">
        <v>1</v>
      </c>
      <c r="H352">
        <v>3</v>
      </c>
      <c r="I352" t="s">
        <v>1317</v>
      </c>
      <c r="J352" t="s">
        <v>3</v>
      </c>
      <c r="K352" t="s">
        <v>1318</v>
      </c>
      <c r="L352">
        <v>1327</v>
      </c>
      <c r="N352">
        <v>1005</v>
      </c>
      <c r="O352" t="s">
        <v>46</v>
      </c>
      <c r="P352" t="s">
        <v>46</v>
      </c>
      <c r="Q352">
        <v>1</v>
      </c>
      <c r="X352">
        <v>118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 t="s">
        <v>3</v>
      </c>
      <c r="AG352">
        <v>118</v>
      </c>
      <c r="AH352">
        <v>3</v>
      </c>
      <c r="AI352">
        <v>-1</v>
      </c>
      <c r="AJ352" t="s">
        <v>3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ROW(Source!A130)</f>
        <v>130</v>
      </c>
      <c r="B353">
        <v>69005476</v>
      </c>
      <c r="C353">
        <v>69005463</v>
      </c>
      <c r="D353">
        <v>37072767</v>
      </c>
      <c r="E353">
        <v>56</v>
      </c>
      <c r="F353">
        <v>1</v>
      </c>
      <c r="G353">
        <v>1</v>
      </c>
      <c r="H353">
        <v>1</v>
      </c>
      <c r="I353" t="s">
        <v>874</v>
      </c>
      <c r="J353" t="s">
        <v>3</v>
      </c>
      <c r="K353" t="s">
        <v>875</v>
      </c>
      <c r="L353">
        <v>1191</v>
      </c>
      <c r="N353">
        <v>1013</v>
      </c>
      <c r="O353" t="s">
        <v>818</v>
      </c>
      <c r="P353" t="s">
        <v>818</v>
      </c>
      <c r="Q353">
        <v>1</v>
      </c>
      <c r="X353">
        <v>6.68</v>
      </c>
      <c r="Y353">
        <v>0</v>
      </c>
      <c r="Z353">
        <v>0</v>
      </c>
      <c r="AA353">
        <v>0</v>
      </c>
      <c r="AB353">
        <v>9.18</v>
      </c>
      <c r="AC353">
        <v>0</v>
      </c>
      <c r="AD353">
        <v>1</v>
      </c>
      <c r="AE353">
        <v>1</v>
      </c>
      <c r="AF353" t="s">
        <v>456</v>
      </c>
      <c r="AG353">
        <v>10.370699999999999</v>
      </c>
      <c r="AH353">
        <v>2</v>
      </c>
      <c r="AI353">
        <v>69005464</v>
      </c>
      <c r="AJ353">
        <v>357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ROW(Source!A130)</f>
        <v>130</v>
      </c>
      <c r="B354">
        <v>69005477</v>
      </c>
      <c r="C354">
        <v>69005463</v>
      </c>
      <c r="D354">
        <v>37064876</v>
      </c>
      <c r="E354">
        <v>56</v>
      </c>
      <c r="F354">
        <v>1</v>
      </c>
      <c r="G354">
        <v>1</v>
      </c>
      <c r="H354">
        <v>1</v>
      </c>
      <c r="I354" t="s">
        <v>819</v>
      </c>
      <c r="J354" t="s">
        <v>3</v>
      </c>
      <c r="K354" t="s">
        <v>820</v>
      </c>
      <c r="L354">
        <v>1191</v>
      </c>
      <c r="N354">
        <v>1013</v>
      </c>
      <c r="O354" t="s">
        <v>818</v>
      </c>
      <c r="P354" t="s">
        <v>818</v>
      </c>
      <c r="Q354">
        <v>1</v>
      </c>
      <c r="X354">
        <v>0.04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2</v>
      </c>
      <c r="AF354" t="s">
        <v>455</v>
      </c>
      <c r="AG354">
        <v>6.7500000000000004E-2</v>
      </c>
      <c r="AH354">
        <v>2</v>
      </c>
      <c r="AI354">
        <v>69005465</v>
      </c>
      <c r="AJ354">
        <v>358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ROW(Source!A130)</f>
        <v>130</v>
      </c>
      <c r="B355">
        <v>69005478</v>
      </c>
      <c r="C355">
        <v>69005463</v>
      </c>
      <c r="D355">
        <v>64401959</v>
      </c>
      <c r="E355">
        <v>1</v>
      </c>
      <c r="F355">
        <v>1</v>
      </c>
      <c r="G355">
        <v>1</v>
      </c>
      <c r="H355">
        <v>2</v>
      </c>
      <c r="I355" t="s">
        <v>859</v>
      </c>
      <c r="J355" t="s">
        <v>860</v>
      </c>
      <c r="K355" t="s">
        <v>861</v>
      </c>
      <c r="L355">
        <v>1368</v>
      </c>
      <c r="N355">
        <v>1011</v>
      </c>
      <c r="O355" t="s">
        <v>824</v>
      </c>
      <c r="P355" t="s">
        <v>824</v>
      </c>
      <c r="Q355">
        <v>1</v>
      </c>
      <c r="X355">
        <v>5.0000000000000001E-3</v>
      </c>
      <c r="Y355">
        <v>0</v>
      </c>
      <c r="Z355">
        <v>31.26</v>
      </c>
      <c r="AA355">
        <v>13.5</v>
      </c>
      <c r="AB355">
        <v>0</v>
      </c>
      <c r="AC355">
        <v>0</v>
      </c>
      <c r="AD355">
        <v>1</v>
      </c>
      <c r="AE355">
        <v>0</v>
      </c>
      <c r="AF355" t="s">
        <v>455</v>
      </c>
      <c r="AG355">
        <v>8.4375000000000006E-3</v>
      </c>
      <c r="AH355">
        <v>2</v>
      </c>
      <c r="AI355">
        <v>69005466</v>
      </c>
      <c r="AJ355">
        <v>359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ROW(Source!A130)</f>
        <v>130</v>
      </c>
      <c r="B356">
        <v>69005479</v>
      </c>
      <c r="C356">
        <v>69005463</v>
      </c>
      <c r="D356">
        <v>64402691</v>
      </c>
      <c r="E356">
        <v>1</v>
      </c>
      <c r="F356">
        <v>1</v>
      </c>
      <c r="G356">
        <v>1</v>
      </c>
      <c r="H356">
        <v>2</v>
      </c>
      <c r="I356" t="s">
        <v>825</v>
      </c>
      <c r="J356" t="s">
        <v>826</v>
      </c>
      <c r="K356" t="s">
        <v>827</v>
      </c>
      <c r="L356">
        <v>1368</v>
      </c>
      <c r="N356">
        <v>1011</v>
      </c>
      <c r="O356" t="s">
        <v>824</v>
      </c>
      <c r="P356" t="s">
        <v>824</v>
      </c>
      <c r="Q356">
        <v>1</v>
      </c>
      <c r="X356">
        <v>0.03</v>
      </c>
      <c r="Y356">
        <v>0</v>
      </c>
      <c r="Z356">
        <v>65.709999999999994</v>
      </c>
      <c r="AA356">
        <v>11.6</v>
      </c>
      <c r="AB356">
        <v>0</v>
      </c>
      <c r="AC356">
        <v>0</v>
      </c>
      <c r="AD356">
        <v>1</v>
      </c>
      <c r="AE356">
        <v>0</v>
      </c>
      <c r="AF356" t="s">
        <v>455</v>
      </c>
      <c r="AG356">
        <v>5.0625000000000003E-2</v>
      </c>
      <c r="AH356">
        <v>2</v>
      </c>
      <c r="AI356">
        <v>69005467</v>
      </c>
      <c r="AJ356">
        <v>360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ROW(Source!A130)</f>
        <v>130</v>
      </c>
      <c r="B357">
        <v>69005480</v>
      </c>
      <c r="C357">
        <v>69005463</v>
      </c>
      <c r="D357">
        <v>64255043</v>
      </c>
      <c r="E357">
        <v>1</v>
      </c>
      <c r="F357">
        <v>1</v>
      </c>
      <c r="G357">
        <v>1</v>
      </c>
      <c r="H357">
        <v>3</v>
      </c>
      <c r="I357" t="s">
        <v>1165</v>
      </c>
      <c r="J357" t="s">
        <v>1166</v>
      </c>
      <c r="K357" t="s">
        <v>1167</v>
      </c>
      <c r="L357">
        <v>1425</v>
      </c>
      <c r="N357">
        <v>1013</v>
      </c>
      <c r="O357" t="s">
        <v>18</v>
      </c>
      <c r="P357" t="s">
        <v>18</v>
      </c>
      <c r="Q357">
        <v>1</v>
      </c>
      <c r="X357">
        <v>2.63</v>
      </c>
      <c r="Y357">
        <v>12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0</v>
      </c>
      <c r="AF357" t="s">
        <v>3</v>
      </c>
      <c r="AG357">
        <v>2.63</v>
      </c>
      <c r="AH357">
        <v>2</v>
      </c>
      <c r="AI357">
        <v>69005468</v>
      </c>
      <c r="AJ357">
        <v>361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ROW(Source!A130)</f>
        <v>130</v>
      </c>
      <c r="B358">
        <v>69005481</v>
      </c>
      <c r="C358">
        <v>69005463</v>
      </c>
      <c r="D358">
        <v>64255146</v>
      </c>
      <c r="E358">
        <v>1</v>
      </c>
      <c r="F358">
        <v>1</v>
      </c>
      <c r="G358">
        <v>1</v>
      </c>
      <c r="H358">
        <v>3</v>
      </c>
      <c r="I358" t="s">
        <v>1168</v>
      </c>
      <c r="J358" t="s">
        <v>1169</v>
      </c>
      <c r="K358" t="s">
        <v>1170</v>
      </c>
      <c r="L358">
        <v>1407</v>
      </c>
      <c r="N358">
        <v>1013</v>
      </c>
      <c r="O358" t="s">
        <v>1171</v>
      </c>
      <c r="P358" t="s">
        <v>1171</v>
      </c>
      <c r="Q358">
        <v>1</v>
      </c>
      <c r="X358">
        <v>0.26300000000000001</v>
      </c>
      <c r="Y358">
        <v>160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0</v>
      </c>
      <c r="AF358" t="s">
        <v>3</v>
      </c>
      <c r="AG358">
        <v>0.26300000000000001</v>
      </c>
      <c r="AH358">
        <v>2</v>
      </c>
      <c r="AI358">
        <v>69005469</v>
      </c>
      <c r="AJ358">
        <v>362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ROW(Source!A130)</f>
        <v>130</v>
      </c>
      <c r="B359">
        <v>69005482</v>
      </c>
      <c r="C359">
        <v>69005463</v>
      </c>
      <c r="D359">
        <v>64243521</v>
      </c>
      <c r="E359">
        <v>56</v>
      </c>
      <c r="F359">
        <v>1</v>
      </c>
      <c r="G359">
        <v>1</v>
      </c>
      <c r="H359">
        <v>3</v>
      </c>
      <c r="I359" t="s">
        <v>1319</v>
      </c>
      <c r="J359" t="s">
        <v>3</v>
      </c>
      <c r="K359" t="s">
        <v>1320</v>
      </c>
      <c r="L359">
        <v>1301</v>
      </c>
      <c r="N359">
        <v>1003</v>
      </c>
      <c r="O359" t="s">
        <v>379</v>
      </c>
      <c r="P359" t="s">
        <v>379</v>
      </c>
      <c r="Q359">
        <v>1</v>
      </c>
      <c r="X359">
        <v>101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 t="s">
        <v>3</v>
      </c>
      <c r="AG359">
        <v>101</v>
      </c>
      <c r="AH359">
        <v>3</v>
      </c>
      <c r="AI359">
        <v>-1</v>
      </c>
      <c r="AJ359" t="s">
        <v>3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ROW(Source!A130)</f>
        <v>130</v>
      </c>
      <c r="B360">
        <v>69005483</v>
      </c>
      <c r="C360">
        <v>69005463</v>
      </c>
      <c r="D360">
        <v>64278203</v>
      </c>
      <c r="E360">
        <v>1</v>
      </c>
      <c r="F360">
        <v>1</v>
      </c>
      <c r="G360">
        <v>1</v>
      </c>
      <c r="H360">
        <v>3</v>
      </c>
      <c r="I360" t="s">
        <v>1172</v>
      </c>
      <c r="J360" t="s">
        <v>1173</v>
      </c>
      <c r="K360" t="s">
        <v>1174</v>
      </c>
      <c r="L360">
        <v>1425</v>
      </c>
      <c r="N360">
        <v>1013</v>
      </c>
      <c r="O360" t="s">
        <v>18</v>
      </c>
      <c r="P360" t="s">
        <v>18</v>
      </c>
      <c r="Q360">
        <v>1</v>
      </c>
      <c r="X360">
        <v>0.08</v>
      </c>
      <c r="Y360">
        <v>63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 t="s">
        <v>3</v>
      </c>
      <c r="AG360">
        <v>0.08</v>
      </c>
      <c r="AH360">
        <v>2</v>
      </c>
      <c r="AI360">
        <v>69005471</v>
      </c>
      <c r="AJ360">
        <v>364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ROW(Source!A130)</f>
        <v>130</v>
      </c>
      <c r="B361">
        <v>69005484</v>
      </c>
      <c r="C361">
        <v>69005463</v>
      </c>
      <c r="D361">
        <v>64278205</v>
      </c>
      <c r="E361">
        <v>1</v>
      </c>
      <c r="F361">
        <v>1</v>
      </c>
      <c r="G361">
        <v>1</v>
      </c>
      <c r="H361">
        <v>3</v>
      </c>
      <c r="I361" t="s">
        <v>1175</v>
      </c>
      <c r="J361" t="s">
        <v>1176</v>
      </c>
      <c r="K361" t="s">
        <v>1177</v>
      </c>
      <c r="L361">
        <v>1425</v>
      </c>
      <c r="N361">
        <v>1013</v>
      </c>
      <c r="O361" t="s">
        <v>18</v>
      </c>
      <c r="P361" t="s">
        <v>18</v>
      </c>
      <c r="Q361">
        <v>1</v>
      </c>
      <c r="X361">
        <v>0.08</v>
      </c>
      <c r="Y361">
        <v>63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3</v>
      </c>
      <c r="AG361">
        <v>0.08</v>
      </c>
      <c r="AH361">
        <v>2</v>
      </c>
      <c r="AI361">
        <v>69005472</v>
      </c>
      <c r="AJ361">
        <v>365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ROW(Source!A130)</f>
        <v>130</v>
      </c>
      <c r="B362">
        <v>69005485</v>
      </c>
      <c r="C362">
        <v>69005463</v>
      </c>
      <c r="D362">
        <v>64278207</v>
      </c>
      <c r="E362">
        <v>1</v>
      </c>
      <c r="F362">
        <v>1</v>
      </c>
      <c r="G362">
        <v>1</v>
      </c>
      <c r="H362">
        <v>3</v>
      </c>
      <c r="I362" t="s">
        <v>1178</v>
      </c>
      <c r="J362" t="s">
        <v>1179</v>
      </c>
      <c r="K362" t="s">
        <v>1180</v>
      </c>
      <c r="L362">
        <v>1425</v>
      </c>
      <c r="N362">
        <v>1013</v>
      </c>
      <c r="O362" t="s">
        <v>18</v>
      </c>
      <c r="P362" t="s">
        <v>18</v>
      </c>
      <c r="Q362">
        <v>1</v>
      </c>
      <c r="X362">
        <v>0.4</v>
      </c>
      <c r="Y362">
        <v>128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3</v>
      </c>
      <c r="AG362">
        <v>0.4</v>
      </c>
      <c r="AH362">
        <v>2</v>
      </c>
      <c r="AI362">
        <v>69005473</v>
      </c>
      <c r="AJ362">
        <v>366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ROW(Source!A130)</f>
        <v>130</v>
      </c>
      <c r="B363">
        <v>69005486</v>
      </c>
      <c r="C363">
        <v>69005463</v>
      </c>
      <c r="D363">
        <v>64278209</v>
      </c>
      <c r="E363">
        <v>1</v>
      </c>
      <c r="F363">
        <v>1</v>
      </c>
      <c r="G363">
        <v>1</v>
      </c>
      <c r="H363">
        <v>3</v>
      </c>
      <c r="I363" t="s">
        <v>1181</v>
      </c>
      <c r="J363" t="s">
        <v>1182</v>
      </c>
      <c r="K363" t="s">
        <v>1183</v>
      </c>
      <c r="L363">
        <v>1425</v>
      </c>
      <c r="N363">
        <v>1013</v>
      </c>
      <c r="O363" t="s">
        <v>18</v>
      </c>
      <c r="P363" t="s">
        <v>18</v>
      </c>
      <c r="Q363">
        <v>1</v>
      </c>
      <c r="X363">
        <v>7.0000000000000007E-2</v>
      </c>
      <c r="Y363">
        <v>128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3</v>
      </c>
      <c r="AG363">
        <v>7.0000000000000007E-2</v>
      </c>
      <c r="AH363">
        <v>2</v>
      </c>
      <c r="AI363">
        <v>69005474</v>
      </c>
      <c r="AJ363">
        <v>367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ROW(Source!A130)</f>
        <v>130</v>
      </c>
      <c r="B364">
        <v>69005487</v>
      </c>
      <c r="C364">
        <v>69005463</v>
      </c>
      <c r="D364">
        <v>64278211</v>
      </c>
      <c r="E364">
        <v>1</v>
      </c>
      <c r="F364">
        <v>1</v>
      </c>
      <c r="G364">
        <v>1</v>
      </c>
      <c r="H364">
        <v>3</v>
      </c>
      <c r="I364" t="s">
        <v>1184</v>
      </c>
      <c r="J364" t="s">
        <v>1185</v>
      </c>
      <c r="K364" t="s">
        <v>1186</v>
      </c>
      <c r="L364">
        <v>1425</v>
      </c>
      <c r="N364">
        <v>1013</v>
      </c>
      <c r="O364" t="s">
        <v>18</v>
      </c>
      <c r="P364" t="s">
        <v>18</v>
      </c>
      <c r="Q364">
        <v>1</v>
      </c>
      <c r="X364">
        <v>7.0000000000000007E-2</v>
      </c>
      <c r="Y364">
        <v>128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0</v>
      </c>
      <c r="AF364" t="s">
        <v>3</v>
      </c>
      <c r="AG364">
        <v>7.0000000000000007E-2</v>
      </c>
      <c r="AH364">
        <v>2</v>
      </c>
      <c r="AI364">
        <v>69005475</v>
      </c>
      <c r="AJ364">
        <v>368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ROW(Source!A132)</f>
        <v>132</v>
      </c>
      <c r="B365">
        <v>68992058</v>
      </c>
      <c r="C365">
        <v>68992047</v>
      </c>
      <c r="D365">
        <v>37080781</v>
      </c>
      <c r="E365">
        <v>56</v>
      </c>
      <c r="F365">
        <v>1</v>
      </c>
      <c r="G365">
        <v>1</v>
      </c>
      <c r="H365">
        <v>1</v>
      </c>
      <c r="I365" t="s">
        <v>816</v>
      </c>
      <c r="J365" t="s">
        <v>3</v>
      </c>
      <c r="K365" t="s">
        <v>817</v>
      </c>
      <c r="L365">
        <v>1191</v>
      </c>
      <c r="N365">
        <v>1013</v>
      </c>
      <c r="O365" t="s">
        <v>818</v>
      </c>
      <c r="P365" t="s">
        <v>818</v>
      </c>
      <c r="Q365">
        <v>1</v>
      </c>
      <c r="X365">
        <v>322.73</v>
      </c>
      <c r="Y365">
        <v>0</v>
      </c>
      <c r="Z365">
        <v>0</v>
      </c>
      <c r="AA365">
        <v>0</v>
      </c>
      <c r="AB365">
        <v>9.92</v>
      </c>
      <c r="AC365">
        <v>0</v>
      </c>
      <c r="AD365">
        <v>1</v>
      </c>
      <c r="AE365">
        <v>1</v>
      </c>
      <c r="AF365" t="s">
        <v>147</v>
      </c>
      <c r="AG365">
        <v>501.03832500000004</v>
      </c>
      <c r="AH365">
        <v>2</v>
      </c>
      <c r="AI365">
        <v>68992048</v>
      </c>
      <c r="AJ365">
        <v>369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ROW(Source!A132)</f>
        <v>132</v>
      </c>
      <c r="B366">
        <v>68992059</v>
      </c>
      <c r="C366">
        <v>68992047</v>
      </c>
      <c r="D366">
        <v>37064876</v>
      </c>
      <c r="E366">
        <v>56</v>
      </c>
      <c r="F366">
        <v>1</v>
      </c>
      <c r="G366">
        <v>1</v>
      </c>
      <c r="H366">
        <v>1</v>
      </c>
      <c r="I366" t="s">
        <v>819</v>
      </c>
      <c r="J366" t="s">
        <v>3</v>
      </c>
      <c r="K366" t="s">
        <v>820</v>
      </c>
      <c r="L366">
        <v>1191</v>
      </c>
      <c r="N366">
        <v>1013</v>
      </c>
      <c r="O366" t="s">
        <v>818</v>
      </c>
      <c r="P366" t="s">
        <v>818</v>
      </c>
      <c r="Q366">
        <v>1</v>
      </c>
      <c r="X366">
        <v>19.95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2</v>
      </c>
      <c r="AF366" t="s">
        <v>146</v>
      </c>
      <c r="AG366">
        <v>33.665625000000006</v>
      </c>
      <c r="AH366">
        <v>2</v>
      </c>
      <c r="AI366">
        <v>68992049</v>
      </c>
      <c r="AJ366">
        <v>370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ROW(Source!A132)</f>
        <v>132</v>
      </c>
      <c r="B367">
        <v>68992060</v>
      </c>
      <c r="C367">
        <v>68992047</v>
      </c>
      <c r="D367">
        <v>64401774</v>
      </c>
      <c r="E367">
        <v>1</v>
      </c>
      <c r="F367">
        <v>1</v>
      </c>
      <c r="G367">
        <v>1</v>
      </c>
      <c r="H367">
        <v>2</v>
      </c>
      <c r="I367" t="s">
        <v>1187</v>
      </c>
      <c r="J367" t="s">
        <v>1188</v>
      </c>
      <c r="K367" t="s">
        <v>1189</v>
      </c>
      <c r="L367">
        <v>1368</v>
      </c>
      <c r="N367">
        <v>1011</v>
      </c>
      <c r="O367" t="s">
        <v>824</v>
      </c>
      <c r="P367" t="s">
        <v>824</v>
      </c>
      <c r="Q367">
        <v>1</v>
      </c>
      <c r="X367">
        <v>2.4</v>
      </c>
      <c r="Y367">
        <v>0</v>
      </c>
      <c r="Z367">
        <v>96.89</v>
      </c>
      <c r="AA367">
        <v>13.5</v>
      </c>
      <c r="AB367">
        <v>0</v>
      </c>
      <c r="AC367">
        <v>0</v>
      </c>
      <c r="AD367">
        <v>1</v>
      </c>
      <c r="AE367">
        <v>0</v>
      </c>
      <c r="AF367" t="s">
        <v>146</v>
      </c>
      <c r="AG367">
        <v>4.0500000000000007</v>
      </c>
      <c r="AH367">
        <v>2</v>
      </c>
      <c r="AI367">
        <v>68992050</v>
      </c>
      <c r="AJ367">
        <v>371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ROW(Source!A132)</f>
        <v>132</v>
      </c>
      <c r="B368">
        <v>68992061</v>
      </c>
      <c r="C368">
        <v>68992047</v>
      </c>
      <c r="D368">
        <v>64401959</v>
      </c>
      <c r="E368">
        <v>1</v>
      </c>
      <c r="F368">
        <v>1</v>
      </c>
      <c r="G368">
        <v>1</v>
      </c>
      <c r="H368">
        <v>2</v>
      </c>
      <c r="I368" t="s">
        <v>859</v>
      </c>
      <c r="J368" t="s">
        <v>860</v>
      </c>
      <c r="K368" t="s">
        <v>861</v>
      </c>
      <c r="L368">
        <v>1368</v>
      </c>
      <c r="N368">
        <v>1011</v>
      </c>
      <c r="O368" t="s">
        <v>824</v>
      </c>
      <c r="P368" t="s">
        <v>824</v>
      </c>
      <c r="Q368">
        <v>1</v>
      </c>
      <c r="X368">
        <v>17</v>
      </c>
      <c r="Y368">
        <v>0</v>
      </c>
      <c r="Z368">
        <v>31.26</v>
      </c>
      <c r="AA368">
        <v>13.5</v>
      </c>
      <c r="AB368">
        <v>0</v>
      </c>
      <c r="AC368">
        <v>0</v>
      </c>
      <c r="AD368">
        <v>1</v>
      </c>
      <c r="AE368">
        <v>0</v>
      </c>
      <c r="AF368" t="s">
        <v>146</v>
      </c>
      <c r="AG368">
        <v>28.687500000000004</v>
      </c>
      <c r="AH368">
        <v>2</v>
      </c>
      <c r="AI368">
        <v>68992051</v>
      </c>
      <c r="AJ368">
        <v>372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ROW(Source!A132)</f>
        <v>132</v>
      </c>
      <c r="B369">
        <v>68992062</v>
      </c>
      <c r="C369">
        <v>68992047</v>
      </c>
      <c r="D369">
        <v>64402691</v>
      </c>
      <c r="E369">
        <v>1</v>
      </c>
      <c r="F369">
        <v>1</v>
      </c>
      <c r="G369">
        <v>1</v>
      </c>
      <c r="H369">
        <v>2</v>
      </c>
      <c r="I369" t="s">
        <v>825</v>
      </c>
      <c r="J369" t="s">
        <v>826</v>
      </c>
      <c r="K369" t="s">
        <v>827</v>
      </c>
      <c r="L369">
        <v>1368</v>
      </c>
      <c r="N369">
        <v>1011</v>
      </c>
      <c r="O369" t="s">
        <v>824</v>
      </c>
      <c r="P369" t="s">
        <v>824</v>
      </c>
      <c r="Q369">
        <v>1</v>
      </c>
      <c r="X369">
        <v>0.55000000000000004</v>
      </c>
      <c r="Y369">
        <v>0</v>
      </c>
      <c r="Z369">
        <v>65.709999999999994</v>
      </c>
      <c r="AA369">
        <v>11.6</v>
      </c>
      <c r="AB369">
        <v>0</v>
      </c>
      <c r="AC369">
        <v>0</v>
      </c>
      <c r="AD369">
        <v>1</v>
      </c>
      <c r="AE369">
        <v>0</v>
      </c>
      <c r="AF369" t="s">
        <v>146</v>
      </c>
      <c r="AG369">
        <v>0.92812500000000009</v>
      </c>
      <c r="AH369">
        <v>2</v>
      </c>
      <c r="AI369">
        <v>68992052</v>
      </c>
      <c r="AJ369">
        <v>373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ROW(Source!A132)</f>
        <v>132</v>
      </c>
      <c r="B370">
        <v>68992063</v>
      </c>
      <c r="C370">
        <v>68992047</v>
      </c>
      <c r="D370">
        <v>64255009</v>
      </c>
      <c r="E370">
        <v>1</v>
      </c>
      <c r="F370">
        <v>1</v>
      </c>
      <c r="G370">
        <v>1</v>
      </c>
      <c r="H370">
        <v>3</v>
      </c>
      <c r="I370" t="s">
        <v>963</v>
      </c>
      <c r="J370" t="s">
        <v>964</v>
      </c>
      <c r="K370" t="s">
        <v>965</v>
      </c>
      <c r="L370">
        <v>1346</v>
      </c>
      <c r="N370">
        <v>1009</v>
      </c>
      <c r="O370" t="s">
        <v>170</v>
      </c>
      <c r="P370" t="s">
        <v>170</v>
      </c>
      <c r="Q370">
        <v>1</v>
      </c>
      <c r="X370">
        <v>1</v>
      </c>
      <c r="Y370">
        <v>9.0399999999999991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0</v>
      </c>
      <c r="AF370" t="s">
        <v>3</v>
      </c>
      <c r="AG370">
        <v>1</v>
      </c>
      <c r="AH370">
        <v>2</v>
      </c>
      <c r="AI370">
        <v>68992055</v>
      </c>
      <c r="AJ370">
        <v>376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ROW(Source!A132)</f>
        <v>132</v>
      </c>
      <c r="B371">
        <v>68992064</v>
      </c>
      <c r="C371">
        <v>68992047</v>
      </c>
      <c r="D371">
        <v>64255040</v>
      </c>
      <c r="E371">
        <v>1</v>
      </c>
      <c r="F371">
        <v>1</v>
      </c>
      <c r="G371">
        <v>1</v>
      </c>
      <c r="H371">
        <v>3</v>
      </c>
      <c r="I371" t="s">
        <v>1321</v>
      </c>
      <c r="J371" t="s">
        <v>1322</v>
      </c>
      <c r="K371" t="s">
        <v>1323</v>
      </c>
      <c r="L371">
        <v>1348</v>
      </c>
      <c r="N371">
        <v>1009</v>
      </c>
      <c r="O371" t="s">
        <v>71</v>
      </c>
      <c r="P371" t="s">
        <v>71</v>
      </c>
      <c r="Q371">
        <v>1000</v>
      </c>
      <c r="X371">
        <v>0</v>
      </c>
      <c r="Y371">
        <v>35011</v>
      </c>
      <c r="Z371">
        <v>0</v>
      </c>
      <c r="AA371">
        <v>0</v>
      </c>
      <c r="AB371">
        <v>0</v>
      </c>
      <c r="AC371">
        <v>1</v>
      </c>
      <c r="AD371">
        <v>0</v>
      </c>
      <c r="AE371">
        <v>0</v>
      </c>
      <c r="AF371" t="s">
        <v>3</v>
      </c>
      <c r="AG371">
        <v>0</v>
      </c>
      <c r="AH371">
        <v>3</v>
      </c>
      <c r="AI371">
        <v>-1</v>
      </c>
      <c r="AJ371" t="s">
        <v>3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ROW(Source!A132)</f>
        <v>132</v>
      </c>
      <c r="B372">
        <v>68992065</v>
      </c>
      <c r="C372">
        <v>68992047</v>
      </c>
      <c r="D372">
        <v>64242787</v>
      </c>
      <c r="E372">
        <v>56</v>
      </c>
      <c r="F372">
        <v>1</v>
      </c>
      <c r="G372">
        <v>1</v>
      </c>
      <c r="H372">
        <v>3</v>
      </c>
      <c r="I372" t="s">
        <v>1324</v>
      </c>
      <c r="J372" t="s">
        <v>3</v>
      </c>
      <c r="K372" t="s">
        <v>1325</v>
      </c>
      <c r="L372">
        <v>1346</v>
      </c>
      <c r="N372">
        <v>1009</v>
      </c>
      <c r="O372" t="s">
        <v>170</v>
      </c>
      <c r="P372" t="s">
        <v>170</v>
      </c>
      <c r="Q372">
        <v>1</v>
      </c>
      <c r="X372">
        <v>0.56999999999999995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 t="s">
        <v>3</v>
      </c>
      <c r="AG372">
        <v>0.56999999999999995</v>
      </c>
      <c r="AH372">
        <v>3</v>
      </c>
      <c r="AI372">
        <v>-1</v>
      </c>
      <c r="AJ372" t="s">
        <v>3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ROW(Source!A132)</f>
        <v>132</v>
      </c>
      <c r="B373">
        <v>68992066</v>
      </c>
      <c r="C373">
        <v>68992047</v>
      </c>
      <c r="D373">
        <v>64243200</v>
      </c>
      <c r="E373">
        <v>56</v>
      </c>
      <c r="F373">
        <v>1</v>
      </c>
      <c r="G373">
        <v>1</v>
      </c>
      <c r="H373">
        <v>3</v>
      </c>
      <c r="I373" t="s">
        <v>1326</v>
      </c>
      <c r="J373" t="s">
        <v>3</v>
      </c>
      <c r="K373" t="s">
        <v>1327</v>
      </c>
      <c r="L373">
        <v>1327</v>
      </c>
      <c r="N373">
        <v>1005</v>
      </c>
      <c r="O373" t="s">
        <v>46</v>
      </c>
      <c r="P373" t="s">
        <v>46</v>
      </c>
      <c r="Q373">
        <v>1</v>
      </c>
      <c r="X373">
        <v>100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 t="s">
        <v>3</v>
      </c>
      <c r="AG373">
        <v>100</v>
      </c>
      <c r="AH373">
        <v>3</v>
      </c>
      <c r="AI373">
        <v>-1</v>
      </c>
      <c r="AJ373" t="s">
        <v>3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ROW(Source!A137)</f>
        <v>137</v>
      </c>
      <c r="B374">
        <v>68992082</v>
      </c>
      <c r="C374">
        <v>68992071</v>
      </c>
      <c r="D374">
        <v>37080781</v>
      </c>
      <c r="E374">
        <v>56</v>
      </c>
      <c r="F374">
        <v>1</v>
      </c>
      <c r="G374">
        <v>1</v>
      </c>
      <c r="H374">
        <v>1</v>
      </c>
      <c r="I374" t="s">
        <v>816</v>
      </c>
      <c r="J374" t="s">
        <v>3</v>
      </c>
      <c r="K374" t="s">
        <v>817</v>
      </c>
      <c r="L374">
        <v>1191</v>
      </c>
      <c r="N374">
        <v>1013</v>
      </c>
      <c r="O374" t="s">
        <v>818</v>
      </c>
      <c r="P374" t="s">
        <v>818</v>
      </c>
      <c r="Q374">
        <v>1</v>
      </c>
      <c r="X374">
        <v>322.73</v>
      </c>
      <c r="Y374">
        <v>0</v>
      </c>
      <c r="Z374">
        <v>0</v>
      </c>
      <c r="AA374">
        <v>0</v>
      </c>
      <c r="AB374">
        <v>9.92</v>
      </c>
      <c r="AC374">
        <v>0</v>
      </c>
      <c r="AD374">
        <v>1</v>
      </c>
      <c r="AE374">
        <v>1</v>
      </c>
      <c r="AF374" t="s">
        <v>147</v>
      </c>
      <c r="AG374">
        <v>501.03832500000004</v>
      </c>
      <c r="AH374">
        <v>2</v>
      </c>
      <c r="AI374">
        <v>68992072</v>
      </c>
      <c r="AJ374">
        <v>379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ROW(Source!A137)</f>
        <v>137</v>
      </c>
      <c r="B375">
        <v>68992083</v>
      </c>
      <c r="C375">
        <v>68992071</v>
      </c>
      <c r="D375">
        <v>37064876</v>
      </c>
      <c r="E375">
        <v>56</v>
      </c>
      <c r="F375">
        <v>1</v>
      </c>
      <c r="G375">
        <v>1</v>
      </c>
      <c r="H375">
        <v>1</v>
      </c>
      <c r="I375" t="s">
        <v>819</v>
      </c>
      <c r="J375" t="s">
        <v>3</v>
      </c>
      <c r="K375" t="s">
        <v>820</v>
      </c>
      <c r="L375">
        <v>1191</v>
      </c>
      <c r="N375">
        <v>1013</v>
      </c>
      <c r="O375" t="s">
        <v>818</v>
      </c>
      <c r="P375" t="s">
        <v>818</v>
      </c>
      <c r="Q375">
        <v>1</v>
      </c>
      <c r="X375">
        <v>19.95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2</v>
      </c>
      <c r="AF375" t="s">
        <v>146</v>
      </c>
      <c r="AG375">
        <v>33.665625000000006</v>
      </c>
      <c r="AH375">
        <v>2</v>
      </c>
      <c r="AI375">
        <v>68992073</v>
      </c>
      <c r="AJ375">
        <v>380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ROW(Source!A137)</f>
        <v>137</v>
      </c>
      <c r="B376">
        <v>68992084</v>
      </c>
      <c r="C376">
        <v>68992071</v>
      </c>
      <c r="D376">
        <v>64401774</v>
      </c>
      <c r="E376">
        <v>1</v>
      </c>
      <c r="F376">
        <v>1</v>
      </c>
      <c r="G376">
        <v>1</v>
      </c>
      <c r="H376">
        <v>2</v>
      </c>
      <c r="I376" t="s">
        <v>1187</v>
      </c>
      <c r="J376" t="s">
        <v>1188</v>
      </c>
      <c r="K376" t="s">
        <v>1189</v>
      </c>
      <c r="L376">
        <v>1368</v>
      </c>
      <c r="N376">
        <v>1011</v>
      </c>
      <c r="O376" t="s">
        <v>824</v>
      </c>
      <c r="P376" t="s">
        <v>824</v>
      </c>
      <c r="Q376">
        <v>1</v>
      </c>
      <c r="X376">
        <v>2.4</v>
      </c>
      <c r="Y376">
        <v>0</v>
      </c>
      <c r="Z376">
        <v>96.89</v>
      </c>
      <c r="AA376">
        <v>13.5</v>
      </c>
      <c r="AB376">
        <v>0</v>
      </c>
      <c r="AC376">
        <v>0</v>
      </c>
      <c r="AD376">
        <v>1</v>
      </c>
      <c r="AE376">
        <v>0</v>
      </c>
      <c r="AF376" t="s">
        <v>146</v>
      </c>
      <c r="AG376">
        <v>4.0500000000000007</v>
      </c>
      <c r="AH376">
        <v>2</v>
      </c>
      <c r="AI376">
        <v>68992074</v>
      </c>
      <c r="AJ376">
        <v>381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ROW(Source!A137)</f>
        <v>137</v>
      </c>
      <c r="B377">
        <v>68992085</v>
      </c>
      <c r="C377">
        <v>68992071</v>
      </c>
      <c r="D377">
        <v>64401959</v>
      </c>
      <c r="E377">
        <v>1</v>
      </c>
      <c r="F377">
        <v>1</v>
      </c>
      <c r="G377">
        <v>1</v>
      </c>
      <c r="H377">
        <v>2</v>
      </c>
      <c r="I377" t="s">
        <v>859</v>
      </c>
      <c r="J377" t="s">
        <v>860</v>
      </c>
      <c r="K377" t="s">
        <v>861</v>
      </c>
      <c r="L377">
        <v>1368</v>
      </c>
      <c r="N377">
        <v>1011</v>
      </c>
      <c r="O377" t="s">
        <v>824</v>
      </c>
      <c r="P377" t="s">
        <v>824</v>
      </c>
      <c r="Q377">
        <v>1</v>
      </c>
      <c r="X377">
        <v>17</v>
      </c>
      <c r="Y377">
        <v>0</v>
      </c>
      <c r="Z377">
        <v>31.26</v>
      </c>
      <c r="AA377">
        <v>13.5</v>
      </c>
      <c r="AB377">
        <v>0</v>
      </c>
      <c r="AC377">
        <v>0</v>
      </c>
      <c r="AD377">
        <v>1</v>
      </c>
      <c r="AE377">
        <v>0</v>
      </c>
      <c r="AF377" t="s">
        <v>146</v>
      </c>
      <c r="AG377">
        <v>28.687500000000004</v>
      </c>
      <c r="AH377">
        <v>2</v>
      </c>
      <c r="AI377">
        <v>68992075</v>
      </c>
      <c r="AJ377">
        <v>382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ROW(Source!A137)</f>
        <v>137</v>
      </c>
      <c r="B378">
        <v>68992086</v>
      </c>
      <c r="C378">
        <v>68992071</v>
      </c>
      <c r="D378">
        <v>64402691</v>
      </c>
      <c r="E378">
        <v>1</v>
      </c>
      <c r="F378">
        <v>1</v>
      </c>
      <c r="G378">
        <v>1</v>
      </c>
      <c r="H378">
        <v>2</v>
      </c>
      <c r="I378" t="s">
        <v>825</v>
      </c>
      <c r="J378" t="s">
        <v>826</v>
      </c>
      <c r="K378" t="s">
        <v>827</v>
      </c>
      <c r="L378">
        <v>1368</v>
      </c>
      <c r="N378">
        <v>1011</v>
      </c>
      <c r="O378" t="s">
        <v>824</v>
      </c>
      <c r="P378" t="s">
        <v>824</v>
      </c>
      <c r="Q378">
        <v>1</v>
      </c>
      <c r="X378">
        <v>0.55000000000000004</v>
      </c>
      <c r="Y378">
        <v>0</v>
      </c>
      <c r="Z378">
        <v>65.709999999999994</v>
      </c>
      <c r="AA378">
        <v>11.6</v>
      </c>
      <c r="AB378">
        <v>0</v>
      </c>
      <c r="AC378">
        <v>0</v>
      </c>
      <c r="AD378">
        <v>1</v>
      </c>
      <c r="AE378">
        <v>0</v>
      </c>
      <c r="AF378" t="s">
        <v>146</v>
      </c>
      <c r="AG378">
        <v>0.92812500000000009</v>
      </c>
      <c r="AH378">
        <v>2</v>
      </c>
      <c r="AI378">
        <v>68992076</v>
      </c>
      <c r="AJ378">
        <v>383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ROW(Source!A137)</f>
        <v>137</v>
      </c>
      <c r="B379">
        <v>68992087</v>
      </c>
      <c r="C379">
        <v>68992071</v>
      </c>
      <c r="D379">
        <v>64255009</v>
      </c>
      <c r="E379">
        <v>1</v>
      </c>
      <c r="F379">
        <v>1</v>
      </c>
      <c r="G379">
        <v>1</v>
      </c>
      <c r="H379">
        <v>3</v>
      </c>
      <c r="I379" t="s">
        <v>963</v>
      </c>
      <c r="J379" t="s">
        <v>964</v>
      </c>
      <c r="K379" t="s">
        <v>965</v>
      </c>
      <c r="L379">
        <v>1346</v>
      </c>
      <c r="N379">
        <v>1009</v>
      </c>
      <c r="O379" t="s">
        <v>170</v>
      </c>
      <c r="P379" t="s">
        <v>170</v>
      </c>
      <c r="Q379">
        <v>1</v>
      </c>
      <c r="X379">
        <v>1</v>
      </c>
      <c r="Y379">
        <v>9.0399999999999991</v>
      </c>
      <c r="Z379">
        <v>0</v>
      </c>
      <c r="AA379">
        <v>0</v>
      </c>
      <c r="AB379">
        <v>0</v>
      </c>
      <c r="AC379">
        <v>0</v>
      </c>
      <c r="AD379">
        <v>1</v>
      </c>
      <c r="AE379">
        <v>0</v>
      </c>
      <c r="AF379" t="s">
        <v>3</v>
      </c>
      <c r="AG379">
        <v>1</v>
      </c>
      <c r="AH379">
        <v>2</v>
      </c>
      <c r="AI379">
        <v>68992079</v>
      </c>
      <c r="AJ379">
        <v>386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ROW(Source!A137)</f>
        <v>137</v>
      </c>
      <c r="B380">
        <v>68992088</v>
      </c>
      <c r="C380">
        <v>68992071</v>
      </c>
      <c r="D380">
        <v>64255040</v>
      </c>
      <c r="E380">
        <v>1</v>
      </c>
      <c r="F380">
        <v>1</v>
      </c>
      <c r="G380">
        <v>1</v>
      </c>
      <c r="H380">
        <v>3</v>
      </c>
      <c r="I380" t="s">
        <v>1321</v>
      </c>
      <c r="J380" t="s">
        <v>1322</v>
      </c>
      <c r="K380" t="s">
        <v>1323</v>
      </c>
      <c r="L380">
        <v>1348</v>
      </c>
      <c r="N380">
        <v>1009</v>
      </c>
      <c r="O380" t="s">
        <v>71</v>
      </c>
      <c r="P380" t="s">
        <v>71</v>
      </c>
      <c r="Q380">
        <v>1000</v>
      </c>
      <c r="X380">
        <v>0</v>
      </c>
      <c r="Y380">
        <v>35011</v>
      </c>
      <c r="Z380">
        <v>0</v>
      </c>
      <c r="AA380">
        <v>0</v>
      </c>
      <c r="AB380">
        <v>0</v>
      </c>
      <c r="AC380">
        <v>1</v>
      </c>
      <c r="AD380">
        <v>0</v>
      </c>
      <c r="AE380">
        <v>0</v>
      </c>
      <c r="AF380" t="s">
        <v>3</v>
      </c>
      <c r="AG380">
        <v>0</v>
      </c>
      <c r="AH380">
        <v>3</v>
      </c>
      <c r="AI380">
        <v>-1</v>
      </c>
      <c r="AJ380" t="s">
        <v>3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ROW(Source!A137)</f>
        <v>137</v>
      </c>
      <c r="B381">
        <v>68992089</v>
      </c>
      <c r="C381">
        <v>68992071</v>
      </c>
      <c r="D381">
        <v>64242787</v>
      </c>
      <c r="E381">
        <v>56</v>
      </c>
      <c r="F381">
        <v>1</v>
      </c>
      <c r="G381">
        <v>1</v>
      </c>
      <c r="H381">
        <v>3</v>
      </c>
      <c r="I381" t="s">
        <v>1324</v>
      </c>
      <c r="J381" t="s">
        <v>3</v>
      </c>
      <c r="K381" t="s">
        <v>1325</v>
      </c>
      <c r="L381">
        <v>1346</v>
      </c>
      <c r="N381">
        <v>1009</v>
      </c>
      <c r="O381" t="s">
        <v>170</v>
      </c>
      <c r="P381" t="s">
        <v>170</v>
      </c>
      <c r="Q381">
        <v>1</v>
      </c>
      <c r="X381">
        <v>0.56999999999999995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 t="s">
        <v>3</v>
      </c>
      <c r="AG381">
        <v>0.56999999999999995</v>
      </c>
      <c r="AH381">
        <v>3</v>
      </c>
      <c r="AI381">
        <v>-1</v>
      </c>
      <c r="AJ381" t="s">
        <v>3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ROW(Source!A137)</f>
        <v>137</v>
      </c>
      <c r="B382">
        <v>68992090</v>
      </c>
      <c r="C382">
        <v>68992071</v>
      </c>
      <c r="D382">
        <v>64243200</v>
      </c>
      <c r="E382">
        <v>56</v>
      </c>
      <c r="F382">
        <v>1</v>
      </c>
      <c r="G382">
        <v>1</v>
      </c>
      <c r="H382">
        <v>3</v>
      </c>
      <c r="I382" t="s">
        <v>1326</v>
      </c>
      <c r="J382" t="s">
        <v>3</v>
      </c>
      <c r="K382" t="s">
        <v>1327</v>
      </c>
      <c r="L382">
        <v>1327</v>
      </c>
      <c r="N382">
        <v>1005</v>
      </c>
      <c r="O382" t="s">
        <v>46</v>
      </c>
      <c r="P382" t="s">
        <v>46</v>
      </c>
      <c r="Q382">
        <v>1</v>
      </c>
      <c r="X382">
        <v>100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 t="s">
        <v>3</v>
      </c>
      <c r="AG382">
        <v>100</v>
      </c>
      <c r="AH382">
        <v>3</v>
      </c>
      <c r="AI382">
        <v>-1</v>
      </c>
      <c r="AJ382" t="s">
        <v>3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ROW(Source!A142)</f>
        <v>142</v>
      </c>
      <c r="B383">
        <v>68992106</v>
      </c>
      <c r="C383">
        <v>68992095</v>
      </c>
      <c r="D383">
        <v>37080781</v>
      </c>
      <c r="E383">
        <v>56</v>
      </c>
      <c r="F383">
        <v>1</v>
      </c>
      <c r="G383">
        <v>1</v>
      </c>
      <c r="H383">
        <v>1</v>
      </c>
      <c r="I383" t="s">
        <v>816</v>
      </c>
      <c r="J383" t="s">
        <v>3</v>
      </c>
      <c r="K383" t="s">
        <v>817</v>
      </c>
      <c r="L383">
        <v>1191</v>
      </c>
      <c r="N383">
        <v>1013</v>
      </c>
      <c r="O383" t="s">
        <v>818</v>
      </c>
      <c r="P383" t="s">
        <v>818</v>
      </c>
      <c r="Q383">
        <v>1</v>
      </c>
      <c r="X383">
        <v>64</v>
      </c>
      <c r="Y383">
        <v>0</v>
      </c>
      <c r="Z383">
        <v>0</v>
      </c>
      <c r="AA383">
        <v>0</v>
      </c>
      <c r="AB383">
        <v>9.92</v>
      </c>
      <c r="AC383">
        <v>0</v>
      </c>
      <c r="AD383">
        <v>1</v>
      </c>
      <c r="AE383">
        <v>1</v>
      </c>
      <c r="AF383" t="s">
        <v>147</v>
      </c>
      <c r="AG383">
        <v>99.36</v>
      </c>
      <c r="AH383">
        <v>2</v>
      </c>
      <c r="AI383">
        <v>68992096</v>
      </c>
      <c r="AJ383">
        <v>389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ROW(Source!A142)</f>
        <v>142</v>
      </c>
      <c r="B384">
        <v>68992107</v>
      </c>
      <c r="C384">
        <v>68992095</v>
      </c>
      <c r="D384">
        <v>37064876</v>
      </c>
      <c r="E384">
        <v>56</v>
      </c>
      <c r="F384">
        <v>1</v>
      </c>
      <c r="G384">
        <v>1</v>
      </c>
      <c r="H384">
        <v>1</v>
      </c>
      <c r="I384" t="s">
        <v>819</v>
      </c>
      <c r="J384" t="s">
        <v>3</v>
      </c>
      <c r="K384" t="s">
        <v>820</v>
      </c>
      <c r="L384">
        <v>1191</v>
      </c>
      <c r="N384">
        <v>1013</v>
      </c>
      <c r="O384" t="s">
        <v>818</v>
      </c>
      <c r="P384" t="s">
        <v>818</v>
      </c>
      <c r="Q384">
        <v>1</v>
      </c>
      <c r="X384">
        <v>0.02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2</v>
      </c>
      <c r="AF384" t="s">
        <v>146</v>
      </c>
      <c r="AG384">
        <v>3.3750000000000002E-2</v>
      </c>
      <c r="AH384">
        <v>2</v>
      </c>
      <c r="AI384">
        <v>68992097</v>
      </c>
      <c r="AJ384">
        <v>390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ROW(Source!A142)</f>
        <v>142</v>
      </c>
      <c r="B385">
        <v>68992108</v>
      </c>
      <c r="C385">
        <v>68992095</v>
      </c>
      <c r="D385">
        <v>64401959</v>
      </c>
      <c r="E385">
        <v>1</v>
      </c>
      <c r="F385">
        <v>1</v>
      </c>
      <c r="G385">
        <v>1</v>
      </c>
      <c r="H385">
        <v>2</v>
      </c>
      <c r="I385" t="s">
        <v>859</v>
      </c>
      <c r="J385" t="s">
        <v>860</v>
      </c>
      <c r="K385" t="s">
        <v>861</v>
      </c>
      <c r="L385">
        <v>1368</v>
      </c>
      <c r="N385">
        <v>1011</v>
      </c>
      <c r="O385" t="s">
        <v>824</v>
      </c>
      <c r="P385" t="s">
        <v>824</v>
      </c>
      <c r="Q385">
        <v>1</v>
      </c>
      <c r="X385">
        <v>0.01</v>
      </c>
      <c r="Y385">
        <v>0</v>
      </c>
      <c r="Z385">
        <v>31.26</v>
      </c>
      <c r="AA385">
        <v>13.5</v>
      </c>
      <c r="AB385">
        <v>0</v>
      </c>
      <c r="AC385">
        <v>0</v>
      </c>
      <c r="AD385">
        <v>1</v>
      </c>
      <c r="AE385">
        <v>0</v>
      </c>
      <c r="AF385" t="s">
        <v>146</v>
      </c>
      <c r="AG385">
        <v>1.6875000000000001E-2</v>
      </c>
      <c r="AH385">
        <v>2</v>
      </c>
      <c r="AI385">
        <v>68992098</v>
      </c>
      <c r="AJ385">
        <v>391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ROW(Source!A142)</f>
        <v>142</v>
      </c>
      <c r="B386">
        <v>68992109</v>
      </c>
      <c r="C386">
        <v>68992095</v>
      </c>
      <c r="D386">
        <v>64402691</v>
      </c>
      <c r="E386">
        <v>1</v>
      </c>
      <c r="F386">
        <v>1</v>
      </c>
      <c r="G386">
        <v>1</v>
      </c>
      <c r="H386">
        <v>2</v>
      </c>
      <c r="I386" t="s">
        <v>825</v>
      </c>
      <c r="J386" t="s">
        <v>826</v>
      </c>
      <c r="K386" t="s">
        <v>827</v>
      </c>
      <c r="L386">
        <v>1368</v>
      </c>
      <c r="N386">
        <v>1011</v>
      </c>
      <c r="O386" t="s">
        <v>824</v>
      </c>
      <c r="P386" t="s">
        <v>824</v>
      </c>
      <c r="Q386">
        <v>1</v>
      </c>
      <c r="X386">
        <v>0.01</v>
      </c>
      <c r="Y386">
        <v>0</v>
      </c>
      <c r="Z386">
        <v>65.709999999999994</v>
      </c>
      <c r="AA386">
        <v>11.6</v>
      </c>
      <c r="AB386">
        <v>0</v>
      </c>
      <c r="AC386">
        <v>0</v>
      </c>
      <c r="AD386">
        <v>1</v>
      </c>
      <c r="AE386">
        <v>0</v>
      </c>
      <c r="AF386" t="s">
        <v>146</v>
      </c>
      <c r="AG386">
        <v>1.6875000000000001E-2</v>
      </c>
      <c r="AH386">
        <v>2</v>
      </c>
      <c r="AI386">
        <v>68992099</v>
      </c>
      <c r="AJ386">
        <v>392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ROW(Source!A142)</f>
        <v>142</v>
      </c>
      <c r="B387">
        <v>68992110</v>
      </c>
      <c r="C387">
        <v>68992095</v>
      </c>
      <c r="D387">
        <v>64252424</v>
      </c>
      <c r="E387">
        <v>1</v>
      </c>
      <c r="F387">
        <v>1</v>
      </c>
      <c r="G387">
        <v>1</v>
      </c>
      <c r="H387">
        <v>3</v>
      </c>
      <c r="I387" t="s">
        <v>1190</v>
      </c>
      <c r="J387" t="s">
        <v>1191</v>
      </c>
      <c r="K387" t="s">
        <v>1192</v>
      </c>
      <c r="L387">
        <v>1327</v>
      </c>
      <c r="N387">
        <v>1005</v>
      </c>
      <c r="O387" t="s">
        <v>46</v>
      </c>
      <c r="P387" t="s">
        <v>46</v>
      </c>
      <c r="Q387">
        <v>1</v>
      </c>
      <c r="X387">
        <v>107</v>
      </c>
      <c r="Y387">
        <v>24.8</v>
      </c>
      <c r="Z387">
        <v>0</v>
      </c>
      <c r="AA387">
        <v>0</v>
      </c>
      <c r="AB387">
        <v>0</v>
      </c>
      <c r="AC387">
        <v>0</v>
      </c>
      <c r="AD387">
        <v>1</v>
      </c>
      <c r="AE387">
        <v>0</v>
      </c>
      <c r="AF387" t="s">
        <v>297</v>
      </c>
      <c r="AG387">
        <v>0</v>
      </c>
      <c r="AH387">
        <v>2</v>
      </c>
      <c r="AI387">
        <v>68992100</v>
      </c>
      <c r="AJ387">
        <v>393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ROW(Source!A142)</f>
        <v>142</v>
      </c>
      <c r="B388">
        <v>68992111</v>
      </c>
      <c r="C388">
        <v>68992095</v>
      </c>
      <c r="D388">
        <v>64256200</v>
      </c>
      <c r="E388">
        <v>1</v>
      </c>
      <c r="F388">
        <v>1</v>
      </c>
      <c r="G388">
        <v>1</v>
      </c>
      <c r="H388">
        <v>3</v>
      </c>
      <c r="I388" t="s">
        <v>1034</v>
      </c>
      <c r="J388" t="s">
        <v>1035</v>
      </c>
      <c r="K388" t="s">
        <v>1036</v>
      </c>
      <c r="L388">
        <v>1346</v>
      </c>
      <c r="N388">
        <v>1009</v>
      </c>
      <c r="O388" t="s">
        <v>170</v>
      </c>
      <c r="P388" t="s">
        <v>170</v>
      </c>
      <c r="Q388">
        <v>1</v>
      </c>
      <c r="X388">
        <v>0.15</v>
      </c>
      <c r="Y388">
        <v>1.82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 t="s">
        <v>297</v>
      </c>
      <c r="AG388">
        <v>0</v>
      </c>
      <c r="AH388">
        <v>2</v>
      </c>
      <c r="AI388">
        <v>68992101</v>
      </c>
      <c r="AJ388">
        <v>394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ROW(Source!A142)</f>
        <v>142</v>
      </c>
      <c r="B389">
        <v>68992112</v>
      </c>
      <c r="C389">
        <v>68992095</v>
      </c>
      <c r="D389">
        <v>64283091</v>
      </c>
      <c r="E389">
        <v>1</v>
      </c>
      <c r="F389">
        <v>1</v>
      </c>
      <c r="G389">
        <v>1</v>
      </c>
      <c r="H389">
        <v>3</v>
      </c>
      <c r="I389" t="s">
        <v>1193</v>
      </c>
      <c r="J389" t="s">
        <v>1194</v>
      </c>
      <c r="K389" t="s">
        <v>1195</v>
      </c>
      <c r="L389">
        <v>1348</v>
      </c>
      <c r="N389">
        <v>1009</v>
      </c>
      <c r="O389" t="s">
        <v>71</v>
      </c>
      <c r="P389" t="s">
        <v>71</v>
      </c>
      <c r="Q389">
        <v>1000</v>
      </c>
      <c r="X389">
        <v>7.0000000000000001E-3</v>
      </c>
      <c r="Y389">
        <v>18500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0</v>
      </c>
      <c r="AF389" t="s">
        <v>297</v>
      </c>
      <c r="AG389">
        <v>0</v>
      </c>
      <c r="AH389">
        <v>2</v>
      </c>
      <c r="AI389">
        <v>68992102</v>
      </c>
      <c r="AJ389">
        <v>395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ROW(Source!A142)</f>
        <v>142</v>
      </c>
      <c r="B390">
        <v>68992113</v>
      </c>
      <c r="C390">
        <v>68992095</v>
      </c>
      <c r="D390">
        <v>64285099</v>
      </c>
      <c r="E390">
        <v>1</v>
      </c>
      <c r="F390">
        <v>1</v>
      </c>
      <c r="G390">
        <v>1</v>
      </c>
      <c r="H390">
        <v>3</v>
      </c>
      <c r="I390" t="s">
        <v>1196</v>
      </c>
      <c r="J390" t="s">
        <v>1197</v>
      </c>
      <c r="K390" t="s">
        <v>1198</v>
      </c>
      <c r="L390">
        <v>1346</v>
      </c>
      <c r="N390">
        <v>1009</v>
      </c>
      <c r="O390" t="s">
        <v>170</v>
      </c>
      <c r="P390" t="s">
        <v>170</v>
      </c>
      <c r="Q390">
        <v>1</v>
      </c>
      <c r="X390">
        <v>13</v>
      </c>
      <c r="Y390">
        <v>6.67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297</v>
      </c>
      <c r="AG390">
        <v>0</v>
      </c>
      <c r="AH390">
        <v>2</v>
      </c>
      <c r="AI390">
        <v>68992104</v>
      </c>
      <c r="AJ390">
        <v>397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ROW(Source!A142)</f>
        <v>142</v>
      </c>
      <c r="B391">
        <v>68992114</v>
      </c>
      <c r="C391">
        <v>68992095</v>
      </c>
      <c r="D391">
        <v>64285122</v>
      </c>
      <c r="E391">
        <v>1</v>
      </c>
      <c r="F391">
        <v>1</v>
      </c>
      <c r="G391">
        <v>1</v>
      </c>
      <c r="H391">
        <v>3</v>
      </c>
      <c r="I391" t="s">
        <v>1199</v>
      </c>
      <c r="J391" t="s">
        <v>1200</v>
      </c>
      <c r="K391" t="s">
        <v>1201</v>
      </c>
      <c r="L391">
        <v>1348</v>
      </c>
      <c r="N391">
        <v>1009</v>
      </c>
      <c r="O391" t="s">
        <v>71</v>
      </c>
      <c r="P391" t="s">
        <v>71</v>
      </c>
      <c r="Q391">
        <v>1000</v>
      </c>
      <c r="X391">
        <v>5.0000000000000001E-3</v>
      </c>
      <c r="Y391">
        <v>4294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0</v>
      </c>
      <c r="AF391" t="s">
        <v>297</v>
      </c>
      <c r="AG391">
        <v>0</v>
      </c>
      <c r="AH391">
        <v>2</v>
      </c>
      <c r="AI391">
        <v>68992105</v>
      </c>
      <c r="AJ391">
        <v>398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ROW(Source!A144)</f>
        <v>144</v>
      </c>
      <c r="B392">
        <v>68992128</v>
      </c>
      <c r="C392">
        <v>68992118</v>
      </c>
      <c r="D392">
        <v>37080781</v>
      </c>
      <c r="E392">
        <v>56</v>
      </c>
      <c r="F392">
        <v>1</v>
      </c>
      <c r="G392">
        <v>1</v>
      </c>
      <c r="H392">
        <v>1</v>
      </c>
      <c r="I392" t="s">
        <v>816</v>
      </c>
      <c r="J392" t="s">
        <v>3</v>
      </c>
      <c r="K392" t="s">
        <v>817</v>
      </c>
      <c r="L392">
        <v>1191</v>
      </c>
      <c r="N392">
        <v>1013</v>
      </c>
      <c r="O392" t="s">
        <v>818</v>
      </c>
      <c r="P392" t="s">
        <v>818</v>
      </c>
      <c r="Q392">
        <v>1</v>
      </c>
      <c r="X392">
        <v>68.239999999999995</v>
      </c>
      <c r="Y392">
        <v>0</v>
      </c>
      <c r="Z392">
        <v>0</v>
      </c>
      <c r="AA392">
        <v>0</v>
      </c>
      <c r="AB392">
        <v>9.92</v>
      </c>
      <c r="AC392">
        <v>0</v>
      </c>
      <c r="AD392">
        <v>1</v>
      </c>
      <c r="AE392">
        <v>1</v>
      </c>
      <c r="AF392" t="s">
        <v>200</v>
      </c>
      <c r="AG392">
        <v>92.123999999999995</v>
      </c>
      <c r="AH392">
        <v>2</v>
      </c>
      <c r="AI392">
        <v>68992119</v>
      </c>
      <c r="AJ392">
        <v>399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ROW(Source!A144)</f>
        <v>144</v>
      </c>
      <c r="B393">
        <v>68992129</v>
      </c>
      <c r="C393">
        <v>68992118</v>
      </c>
      <c r="D393">
        <v>37064876</v>
      </c>
      <c r="E393">
        <v>56</v>
      </c>
      <c r="F393">
        <v>1</v>
      </c>
      <c r="G393">
        <v>1</v>
      </c>
      <c r="H393">
        <v>1</v>
      </c>
      <c r="I393" t="s">
        <v>819</v>
      </c>
      <c r="J393" t="s">
        <v>3</v>
      </c>
      <c r="K393" t="s">
        <v>820</v>
      </c>
      <c r="L393">
        <v>1191</v>
      </c>
      <c r="N393">
        <v>1013</v>
      </c>
      <c r="O393" t="s">
        <v>818</v>
      </c>
      <c r="P393" t="s">
        <v>818</v>
      </c>
      <c r="Q393">
        <v>1</v>
      </c>
      <c r="X393">
        <v>0.2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2</v>
      </c>
      <c r="AF393" t="s">
        <v>200</v>
      </c>
      <c r="AG393">
        <v>0.27</v>
      </c>
      <c r="AH393">
        <v>2</v>
      </c>
      <c r="AI393">
        <v>68992120</v>
      </c>
      <c r="AJ393">
        <v>400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ROW(Source!A144)</f>
        <v>144</v>
      </c>
      <c r="B394">
        <v>68992130</v>
      </c>
      <c r="C394">
        <v>68992118</v>
      </c>
      <c r="D394">
        <v>64401763</v>
      </c>
      <c r="E394">
        <v>1</v>
      </c>
      <c r="F394">
        <v>1</v>
      </c>
      <c r="G394">
        <v>1</v>
      </c>
      <c r="H394">
        <v>2</v>
      </c>
      <c r="I394" t="s">
        <v>821</v>
      </c>
      <c r="J394" t="s">
        <v>822</v>
      </c>
      <c r="K394" t="s">
        <v>823</v>
      </c>
      <c r="L394">
        <v>1368</v>
      </c>
      <c r="N394">
        <v>1011</v>
      </c>
      <c r="O394" t="s">
        <v>824</v>
      </c>
      <c r="P394" t="s">
        <v>824</v>
      </c>
      <c r="Q394">
        <v>1</v>
      </c>
      <c r="X394">
        <v>0.1</v>
      </c>
      <c r="Y394">
        <v>0</v>
      </c>
      <c r="Z394">
        <v>115.4</v>
      </c>
      <c r="AA394">
        <v>13.5</v>
      </c>
      <c r="AB394">
        <v>0</v>
      </c>
      <c r="AC394">
        <v>0</v>
      </c>
      <c r="AD394">
        <v>1</v>
      </c>
      <c r="AE394">
        <v>0</v>
      </c>
      <c r="AF394" t="s">
        <v>200</v>
      </c>
      <c r="AG394">
        <v>0.13500000000000001</v>
      </c>
      <c r="AH394">
        <v>2</v>
      </c>
      <c r="AI394">
        <v>68992121</v>
      </c>
      <c r="AJ394">
        <v>401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ROW(Source!A144)</f>
        <v>144</v>
      </c>
      <c r="B395">
        <v>68992131</v>
      </c>
      <c r="C395">
        <v>68992118</v>
      </c>
      <c r="D395">
        <v>64402691</v>
      </c>
      <c r="E395">
        <v>1</v>
      </c>
      <c r="F395">
        <v>1</v>
      </c>
      <c r="G395">
        <v>1</v>
      </c>
      <c r="H395">
        <v>2</v>
      </c>
      <c r="I395" t="s">
        <v>825</v>
      </c>
      <c r="J395" t="s">
        <v>826</v>
      </c>
      <c r="K395" t="s">
        <v>827</v>
      </c>
      <c r="L395">
        <v>1368</v>
      </c>
      <c r="N395">
        <v>1011</v>
      </c>
      <c r="O395" t="s">
        <v>824</v>
      </c>
      <c r="P395" t="s">
        <v>824</v>
      </c>
      <c r="Q395">
        <v>1</v>
      </c>
      <c r="X395">
        <v>0.1</v>
      </c>
      <c r="Y395">
        <v>0</v>
      </c>
      <c r="Z395">
        <v>65.709999999999994</v>
      </c>
      <c r="AA395">
        <v>11.6</v>
      </c>
      <c r="AB395">
        <v>0</v>
      </c>
      <c r="AC395">
        <v>0</v>
      </c>
      <c r="AD395">
        <v>1</v>
      </c>
      <c r="AE395">
        <v>0</v>
      </c>
      <c r="AF395" t="s">
        <v>200</v>
      </c>
      <c r="AG395">
        <v>0.13500000000000001</v>
      </c>
      <c r="AH395">
        <v>2</v>
      </c>
      <c r="AI395">
        <v>68992122</v>
      </c>
      <c r="AJ395">
        <v>402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ROW(Source!A144)</f>
        <v>144</v>
      </c>
      <c r="B396">
        <v>68992132</v>
      </c>
      <c r="C396">
        <v>68992118</v>
      </c>
      <c r="D396">
        <v>64253038</v>
      </c>
      <c r="E396">
        <v>1</v>
      </c>
      <c r="F396">
        <v>1</v>
      </c>
      <c r="G396">
        <v>1</v>
      </c>
      <c r="H396">
        <v>3</v>
      </c>
      <c r="I396" t="s">
        <v>828</v>
      </c>
      <c r="J396" t="s">
        <v>829</v>
      </c>
      <c r="K396" t="s">
        <v>830</v>
      </c>
      <c r="L396">
        <v>1346</v>
      </c>
      <c r="N396">
        <v>1009</v>
      </c>
      <c r="O396" t="s">
        <v>170</v>
      </c>
      <c r="P396" t="s">
        <v>170</v>
      </c>
      <c r="Q396">
        <v>1</v>
      </c>
      <c r="X396">
        <v>0.31</v>
      </c>
      <c r="Y396">
        <v>30.4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3</v>
      </c>
      <c r="AG396">
        <v>0.31</v>
      </c>
      <c r="AH396">
        <v>2</v>
      </c>
      <c r="AI396">
        <v>68992123</v>
      </c>
      <c r="AJ396">
        <v>403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ROW(Source!A144)</f>
        <v>144</v>
      </c>
      <c r="B397">
        <v>68992133</v>
      </c>
      <c r="C397">
        <v>68992118</v>
      </c>
      <c r="D397">
        <v>64255020</v>
      </c>
      <c r="E397">
        <v>1</v>
      </c>
      <c r="F397">
        <v>1</v>
      </c>
      <c r="G397">
        <v>1</v>
      </c>
      <c r="H397">
        <v>3</v>
      </c>
      <c r="I397" t="s">
        <v>1202</v>
      </c>
      <c r="J397" t="s">
        <v>1203</v>
      </c>
      <c r="K397" t="s">
        <v>1204</v>
      </c>
      <c r="L397">
        <v>1348</v>
      </c>
      <c r="N397">
        <v>1009</v>
      </c>
      <c r="O397" t="s">
        <v>71</v>
      </c>
      <c r="P397" t="s">
        <v>71</v>
      </c>
      <c r="Q397">
        <v>1000</v>
      </c>
      <c r="X397">
        <v>3.0599999999999998E-3</v>
      </c>
      <c r="Y397">
        <v>12430</v>
      </c>
      <c r="Z397">
        <v>0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3</v>
      </c>
      <c r="AG397">
        <v>3.0599999999999998E-3</v>
      </c>
      <c r="AH397">
        <v>2</v>
      </c>
      <c r="AI397">
        <v>68992124</v>
      </c>
      <c r="AJ397">
        <v>404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ROW(Source!A144)</f>
        <v>144</v>
      </c>
      <c r="B398">
        <v>68992134</v>
      </c>
      <c r="C398">
        <v>68992118</v>
      </c>
      <c r="D398">
        <v>64255145</v>
      </c>
      <c r="E398">
        <v>1</v>
      </c>
      <c r="F398">
        <v>1</v>
      </c>
      <c r="G398">
        <v>1</v>
      </c>
      <c r="H398">
        <v>3</v>
      </c>
      <c r="I398" t="s">
        <v>831</v>
      </c>
      <c r="J398" t="s">
        <v>832</v>
      </c>
      <c r="K398" t="s">
        <v>833</v>
      </c>
      <c r="L398">
        <v>1425</v>
      </c>
      <c r="N398">
        <v>1013</v>
      </c>
      <c r="O398" t="s">
        <v>18</v>
      </c>
      <c r="P398" t="s">
        <v>18</v>
      </c>
      <c r="Q398">
        <v>1</v>
      </c>
      <c r="X398">
        <v>4.08</v>
      </c>
      <c r="Y398">
        <v>86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3</v>
      </c>
      <c r="AG398">
        <v>4.08</v>
      </c>
      <c r="AH398">
        <v>2</v>
      </c>
      <c r="AI398">
        <v>68992125</v>
      </c>
      <c r="AJ398">
        <v>405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ROW(Source!A144)</f>
        <v>144</v>
      </c>
      <c r="B399">
        <v>68992135</v>
      </c>
      <c r="C399">
        <v>68992118</v>
      </c>
      <c r="D399">
        <v>64245580</v>
      </c>
      <c r="E399">
        <v>56</v>
      </c>
      <c r="F399">
        <v>1</v>
      </c>
      <c r="G399">
        <v>1</v>
      </c>
      <c r="H399">
        <v>3</v>
      </c>
      <c r="I399" t="s">
        <v>837</v>
      </c>
      <c r="J399" t="s">
        <v>3</v>
      </c>
      <c r="K399" t="s">
        <v>838</v>
      </c>
      <c r="L399">
        <v>1374</v>
      </c>
      <c r="N399">
        <v>1013</v>
      </c>
      <c r="O399" t="s">
        <v>839</v>
      </c>
      <c r="P399" t="s">
        <v>839</v>
      </c>
      <c r="Q399">
        <v>1</v>
      </c>
      <c r="X399">
        <v>13.54</v>
      </c>
      <c r="Y399">
        <v>1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3</v>
      </c>
      <c r="AG399">
        <v>13.54</v>
      </c>
      <c r="AH399">
        <v>2</v>
      </c>
      <c r="AI399">
        <v>68992127</v>
      </c>
      <c r="AJ399">
        <v>407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ROW(Source!A146)</f>
        <v>146</v>
      </c>
      <c r="B400">
        <v>68992146</v>
      </c>
      <c r="C400">
        <v>68992137</v>
      </c>
      <c r="D400">
        <v>37080781</v>
      </c>
      <c r="E400">
        <v>56</v>
      </c>
      <c r="F400">
        <v>1</v>
      </c>
      <c r="G400">
        <v>1</v>
      </c>
      <c r="H400">
        <v>1</v>
      </c>
      <c r="I400" t="s">
        <v>816</v>
      </c>
      <c r="J400" t="s">
        <v>3</v>
      </c>
      <c r="K400" t="s">
        <v>817</v>
      </c>
      <c r="L400">
        <v>1191</v>
      </c>
      <c r="N400">
        <v>1013</v>
      </c>
      <c r="O400" t="s">
        <v>818</v>
      </c>
      <c r="P400" t="s">
        <v>818</v>
      </c>
      <c r="Q400">
        <v>1</v>
      </c>
      <c r="X400">
        <v>78.56</v>
      </c>
      <c r="Y400">
        <v>0</v>
      </c>
      <c r="Z400">
        <v>0</v>
      </c>
      <c r="AA400">
        <v>0</v>
      </c>
      <c r="AB400">
        <v>9.92</v>
      </c>
      <c r="AC400">
        <v>0</v>
      </c>
      <c r="AD400">
        <v>1</v>
      </c>
      <c r="AE400">
        <v>1</v>
      </c>
      <c r="AF400" t="s">
        <v>200</v>
      </c>
      <c r="AG400">
        <v>106.05600000000001</v>
      </c>
      <c r="AH400">
        <v>2</v>
      </c>
      <c r="AI400">
        <v>68992138</v>
      </c>
      <c r="AJ400">
        <v>408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ROW(Source!A146)</f>
        <v>146</v>
      </c>
      <c r="B401">
        <v>68992147</v>
      </c>
      <c r="C401">
        <v>68992137</v>
      </c>
      <c r="D401">
        <v>37064876</v>
      </c>
      <c r="E401">
        <v>56</v>
      </c>
      <c r="F401">
        <v>1</v>
      </c>
      <c r="G401">
        <v>1</v>
      </c>
      <c r="H401">
        <v>1</v>
      </c>
      <c r="I401" t="s">
        <v>819</v>
      </c>
      <c r="J401" t="s">
        <v>3</v>
      </c>
      <c r="K401" t="s">
        <v>820</v>
      </c>
      <c r="L401">
        <v>1191</v>
      </c>
      <c r="N401">
        <v>1013</v>
      </c>
      <c r="O401" t="s">
        <v>818</v>
      </c>
      <c r="P401" t="s">
        <v>818</v>
      </c>
      <c r="Q401">
        <v>1</v>
      </c>
      <c r="X401">
        <v>0.4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2</v>
      </c>
      <c r="AF401" t="s">
        <v>200</v>
      </c>
      <c r="AG401">
        <v>0.54</v>
      </c>
      <c r="AH401">
        <v>2</v>
      </c>
      <c r="AI401">
        <v>68992139</v>
      </c>
      <c r="AJ401">
        <v>409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ROW(Source!A146)</f>
        <v>146</v>
      </c>
      <c r="B402">
        <v>68992148</v>
      </c>
      <c r="C402">
        <v>68992137</v>
      </c>
      <c r="D402">
        <v>64401763</v>
      </c>
      <c r="E402">
        <v>1</v>
      </c>
      <c r="F402">
        <v>1</v>
      </c>
      <c r="G402">
        <v>1</v>
      </c>
      <c r="H402">
        <v>2</v>
      </c>
      <c r="I402" t="s">
        <v>821</v>
      </c>
      <c r="J402" t="s">
        <v>822</v>
      </c>
      <c r="K402" t="s">
        <v>823</v>
      </c>
      <c r="L402">
        <v>1368</v>
      </c>
      <c r="N402">
        <v>1011</v>
      </c>
      <c r="O402" t="s">
        <v>824</v>
      </c>
      <c r="P402" t="s">
        <v>824</v>
      </c>
      <c r="Q402">
        <v>1</v>
      </c>
      <c r="X402">
        <v>0.2</v>
      </c>
      <c r="Y402">
        <v>0</v>
      </c>
      <c r="Z402">
        <v>115.4</v>
      </c>
      <c r="AA402">
        <v>13.5</v>
      </c>
      <c r="AB402">
        <v>0</v>
      </c>
      <c r="AC402">
        <v>0</v>
      </c>
      <c r="AD402">
        <v>1</v>
      </c>
      <c r="AE402">
        <v>0</v>
      </c>
      <c r="AF402" t="s">
        <v>200</v>
      </c>
      <c r="AG402">
        <v>0.27</v>
      </c>
      <c r="AH402">
        <v>2</v>
      </c>
      <c r="AI402">
        <v>68992140</v>
      </c>
      <c r="AJ402">
        <v>410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ROW(Source!A146)</f>
        <v>146</v>
      </c>
      <c r="B403">
        <v>68992149</v>
      </c>
      <c r="C403">
        <v>68992137</v>
      </c>
      <c r="D403">
        <v>64402691</v>
      </c>
      <c r="E403">
        <v>1</v>
      </c>
      <c r="F403">
        <v>1</v>
      </c>
      <c r="G403">
        <v>1</v>
      </c>
      <c r="H403">
        <v>2</v>
      </c>
      <c r="I403" t="s">
        <v>825</v>
      </c>
      <c r="J403" t="s">
        <v>826</v>
      </c>
      <c r="K403" t="s">
        <v>827</v>
      </c>
      <c r="L403">
        <v>1368</v>
      </c>
      <c r="N403">
        <v>1011</v>
      </c>
      <c r="O403" t="s">
        <v>824</v>
      </c>
      <c r="P403" t="s">
        <v>824</v>
      </c>
      <c r="Q403">
        <v>1</v>
      </c>
      <c r="X403">
        <v>0.2</v>
      </c>
      <c r="Y403">
        <v>0</v>
      </c>
      <c r="Z403">
        <v>65.709999999999994</v>
      </c>
      <c r="AA403">
        <v>11.6</v>
      </c>
      <c r="AB403">
        <v>0</v>
      </c>
      <c r="AC403">
        <v>0</v>
      </c>
      <c r="AD403">
        <v>1</v>
      </c>
      <c r="AE403">
        <v>0</v>
      </c>
      <c r="AF403" t="s">
        <v>200</v>
      </c>
      <c r="AG403">
        <v>0.27</v>
      </c>
      <c r="AH403">
        <v>2</v>
      </c>
      <c r="AI403">
        <v>68992141</v>
      </c>
      <c r="AJ403">
        <v>411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ROW(Source!A146)</f>
        <v>146</v>
      </c>
      <c r="B404">
        <v>68992150</v>
      </c>
      <c r="C404">
        <v>68992137</v>
      </c>
      <c r="D404">
        <v>64253038</v>
      </c>
      <c r="E404">
        <v>1</v>
      </c>
      <c r="F404">
        <v>1</v>
      </c>
      <c r="G404">
        <v>1</v>
      </c>
      <c r="H404">
        <v>3</v>
      </c>
      <c r="I404" t="s">
        <v>828</v>
      </c>
      <c r="J404" t="s">
        <v>829</v>
      </c>
      <c r="K404" t="s">
        <v>830</v>
      </c>
      <c r="L404">
        <v>1346</v>
      </c>
      <c r="N404">
        <v>1009</v>
      </c>
      <c r="O404" t="s">
        <v>170</v>
      </c>
      <c r="P404" t="s">
        <v>170</v>
      </c>
      <c r="Q404">
        <v>1</v>
      </c>
      <c r="X404">
        <v>0.21</v>
      </c>
      <c r="Y404">
        <v>30.4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3</v>
      </c>
      <c r="AG404">
        <v>0.21</v>
      </c>
      <c r="AH404">
        <v>2</v>
      </c>
      <c r="AI404">
        <v>68992142</v>
      </c>
      <c r="AJ404">
        <v>412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ROW(Source!A146)</f>
        <v>146</v>
      </c>
      <c r="B405">
        <v>68992151</v>
      </c>
      <c r="C405">
        <v>68992137</v>
      </c>
      <c r="D405">
        <v>64255145</v>
      </c>
      <c r="E405">
        <v>1</v>
      </c>
      <c r="F405">
        <v>1</v>
      </c>
      <c r="G405">
        <v>1</v>
      </c>
      <c r="H405">
        <v>3</v>
      </c>
      <c r="I405" t="s">
        <v>831</v>
      </c>
      <c r="J405" t="s">
        <v>832</v>
      </c>
      <c r="K405" t="s">
        <v>833</v>
      </c>
      <c r="L405">
        <v>1425</v>
      </c>
      <c r="N405">
        <v>1013</v>
      </c>
      <c r="O405" t="s">
        <v>18</v>
      </c>
      <c r="P405" t="s">
        <v>18</v>
      </c>
      <c r="Q405">
        <v>1</v>
      </c>
      <c r="X405">
        <v>4.08</v>
      </c>
      <c r="Y405">
        <v>86</v>
      </c>
      <c r="Z405">
        <v>0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3</v>
      </c>
      <c r="AG405">
        <v>4.08</v>
      </c>
      <c r="AH405">
        <v>2</v>
      </c>
      <c r="AI405">
        <v>68992143</v>
      </c>
      <c r="AJ405">
        <v>413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ROW(Source!A146)</f>
        <v>146</v>
      </c>
      <c r="B406">
        <v>68992152</v>
      </c>
      <c r="C406">
        <v>68992137</v>
      </c>
      <c r="D406">
        <v>64305045</v>
      </c>
      <c r="E406">
        <v>1</v>
      </c>
      <c r="F406">
        <v>1</v>
      </c>
      <c r="G406">
        <v>1</v>
      </c>
      <c r="H406">
        <v>3</v>
      </c>
      <c r="I406" t="s">
        <v>834</v>
      </c>
      <c r="J406" t="s">
        <v>835</v>
      </c>
      <c r="K406" t="s">
        <v>836</v>
      </c>
      <c r="L406">
        <v>1348</v>
      </c>
      <c r="N406">
        <v>1009</v>
      </c>
      <c r="O406" t="s">
        <v>71</v>
      </c>
      <c r="P406" t="s">
        <v>71</v>
      </c>
      <c r="Q406">
        <v>1000</v>
      </c>
      <c r="X406">
        <v>1.5299999999999999E-3</v>
      </c>
      <c r="Y406">
        <v>96440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3</v>
      </c>
      <c r="AG406">
        <v>1.5299999999999999E-3</v>
      </c>
      <c r="AH406">
        <v>2</v>
      </c>
      <c r="AI406">
        <v>68992144</v>
      </c>
      <c r="AJ406">
        <v>414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ROW(Source!A146)</f>
        <v>146</v>
      </c>
      <c r="B407">
        <v>68992153</v>
      </c>
      <c r="C407">
        <v>68992137</v>
      </c>
      <c r="D407">
        <v>64245580</v>
      </c>
      <c r="E407">
        <v>56</v>
      </c>
      <c r="F407">
        <v>1</v>
      </c>
      <c r="G407">
        <v>1</v>
      </c>
      <c r="H407">
        <v>3</v>
      </c>
      <c r="I407" t="s">
        <v>837</v>
      </c>
      <c r="J407" t="s">
        <v>3</v>
      </c>
      <c r="K407" t="s">
        <v>838</v>
      </c>
      <c r="L407">
        <v>1374</v>
      </c>
      <c r="N407">
        <v>1013</v>
      </c>
      <c r="O407" t="s">
        <v>839</v>
      </c>
      <c r="P407" t="s">
        <v>839</v>
      </c>
      <c r="Q407">
        <v>1</v>
      </c>
      <c r="X407">
        <v>15.59</v>
      </c>
      <c r="Y407">
        <v>1</v>
      </c>
      <c r="Z407">
        <v>0</v>
      </c>
      <c r="AA407">
        <v>0</v>
      </c>
      <c r="AB407">
        <v>0</v>
      </c>
      <c r="AC407">
        <v>0</v>
      </c>
      <c r="AD407">
        <v>1</v>
      </c>
      <c r="AE407">
        <v>0</v>
      </c>
      <c r="AF407" t="s">
        <v>3</v>
      </c>
      <c r="AG407">
        <v>15.59</v>
      </c>
      <c r="AH407">
        <v>2</v>
      </c>
      <c r="AI407">
        <v>68992145</v>
      </c>
      <c r="AJ407">
        <v>415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ROW(Source!A147)</f>
        <v>147</v>
      </c>
      <c r="B408">
        <v>68992162</v>
      </c>
      <c r="C408">
        <v>68992154</v>
      </c>
      <c r="D408">
        <v>37071037</v>
      </c>
      <c r="E408">
        <v>56</v>
      </c>
      <c r="F408">
        <v>1</v>
      </c>
      <c r="G408">
        <v>1</v>
      </c>
      <c r="H408">
        <v>1</v>
      </c>
      <c r="I408" t="s">
        <v>840</v>
      </c>
      <c r="J408" t="s">
        <v>3</v>
      </c>
      <c r="K408" t="s">
        <v>841</v>
      </c>
      <c r="L408">
        <v>1191</v>
      </c>
      <c r="N408">
        <v>1013</v>
      </c>
      <c r="O408" t="s">
        <v>818</v>
      </c>
      <c r="P408" t="s">
        <v>818</v>
      </c>
      <c r="Q408">
        <v>1</v>
      </c>
      <c r="X408">
        <v>0.84</v>
      </c>
      <c r="Y408">
        <v>0</v>
      </c>
      <c r="Z408">
        <v>0</v>
      </c>
      <c r="AA408">
        <v>0</v>
      </c>
      <c r="AB408">
        <v>9.6199999999999992</v>
      </c>
      <c r="AC408">
        <v>0</v>
      </c>
      <c r="AD408">
        <v>1</v>
      </c>
      <c r="AE408">
        <v>1</v>
      </c>
      <c r="AF408" t="s">
        <v>200</v>
      </c>
      <c r="AG408">
        <v>1.1340000000000001</v>
      </c>
      <c r="AH408">
        <v>2</v>
      </c>
      <c r="AI408">
        <v>68992155</v>
      </c>
      <c r="AJ408">
        <v>416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ROW(Source!A147)</f>
        <v>147</v>
      </c>
      <c r="B409">
        <v>68992163</v>
      </c>
      <c r="C409">
        <v>68992154</v>
      </c>
      <c r="D409">
        <v>64251442</v>
      </c>
      <c r="E409">
        <v>1</v>
      </c>
      <c r="F409">
        <v>1</v>
      </c>
      <c r="G409">
        <v>1</v>
      </c>
      <c r="H409">
        <v>3</v>
      </c>
      <c r="I409" t="s">
        <v>842</v>
      </c>
      <c r="J409" t="s">
        <v>843</v>
      </c>
      <c r="K409" t="s">
        <v>844</v>
      </c>
      <c r="L409">
        <v>1346</v>
      </c>
      <c r="N409">
        <v>1009</v>
      </c>
      <c r="O409" t="s">
        <v>170</v>
      </c>
      <c r="P409" t="s">
        <v>170</v>
      </c>
      <c r="Q409">
        <v>1</v>
      </c>
      <c r="X409">
        <v>2.0000000000000001E-4</v>
      </c>
      <c r="Y409">
        <v>27.74</v>
      </c>
      <c r="Z409">
        <v>0</v>
      </c>
      <c r="AA409">
        <v>0</v>
      </c>
      <c r="AB409">
        <v>0</v>
      </c>
      <c r="AC409">
        <v>0</v>
      </c>
      <c r="AD409">
        <v>1</v>
      </c>
      <c r="AE409">
        <v>0</v>
      </c>
      <c r="AF409" t="s">
        <v>3</v>
      </c>
      <c r="AG409">
        <v>2.0000000000000001E-4</v>
      </c>
      <c r="AH409">
        <v>2</v>
      </c>
      <c r="AI409">
        <v>68992156</v>
      </c>
      <c r="AJ409">
        <v>417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ROW(Source!A147)</f>
        <v>147</v>
      </c>
      <c r="B410">
        <v>68992164</v>
      </c>
      <c r="C410">
        <v>68992154</v>
      </c>
      <c r="D410">
        <v>64255524</v>
      </c>
      <c r="E410">
        <v>1</v>
      </c>
      <c r="F410">
        <v>1</v>
      </c>
      <c r="G410">
        <v>1</v>
      </c>
      <c r="H410">
        <v>3</v>
      </c>
      <c r="I410" t="s">
        <v>845</v>
      </c>
      <c r="J410" t="s">
        <v>846</v>
      </c>
      <c r="K410" t="s">
        <v>847</v>
      </c>
      <c r="L410">
        <v>1348</v>
      </c>
      <c r="N410">
        <v>1009</v>
      </c>
      <c r="O410" t="s">
        <v>71</v>
      </c>
      <c r="P410" t="s">
        <v>71</v>
      </c>
      <c r="Q410">
        <v>1000</v>
      </c>
      <c r="X410">
        <v>1E-4</v>
      </c>
      <c r="Y410">
        <v>12430</v>
      </c>
      <c r="Z410">
        <v>0</v>
      </c>
      <c r="AA410">
        <v>0</v>
      </c>
      <c r="AB410">
        <v>0</v>
      </c>
      <c r="AC410">
        <v>0</v>
      </c>
      <c r="AD410">
        <v>1</v>
      </c>
      <c r="AE410">
        <v>0</v>
      </c>
      <c r="AF410" t="s">
        <v>3</v>
      </c>
      <c r="AG410">
        <v>1E-4</v>
      </c>
      <c r="AH410">
        <v>2</v>
      </c>
      <c r="AI410">
        <v>68992157</v>
      </c>
      <c r="AJ410">
        <v>418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ROW(Source!A147)</f>
        <v>147</v>
      </c>
      <c r="B411">
        <v>68992165</v>
      </c>
      <c r="C411">
        <v>68992154</v>
      </c>
      <c r="D411">
        <v>64275490</v>
      </c>
      <c r="E411">
        <v>1</v>
      </c>
      <c r="F411">
        <v>1</v>
      </c>
      <c r="G411">
        <v>1</v>
      </c>
      <c r="H411">
        <v>3</v>
      </c>
      <c r="I411" t="s">
        <v>848</v>
      </c>
      <c r="J411" t="s">
        <v>849</v>
      </c>
      <c r="K411" t="s">
        <v>850</v>
      </c>
      <c r="L411">
        <v>1348</v>
      </c>
      <c r="N411">
        <v>1009</v>
      </c>
      <c r="O411" t="s">
        <v>71</v>
      </c>
      <c r="P411" t="s">
        <v>71</v>
      </c>
      <c r="Q411">
        <v>1000</v>
      </c>
      <c r="X411">
        <v>1.9999999999999999E-6</v>
      </c>
      <c r="Y411">
        <v>65750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3</v>
      </c>
      <c r="AG411">
        <v>1.9999999999999999E-6</v>
      </c>
      <c r="AH411">
        <v>2</v>
      </c>
      <c r="AI411">
        <v>68992158</v>
      </c>
      <c r="AJ411">
        <v>419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ROW(Source!A147)</f>
        <v>147</v>
      </c>
      <c r="B412">
        <v>68992166</v>
      </c>
      <c r="C412">
        <v>68992154</v>
      </c>
      <c r="D412">
        <v>64283070</v>
      </c>
      <c r="E412">
        <v>1</v>
      </c>
      <c r="F412">
        <v>1</v>
      </c>
      <c r="G412">
        <v>1</v>
      </c>
      <c r="H412">
        <v>3</v>
      </c>
      <c r="I412" t="s">
        <v>851</v>
      </c>
      <c r="J412" t="s">
        <v>852</v>
      </c>
      <c r="K412" t="s">
        <v>853</v>
      </c>
      <c r="L412">
        <v>1346</v>
      </c>
      <c r="N412">
        <v>1009</v>
      </c>
      <c r="O412" t="s">
        <v>170</v>
      </c>
      <c r="P412" t="s">
        <v>170</v>
      </c>
      <c r="Q412">
        <v>1</v>
      </c>
      <c r="X412">
        <v>0.01</v>
      </c>
      <c r="Y412">
        <v>28.93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3</v>
      </c>
      <c r="AG412">
        <v>0.01</v>
      </c>
      <c r="AH412">
        <v>2</v>
      </c>
      <c r="AI412">
        <v>68992159</v>
      </c>
      <c r="AJ412">
        <v>420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ROW(Source!A147)</f>
        <v>147</v>
      </c>
      <c r="B413">
        <v>68992167</v>
      </c>
      <c r="C413">
        <v>68992154</v>
      </c>
      <c r="D413">
        <v>64312702</v>
      </c>
      <c r="E413">
        <v>1</v>
      </c>
      <c r="F413">
        <v>1</v>
      </c>
      <c r="G413">
        <v>1</v>
      </c>
      <c r="H413">
        <v>3</v>
      </c>
      <c r="I413" t="s">
        <v>854</v>
      </c>
      <c r="J413" t="s">
        <v>855</v>
      </c>
      <c r="K413" t="s">
        <v>856</v>
      </c>
      <c r="L413">
        <v>1346</v>
      </c>
      <c r="N413">
        <v>1009</v>
      </c>
      <c r="O413" t="s">
        <v>170</v>
      </c>
      <c r="P413" t="s">
        <v>170</v>
      </c>
      <c r="Q413">
        <v>1</v>
      </c>
      <c r="X413">
        <v>1.42E-3</v>
      </c>
      <c r="Y413">
        <v>38.340000000000003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0</v>
      </c>
      <c r="AF413" t="s">
        <v>3</v>
      </c>
      <c r="AG413">
        <v>1.42E-3</v>
      </c>
      <c r="AH413">
        <v>2</v>
      </c>
      <c r="AI413">
        <v>68992160</v>
      </c>
      <c r="AJ413">
        <v>421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ROW(Source!A147)</f>
        <v>147</v>
      </c>
      <c r="B414">
        <v>68992168</v>
      </c>
      <c r="C414">
        <v>68992154</v>
      </c>
      <c r="D414">
        <v>64245580</v>
      </c>
      <c r="E414">
        <v>56</v>
      </c>
      <c r="F414">
        <v>1</v>
      </c>
      <c r="G414">
        <v>1</v>
      </c>
      <c r="H414">
        <v>3</v>
      </c>
      <c r="I414" t="s">
        <v>837</v>
      </c>
      <c r="J414" t="s">
        <v>3</v>
      </c>
      <c r="K414" t="s">
        <v>838</v>
      </c>
      <c r="L414">
        <v>1374</v>
      </c>
      <c r="N414">
        <v>1013</v>
      </c>
      <c r="O414" t="s">
        <v>839</v>
      </c>
      <c r="P414" t="s">
        <v>839</v>
      </c>
      <c r="Q414">
        <v>1</v>
      </c>
      <c r="X414">
        <v>0.16</v>
      </c>
      <c r="Y414">
        <v>1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0</v>
      </c>
      <c r="AF414" t="s">
        <v>3</v>
      </c>
      <c r="AG414">
        <v>0.16</v>
      </c>
      <c r="AH414">
        <v>2</v>
      </c>
      <c r="AI414">
        <v>68992161</v>
      </c>
      <c r="AJ414">
        <v>422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ROW(Source!A148)</f>
        <v>148</v>
      </c>
      <c r="B415">
        <v>68992192</v>
      </c>
      <c r="C415">
        <v>68992169</v>
      </c>
      <c r="D415">
        <v>37064878</v>
      </c>
      <c r="E415">
        <v>56</v>
      </c>
      <c r="F415">
        <v>1</v>
      </c>
      <c r="G415">
        <v>1</v>
      </c>
      <c r="H415">
        <v>1</v>
      </c>
      <c r="I415" t="s">
        <v>955</v>
      </c>
      <c r="J415" t="s">
        <v>3</v>
      </c>
      <c r="K415" t="s">
        <v>956</v>
      </c>
      <c r="L415">
        <v>1191</v>
      </c>
      <c r="N415">
        <v>1013</v>
      </c>
      <c r="O415" t="s">
        <v>818</v>
      </c>
      <c r="P415" t="s">
        <v>818</v>
      </c>
      <c r="Q415">
        <v>1</v>
      </c>
      <c r="X415">
        <v>17.3</v>
      </c>
      <c r="Y415">
        <v>0</v>
      </c>
      <c r="Z415">
        <v>0</v>
      </c>
      <c r="AA415">
        <v>0</v>
      </c>
      <c r="AB415">
        <v>9.4</v>
      </c>
      <c r="AC415">
        <v>0</v>
      </c>
      <c r="AD415">
        <v>1</v>
      </c>
      <c r="AE415">
        <v>1</v>
      </c>
      <c r="AF415" t="s">
        <v>147</v>
      </c>
      <c r="AG415">
        <v>26.858250000000002</v>
      </c>
      <c r="AH415">
        <v>2</v>
      </c>
      <c r="AI415">
        <v>68992170</v>
      </c>
      <c r="AJ415">
        <v>423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ROW(Source!A148)</f>
        <v>148</v>
      </c>
      <c r="B416">
        <v>68992193</v>
      </c>
      <c r="C416">
        <v>68992169</v>
      </c>
      <c r="D416">
        <v>37064876</v>
      </c>
      <c r="E416">
        <v>56</v>
      </c>
      <c r="F416">
        <v>1</v>
      </c>
      <c r="G416">
        <v>1</v>
      </c>
      <c r="H416">
        <v>1</v>
      </c>
      <c r="I416" t="s">
        <v>819</v>
      </c>
      <c r="J416" t="s">
        <v>3</v>
      </c>
      <c r="K416" t="s">
        <v>820</v>
      </c>
      <c r="L416">
        <v>1191</v>
      </c>
      <c r="N416">
        <v>1013</v>
      </c>
      <c r="O416" t="s">
        <v>818</v>
      </c>
      <c r="P416" t="s">
        <v>818</v>
      </c>
      <c r="Q416">
        <v>1</v>
      </c>
      <c r="X416">
        <v>1.47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1</v>
      </c>
      <c r="AE416">
        <v>2</v>
      </c>
      <c r="AF416" t="s">
        <v>146</v>
      </c>
      <c r="AG416">
        <v>2.4806249999999999</v>
      </c>
      <c r="AH416">
        <v>2</v>
      </c>
      <c r="AI416">
        <v>68992171</v>
      </c>
      <c r="AJ416">
        <v>424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ROW(Source!A148)</f>
        <v>148</v>
      </c>
      <c r="B417">
        <v>68992194</v>
      </c>
      <c r="C417">
        <v>68992169</v>
      </c>
      <c r="D417">
        <v>64401718</v>
      </c>
      <c r="E417">
        <v>1</v>
      </c>
      <c r="F417">
        <v>1</v>
      </c>
      <c r="G417">
        <v>1</v>
      </c>
      <c r="H417">
        <v>2</v>
      </c>
      <c r="I417" t="s">
        <v>904</v>
      </c>
      <c r="J417" t="s">
        <v>905</v>
      </c>
      <c r="K417" t="s">
        <v>906</v>
      </c>
      <c r="L417">
        <v>1368</v>
      </c>
      <c r="N417">
        <v>1011</v>
      </c>
      <c r="O417" t="s">
        <v>824</v>
      </c>
      <c r="P417" t="s">
        <v>824</v>
      </c>
      <c r="Q417">
        <v>1</v>
      </c>
      <c r="X417">
        <v>0.1</v>
      </c>
      <c r="Y417">
        <v>0</v>
      </c>
      <c r="Z417">
        <v>120.24</v>
      </c>
      <c r="AA417">
        <v>15.42</v>
      </c>
      <c r="AB417">
        <v>0</v>
      </c>
      <c r="AC417">
        <v>0</v>
      </c>
      <c r="AD417">
        <v>1</v>
      </c>
      <c r="AE417">
        <v>0</v>
      </c>
      <c r="AF417" t="s">
        <v>146</v>
      </c>
      <c r="AG417">
        <v>0.16875000000000001</v>
      </c>
      <c r="AH417">
        <v>2</v>
      </c>
      <c r="AI417">
        <v>68992172</v>
      </c>
      <c r="AJ417">
        <v>425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ROW(Source!A148)</f>
        <v>148</v>
      </c>
      <c r="B418">
        <v>68992195</v>
      </c>
      <c r="C418">
        <v>68992169</v>
      </c>
      <c r="D418">
        <v>64401763</v>
      </c>
      <c r="E418">
        <v>1</v>
      </c>
      <c r="F418">
        <v>1</v>
      </c>
      <c r="G418">
        <v>1</v>
      </c>
      <c r="H418">
        <v>2</v>
      </c>
      <c r="I418" t="s">
        <v>821</v>
      </c>
      <c r="J418" t="s">
        <v>822</v>
      </c>
      <c r="K418" t="s">
        <v>823</v>
      </c>
      <c r="L418">
        <v>1368</v>
      </c>
      <c r="N418">
        <v>1011</v>
      </c>
      <c r="O418" t="s">
        <v>824</v>
      </c>
      <c r="P418" t="s">
        <v>824</v>
      </c>
      <c r="Q418">
        <v>1</v>
      </c>
      <c r="X418">
        <v>0.12</v>
      </c>
      <c r="Y418">
        <v>0</v>
      </c>
      <c r="Z418">
        <v>115.4</v>
      </c>
      <c r="AA418">
        <v>13.5</v>
      </c>
      <c r="AB418">
        <v>0</v>
      </c>
      <c r="AC418">
        <v>0</v>
      </c>
      <c r="AD418">
        <v>1</v>
      </c>
      <c r="AE418">
        <v>0</v>
      </c>
      <c r="AF418" t="s">
        <v>146</v>
      </c>
      <c r="AG418">
        <v>0.20250000000000001</v>
      </c>
      <c r="AH418">
        <v>2</v>
      </c>
      <c r="AI418">
        <v>68992173</v>
      </c>
      <c r="AJ418">
        <v>426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ROW(Source!A148)</f>
        <v>148</v>
      </c>
      <c r="B419">
        <v>68992196</v>
      </c>
      <c r="C419">
        <v>68992169</v>
      </c>
      <c r="D419">
        <v>64401769</v>
      </c>
      <c r="E419">
        <v>1</v>
      </c>
      <c r="F419">
        <v>1</v>
      </c>
      <c r="G419">
        <v>1</v>
      </c>
      <c r="H419">
        <v>2</v>
      </c>
      <c r="I419" t="s">
        <v>957</v>
      </c>
      <c r="J419" t="s">
        <v>958</v>
      </c>
      <c r="K419" t="s">
        <v>959</v>
      </c>
      <c r="L419">
        <v>1368</v>
      </c>
      <c r="N419">
        <v>1011</v>
      </c>
      <c r="O419" t="s">
        <v>824</v>
      </c>
      <c r="P419" t="s">
        <v>824</v>
      </c>
      <c r="Q419">
        <v>1</v>
      </c>
      <c r="X419">
        <v>1.06</v>
      </c>
      <c r="Y419">
        <v>0</v>
      </c>
      <c r="Z419">
        <v>120.04</v>
      </c>
      <c r="AA419">
        <v>13.5</v>
      </c>
      <c r="AB419">
        <v>0</v>
      </c>
      <c r="AC419">
        <v>0</v>
      </c>
      <c r="AD419">
        <v>1</v>
      </c>
      <c r="AE419">
        <v>0</v>
      </c>
      <c r="AF419" t="s">
        <v>146</v>
      </c>
      <c r="AG419">
        <v>1.7887500000000003</v>
      </c>
      <c r="AH419">
        <v>2</v>
      </c>
      <c r="AI419">
        <v>68992174</v>
      </c>
      <c r="AJ419">
        <v>427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ROW(Source!A148)</f>
        <v>148</v>
      </c>
      <c r="B420">
        <v>68992197</v>
      </c>
      <c r="C420">
        <v>68992169</v>
      </c>
      <c r="D420">
        <v>64401904</v>
      </c>
      <c r="E420">
        <v>1</v>
      </c>
      <c r="F420">
        <v>1</v>
      </c>
      <c r="G420">
        <v>1</v>
      </c>
      <c r="H420">
        <v>2</v>
      </c>
      <c r="I420" t="s">
        <v>960</v>
      </c>
      <c r="J420" t="s">
        <v>961</v>
      </c>
      <c r="K420" t="s">
        <v>962</v>
      </c>
      <c r="L420">
        <v>1368</v>
      </c>
      <c r="N420">
        <v>1011</v>
      </c>
      <c r="O420" t="s">
        <v>824</v>
      </c>
      <c r="P420" t="s">
        <v>824</v>
      </c>
      <c r="Q420">
        <v>1</v>
      </c>
      <c r="X420">
        <v>0.86</v>
      </c>
      <c r="Y420">
        <v>0</v>
      </c>
      <c r="Z420">
        <v>6.9</v>
      </c>
      <c r="AA420">
        <v>0</v>
      </c>
      <c r="AB420">
        <v>0</v>
      </c>
      <c r="AC420">
        <v>0</v>
      </c>
      <c r="AD420">
        <v>1</v>
      </c>
      <c r="AE420">
        <v>0</v>
      </c>
      <c r="AF420" t="s">
        <v>146</v>
      </c>
      <c r="AG420">
        <v>1.4512499999999999</v>
      </c>
      <c r="AH420">
        <v>2</v>
      </c>
      <c r="AI420">
        <v>68992175</v>
      </c>
      <c r="AJ420">
        <v>428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ROW(Source!A148)</f>
        <v>148</v>
      </c>
      <c r="B421">
        <v>68992198</v>
      </c>
      <c r="C421">
        <v>68992169</v>
      </c>
      <c r="D421">
        <v>64402691</v>
      </c>
      <c r="E421">
        <v>1</v>
      </c>
      <c r="F421">
        <v>1</v>
      </c>
      <c r="G421">
        <v>1</v>
      </c>
      <c r="H421">
        <v>2</v>
      </c>
      <c r="I421" t="s">
        <v>825</v>
      </c>
      <c r="J421" t="s">
        <v>826</v>
      </c>
      <c r="K421" t="s">
        <v>827</v>
      </c>
      <c r="L421">
        <v>1368</v>
      </c>
      <c r="N421">
        <v>1011</v>
      </c>
      <c r="O421" t="s">
        <v>824</v>
      </c>
      <c r="P421" t="s">
        <v>824</v>
      </c>
      <c r="Q421">
        <v>1</v>
      </c>
      <c r="X421">
        <v>0.19</v>
      </c>
      <c r="Y421">
        <v>0</v>
      </c>
      <c r="Z421">
        <v>65.709999999999994</v>
      </c>
      <c r="AA421">
        <v>11.6</v>
      </c>
      <c r="AB421">
        <v>0</v>
      </c>
      <c r="AC421">
        <v>0</v>
      </c>
      <c r="AD421">
        <v>1</v>
      </c>
      <c r="AE421">
        <v>0</v>
      </c>
      <c r="AF421" t="s">
        <v>146</v>
      </c>
      <c r="AG421">
        <v>0.32062499999999999</v>
      </c>
      <c r="AH421">
        <v>2</v>
      </c>
      <c r="AI421">
        <v>68992176</v>
      </c>
      <c r="AJ421">
        <v>429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ROW(Source!A148)</f>
        <v>148</v>
      </c>
      <c r="B422">
        <v>68992199</v>
      </c>
      <c r="C422">
        <v>68992169</v>
      </c>
      <c r="D422">
        <v>64402844</v>
      </c>
      <c r="E422">
        <v>1</v>
      </c>
      <c r="F422">
        <v>1</v>
      </c>
      <c r="G422">
        <v>1</v>
      </c>
      <c r="H422">
        <v>2</v>
      </c>
      <c r="I422" t="s">
        <v>910</v>
      </c>
      <c r="J422" t="s">
        <v>911</v>
      </c>
      <c r="K422" t="s">
        <v>912</v>
      </c>
      <c r="L422">
        <v>1368</v>
      </c>
      <c r="N422">
        <v>1011</v>
      </c>
      <c r="O422" t="s">
        <v>824</v>
      </c>
      <c r="P422" t="s">
        <v>824</v>
      </c>
      <c r="Q422">
        <v>1</v>
      </c>
      <c r="X422">
        <v>2.2400000000000002</v>
      </c>
      <c r="Y422">
        <v>0</v>
      </c>
      <c r="Z422">
        <v>1.2</v>
      </c>
      <c r="AA422">
        <v>0</v>
      </c>
      <c r="AB422">
        <v>0</v>
      </c>
      <c r="AC422">
        <v>0</v>
      </c>
      <c r="AD422">
        <v>1</v>
      </c>
      <c r="AE422">
        <v>0</v>
      </c>
      <c r="AF422" t="s">
        <v>146</v>
      </c>
      <c r="AG422">
        <v>3.7800000000000007</v>
      </c>
      <c r="AH422">
        <v>2</v>
      </c>
      <c r="AI422">
        <v>68992177</v>
      </c>
      <c r="AJ422">
        <v>430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ROW(Source!A148)</f>
        <v>148</v>
      </c>
      <c r="B423">
        <v>68992200</v>
      </c>
      <c r="C423">
        <v>68992169</v>
      </c>
      <c r="D423">
        <v>64402887</v>
      </c>
      <c r="E423">
        <v>1</v>
      </c>
      <c r="F423">
        <v>1</v>
      </c>
      <c r="G423">
        <v>1</v>
      </c>
      <c r="H423">
        <v>2</v>
      </c>
      <c r="I423" t="s">
        <v>913</v>
      </c>
      <c r="J423" t="s">
        <v>914</v>
      </c>
      <c r="K423" t="s">
        <v>915</v>
      </c>
      <c r="L423">
        <v>1368</v>
      </c>
      <c r="N423">
        <v>1011</v>
      </c>
      <c r="O423" t="s">
        <v>824</v>
      </c>
      <c r="P423" t="s">
        <v>824</v>
      </c>
      <c r="Q423">
        <v>1</v>
      </c>
      <c r="X423">
        <v>4.45</v>
      </c>
      <c r="Y423">
        <v>0</v>
      </c>
      <c r="Z423">
        <v>12.31</v>
      </c>
      <c r="AA423">
        <v>0</v>
      </c>
      <c r="AB423">
        <v>0</v>
      </c>
      <c r="AC423">
        <v>0</v>
      </c>
      <c r="AD423">
        <v>1</v>
      </c>
      <c r="AE423">
        <v>0</v>
      </c>
      <c r="AF423" t="s">
        <v>146</v>
      </c>
      <c r="AG423">
        <v>7.5093750000000004</v>
      </c>
      <c r="AH423">
        <v>2</v>
      </c>
      <c r="AI423">
        <v>68992178</v>
      </c>
      <c r="AJ423">
        <v>431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ROW(Source!A148)</f>
        <v>148</v>
      </c>
      <c r="B424">
        <v>68992201</v>
      </c>
      <c r="C424">
        <v>68992169</v>
      </c>
      <c r="D424">
        <v>64251195</v>
      </c>
      <c r="E424">
        <v>1</v>
      </c>
      <c r="F424">
        <v>1</v>
      </c>
      <c r="G424">
        <v>1</v>
      </c>
      <c r="H424">
        <v>3</v>
      </c>
      <c r="I424" t="s">
        <v>916</v>
      </c>
      <c r="J424" t="s">
        <v>917</v>
      </c>
      <c r="K424" t="s">
        <v>918</v>
      </c>
      <c r="L424">
        <v>1339</v>
      </c>
      <c r="N424">
        <v>1007</v>
      </c>
      <c r="O424" t="s">
        <v>113</v>
      </c>
      <c r="P424" t="s">
        <v>113</v>
      </c>
      <c r="Q424">
        <v>1</v>
      </c>
      <c r="X424">
        <v>1.95</v>
      </c>
      <c r="Y424">
        <v>6.22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3</v>
      </c>
      <c r="AG424">
        <v>1.95</v>
      </c>
      <c r="AH424">
        <v>2</v>
      </c>
      <c r="AI424">
        <v>68992179</v>
      </c>
      <c r="AJ424">
        <v>432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ROW(Source!A148)</f>
        <v>148</v>
      </c>
      <c r="B425">
        <v>68992202</v>
      </c>
      <c r="C425">
        <v>68992169</v>
      </c>
      <c r="D425">
        <v>64251201</v>
      </c>
      <c r="E425">
        <v>1</v>
      </c>
      <c r="F425">
        <v>1</v>
      </c>
      <c r="G425">
        <v>1</v>
      </c>
      <c r="H425">
        <v>3</v>
      </c>
      <c r="I425" t="s">
        <v>919</v>
      </c>
      <c r="J425" t="s">
        <v>920</v>
      </c>
      <c r="K425" t="s">
        <v>921</v>
      </c>
      <c r="L425">
        <v>1346</v>
      </c>
      <c r="N425">
        <v>1009</v>
      </c>
      <c r="O425" t="s">
        <v>170</v>
      </c>
      <c r="P425" t="s">
        <v>170</v>
      </c>
      <c r="Q425">
        <v>1</v>
      </c>
      <c r="X425">
        <v>0.59</v>
      </c>
      <c r="Y425">
        <v>6.09</v>
      </c>
      <c r="Z425">
        <v>0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3</v>
      </c>
      <c r="AG425">
        <v>0.59</v>
      </c>
      <c r="AH425">
        <v>2</v>
      </c>
      <c r="AI425">
        <v>68992180</v>
      </c>
      <c r="AJ425">
        <v>433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ROW(Source!A148)</f>
        <v>148</v>
      </c>
      <c r="B426">
        <v>68992203</v>
      </c>
      <c r="C426">
        <v>68992169</v>
      </c>
      <c r="D426">
        <v>64253863</v>
      </c>
      <c r="E426">
        <v>1</v>
      </c>
      <c r="F426">
        <v>1</v>
      </c>
      <c r="G426">
        <v>1</v>
      </c>
      <c r="H426">
        <v>3</v>
      </c>
      <c r="I426" t="s">
        <v>922</v>
      </c>
      <c r="J426" t="s">
        <v>923</v>
      </c>
      <c r="K426" t="s">
        <v>924</v>
      </c>
      <c r="L426">
        <v>1346</v>
      </c>
      <c r="N426">
        <v>1009</v>
      </c>
      <c r="O426" t="s">
        <v>170</v>
      </c>
      <c r="P426" t="s">
        <v>170</v>
      </c>
      <c r="Q426">
        <v>1</v>
      </c>
      <c r="X426">
        <v>31</v>
      </c>
      <c r="Y426">
        <v>10.75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0</v>
      </c>
      <c r="AF426" t="s">
        <v>3</v>
      </c>
      <c r="AG426">
        <v>31</v>
      </c>
      <c r="AH426">
        <v>2</v>
      </c>
      <c r="AI426">
        <v>68992181</v>
      </c>
      <c r="AJ426">
        <v>434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ROW(Source!A148)</f>
        <v>148</v>
      </c>
      <c r="B427">
        <v>68992204</v>
      </c>
      <c r="C427">
        <v>68992169</v>
      </c>
      <c r="D427">
        <v>64255009</v>
      </c>
      <c r="E427">
        <v>1</v>
      </c>
      <c r="F427">
        <v>1</v>
      </c>
      <c r="G427">
        <v>1</v>
      </c>
      <c r="H427">
        <v>3</v>
      </c>
      <c r="I427" t="s">
        <v>963</v>
      </c>
      <c r="J427" t="s">
        <v>964</v>
      </c>
      <c r="K427" t="s">
        <v>965</v>
      </c>
      <c r="L427">
        <v>1346</v>
      </c>
      <c r="N427">
        <v>1009</v>
      </c>
      <c r="O427" t="s">
        <v>170</v>
      </c>
      <c r="P427" t="s">
        <v>170</v>
      </c>
      <c r="Q427">
        <v>1</v>
      </c>
      <c r="X427">
        <v>4</v>
      </c>
      <c r="Y427">
        <v>9.0399999999999991</v>
      </c>
      <c r="Z427">
        <v>0</v>
      </c>
      <c r="AA427">
        <v>0</v>
      </c>
      <c r="AB427">
        <v>0</v>
      </c>
      <c r="AC427">
        <v>0</v>
      </c>
      <c r="AD427">
        <v>1</v>
      </c>
      <c r="AE427">
        <v>0</v>
      </c>
      <c r="AF427" t="s">
        <v>3</v>
      </c>
      <c r="AG427">
        <v>4</v>
      </c>
      <c r="AH427">
        <v>2</v>
      </c>
      <c r="AI427">
        <v>68992182</v>
      </c>
      <c r="AJ427">
        <v>435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ROW(Source!A148)</f>
        <v>148</v>
      </c>
      <c r="B428">
        <v>68992205</v>
      </c>
      <c r="C428">
        <v>68992169</v>
      </c>
      <c r="D428">
        <v>64255112</v>
      </c>
      <c r="E428">
        <v>1</v>
      </c>
      <c r="F428">
        <v>1</v>
      </c>
      <c r="G428">
        <v>1</v>
      </c>
      <c r="H428">
        <v>3</v>
      </c>
      <c r="I428" t="s">
        <v>925</v>
      </c>
      <c r="J428" t="s">
        <v>926</v>
      </c>
      <c r="K428" t="s">
        <v>927</v>
      </c>
      <c r="L428">
        <v>1348</v>
      </c>
      <c r="N428">
        <v>1009</v>
      </c>
      <c r="O428" t="s">
        <v>71</v>
      </c>
      <c r="P428" t="s">
        <v>71</v>
      </c>
      <c r="Q428">
        <v>1000</v>
      </c>
      <c r="X428">
        <v>1.0000000000000001E-5</v>
      </c>
      <c r="Y428">
        <v>11978</v>
      </c>
      <c r="Z428">
        <v>0</v>
      </c>
      <c r="AA428">
        <v>0</v>
      </c>
      <c r="AB428">
        <v>0</v>
      </c>
      <c r="AC428">
        <v>0</v>
      </c>
      <c r="AD428">
        <v>1</v>
      </c>
      <c r="AE428">
        <v>0</v>
      </c>
      <c r="AF428" t="s">
        <v>3</v>
      </c>
      <c r="AG428">
        <v>1.0000000000000001E-5</v>
      </c>
      <c r="AH428">
        <v>2</v>
      </c>
      <c r="AI428">
        <v>68992183</v>
      </c>
      <c r="AJ428">
        <v>436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ROW(Source!A148)</f>
        <v>148</v>
      </c>
      <c r="B429">
        <v>68992206</v>
      </c>
      <c r="C429">
        <v>68992169</v>
      </c>
      <c r="D429">
        <v>64256203</v>
      </c>
      <c r="E429">
        <v>1</v>
      </c>
      <c r="F429">
        <v>1</v>
      </c>
      <c r="G429">
        <v>1</v>
      </c>
      <c r="H429">
        <v>3</v>
      </c>
      <c r="I429" t="s">
        <v>928</v>
      </c>
      <c r="J429" t="s">
        <v>929</v>
      </c>
      <c r="K429" t="s">
        <v>930</v>
      </c>
      <c r="L429">
        <v>1348</v>
      </c>
      <c r="N429">
        <v>1009</v>
      </c>
      <c r="O429" t="s">
        <v>71</v>
      </c>
      <c r="P429" t="s">
        <v>71</v>
      </c>
      <c r="Q429">
        <v>1000</v>
      </c>
      <c r="X429">
        <v>1E-4</v>
      </c>
      <c r="Y429">
        <v>37900</v>
      </c>
      <c r="Z429">
        <v>0</v>
      </c>
      <c r="AA429">
        <v>0</v>
      </c>
      <c r="AB429">
        <v>0</v>
      </c>
      <c r="AC429">
        <v>0</v>
      </c>
      <c r="AD429">
        <v>1</v>
      </c>
      <c r="AE429">
        <v>0</v>
      </c>
      <c r="AF429" t="s">
        <v>3</v>
      </c>
      <c r="AG429">
        <v>1E-4</v>
      </c>
      <c r="AH429">
        <v>2</v>
      </c>
      <c r="AI429">
        <v>68992184</v>
      </c>
      <c r="AJ429">
        <v>437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ROW(Source!A148)</f>
        <v>148</v>
      </c>
      <c r="B430">
        <v>68992207</v>
      </c>
      <c r="C430">
        <v>68992169</v>
      </c>
      <c r="D430">
        <v>64242812</v>
      </c>
      <c r="E430">
        <v>56</v>
      </c>
      <c r="F430">
        <v>1</v>
      </c>
      <c r="G430">
        <v>1</v>
      </c>
      <c r="H430">
        <v>3</v>
      </c>
      <c r="I430" t="s">
        <v>1275</v>
      </c>
      <c r="J430" t="s">
        <v>3</v>
      </c>
      <c r="K430" t="s">
        <v>1266</v>
      </c>
      <c r="L430">
        <v>1348</v>
      </c>
      <c r="N430">
        <v>1009</v>
      </c>
      <c r="O430" t="s">
        <v>71</v>
      </c>
      <c r="P430" t="s">
        <v>71</v>
      </c>
      <c r="Q430">
        <v>1000</v>
      </c>
      <c r="X430">
        <v>1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 t="s">
        <v>3</v>
      </c>
      <c r="AG430">
        <v>1</v>
      </c>
      <c r="AH430">
        <v>3</v>
      </c>
      <c r="AI430">
        <v>-1</v>
      </c>
      <c r="AJ430" t="s">
        <v>3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ROW(Source!A148)</f>
        <v>148</v>
      </c>
      <c r="B431">
        <v>68992208</v>
      </c>
      <c r="C431">
        <v>68992169</v>
      </c>
      <c r="D431">
        <v>64269842</v>
      </c>
      <c r="E431">
        <v>1</v>
      </c>
      <c r="F431">
        <v>1</v>
      </c>
      <c r="G431">
        <v>1</v>
      </c>
      <c r="H431">
        <v>3</v>
      </c>
      <c r="I431" t="s">
        <v>931</v>
      </c>
      <c r="J431" t="s">
        <v>932</v>
      </c>
      <c r="K431" t="s">
        <v>933</v>
      </c>
      <c r="L431">
        <v>1348</v>
      </c>
      <c r="N431">
        <v>1009</v>
      </c>
      <c r="O431" t="s">
        <v>71</v>
      </c>
      <c r="P431" t="s">
        <v>71</v>
      </c>
      <c r="Q431">
        <v>1000</v>
      </c>
      <c r="X431">
        <v>5.0000000000000001E-3</v>
      </c>
      <c r="Y431">
        <v>7712</v>
      </c>
      <c r="Z431">
        <v>0</v>
      </c>
      <c r="AA431">
        <v>0</v>
      </c>
      <c r="AB431">
        <v>0</v>
      </c>
      <c r="AC431">
        <v>0</v>
      </c>
      <c r="AD431">
        <v>1</v>
      </c>
      <c r="AE431">
        <v>0</v>
      </c>
      <c r="AF431" t="s">
        <v>3</v>
      </c>
      <c r="AG431">
        <v>5.0000000000000001E-3</v>
      </c>
      <c r="AH431">
        <v>2</v>
      </c>
      <c r="AI431">
        <v>68992185</v>
      </c>
      <c r="AJ431">
        <v>438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ROW(Source!A148)</f>
        <v>148</v>
      </c>
      <c r="B432">
        <v>68992209</v>
      </c>
      <c r="C432">
        <v>68992169</v>
      </c>
      <c r="D432">
        <v>64271871</v>
      </c>
      <c r="E432">
        <v>1</v>
      </c>
      <c r="F432">
        <v>1</v>
      </c>
      <c r="G432">
        <v>1</v>
      </c>
      <c r="H432">
        <v>3</v>
      </c>
      <c r="I432" t="s">
        <v>934</v>
      </c>
      <c r="J432" t="s">
        <v>935</v>
      </c>
      <c r="K432" t="s">
        <v>936</v>
      </c>
      <c r="L432">
        <v>1302</v>
      </c>
      <c r="N432">
        <v>1003</v>
      </c>
      <c r="O432" t="s">
        <v>395</v>
      </c>
      <c r="P432" t="s">
        <v>395</v>
      </c>
      <c r="Q432">
        <v>10</v>
      </c>
      <c r="X432">
        <v>1.8700000000000001E-2</v>
      </c>
      <c r="Y432">
        <v>50.24</v>
      </c>
      <c r="Z432">
        <v>0</v>
      </c>
      <c r="AA432">
        <v>0</v>
      </c>
      <c r="AB432">
        <v>0</v>
      </c>
      <c r="AC432">
        <v>0</v>
      </c>
      <c r="AD432">
        <v>1</v>
      </c>
      <c r="AE432">
        <v>0</v>
      </c>
      <c r="AF432" t="s">
        <v>3</v>
      </c>
      <c r="AG432">
        <v>1.8700000000000001E-2</v>
      </c>
      <c r="AH432">
        <v>2</v>
      </c>
      <c r="AI432">
        <v>68992186</v>
      </c>
      <c r="AJ432">
        <v>439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ROW(Source!A148)</f>
        <v>148</v>
      </c>
      <c r="B433">
        <v>68992210</v>
      </c>
      <c r="C433">
        <v>68992169</v>
      </c>
      <c r="D433">
        <v>64272226</v>
      </c>
      <c r="E433">
        <v>1</v>
      </c>
      <c r="F433">
        <v>1</v>
      </c>
      <c r="G433">
        <v>1</v>
      </c>
      <c r="H433">
        <v>3</v>
      </c>
      <c r="I433" t="s">
        <v>937</v>
      </c>
      <c r="J433" t="s">
        <v>938</v>
      </c>
      <c r="K433" t="s">
        <v>939</v>
      </c>
      <c r="L433">
        <v>1348</v>
      </c>
      <c r="N433">
        <v>1009</v>
      </c>
      <c r="O433" t="s">
        <v>71</v>
      </c>
      <c r="P433" t="s">
        <v>71</v>
      </c>
      <c r="Q433">
        <v>1000</v>
      </c>
      <c r="X433">
        <v>3.0000000000000001E-5</v>
      </c>
      <c r="Y433">
        <v>4455.2</v>
      </c>
      <c r="Z433">
        <v>0</v>
      </c>
      <c r="AA433">
        <v>0</v>
      </c>
      <c r="AB433">
        <v>0</v>
      </c>
      <c r="AC433">
        <v>0</v>
      </c>
      <c r="AD433">
        <v>1</v>
      </c>
      <c r="AE433">
        <v>0</v>
      </c>
      <c r="AF433" t="s">
        <v>3</v>
      </c>
      <c r="AG433">
        <v>3.0000000000000001E-5</v>
      </c>
      <c r="AH433">
        <v>2</v>
      </c>
      <c r="AI433">
        <v>68992187</v>
      </c>
      <c r="AJ433">
        <v>440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ROW(Source!A148)</f>
        <v>148</v>
      </c>
      <c r="B434">
        <v>68992211</v>
      </c>
      <c r="C434">
        <v>68992169</v>
      </c>
      <c r="D434">
        <v>64272954</v>
      </c>
      <c r="E434">
        <v>1</v>
      </c>
      <c r="F434">
        <v>1</v>
      </c>
      <c r="G434">
        <v>1</v>
      </c>
      <c r="H434">
        <v>3</v>
      </c>
      <c r="I434" t="s">
        <v>940</v>
      </c>
      <c r="J434" t="s">
        <v>941</v>
      </c>
      <c r="K434" t="s">
        <v>942</v>
      </c>
      <c r="L434">
        <v>1348</v>
      </c>
      <c r="N434">
        <v>1009</v>
      </c>
      <c r="O434" t="s">
        <v>71</v>
      </c>
      <c r="P434" t="s">
        <v>71</v>
      </c>
      <c r="Q434">
        <v>1000</v>
      </c>
      <c r="X434">
        <v>1.9400000000000001E-3</v>
      </c>
      <c r="Y434">
        <v>4920</v>
      </c>
      <c r="Z434">
        <v>0</v>
      </c>
      <c r="AA434">
        <v>0</v>
      </c>
      <c r="AB434">
        <v>0</v>
      </c>
      <c r="AC434">
        <v>0</v>
      </c>
      <c r="AD434">
        <v>1</v>
      </c>
      <c r="AE434">
        <v>0</v>
      </c>
      <c r="AF434" t="s">
        <v>3</v>
      </c>
      <c r="AG434">
        <v>1.9400000000000001E-3</v>
      </c>
      <c r="AH434">
        <v>2</v>
      </c>
      <c r="AI434">
        <v>68992188</v>
      </c>
      <c r="AJ434">
        <v>441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ROW(Source!A148)</f>
        <v>148</v>
      </c>
      <c r="B435">
        <v>68992212</v>
      </c>
      <c r="C435">
        <v>68992169</v>
      </c>
      <c r="D435">
        <v>64276263</v>
      </c>
      <c r="E435">
        <v>1</v>
      </c>
      <c r="F435">
        <v>1</v>
      </c>
      <c r="G435">
        <v>1</v>
      </c>
      <c r="H435">
        <v>3</v>
      </c>
      <c r="I435" t="s">
        <v>943</v>
      </c>
      <c r="J435" t="s">
        <v>944</v>
      </c>
      <c r="K435" t="s">
        <v>945</v>
      </c>
      <c r="L435">
        <v>1339</v>
      </c>
      <c r="N435">
        <v>1007</v>
      </c>
      <c r="O435" t="s">
        <v>113</v>
      </c>
      <c r="P435" t="s">
        <v>113</v>
      </c>
      <c r="Q435">
        <v>1</v>
      </c>
      <c r="X435">
        <v>1.0300000000000001E-3</v>
      </c>
      <c r="Y435">
        <v>1700</v>
      </c>
      <c r="Z435">
        <v>0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3</v>
      </c>
      <c r="AG435">
        <v>1.0300000000000001E-3</v>
      </c>
      <c r="AH435">
        <v>2</v>
      </c>
      <c r="AI435">
        <v>68992189</v>
      </c>
      <c r="AJ435">
        <v>442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ROW(Source!A148)</f>
        <v>148</v>
      </c>
      <c r="B436">
        <v>68992213</v>
      </c>
      <c r="C436">
        <v>68992169</v>
      </c>
      <c r="D436">
        <v>64283919</v>
      </c>
      <c r="E436">
        <v>1</v>
      </c>
      <c r="F436">
        <v>1</v>
      </c>
      <c r="G436">
        <v>1</v>
      </c>
      <c r="H436">
        <v>3</v>
      </c>
      <c r="I436" t="s">
        <v>946</v>
      </c>
      <c r="J436" t="s">
        <v>947</v>
      </c>
      <c r="K436" t="s">
        <v>948</v>
      </c>
      <c r="L436">
        <v>1348</v>
      </c>
      <c r="N436">
        <v>1009</v>
      </c>
      <c r="O436" t="s">
        <v>71</v>
      </c>
      <c r="P436" t="s">
        <v>71</v>
      </c>
      <c r="Q436">
        <v>1000</v>
      </c>
      <c r="X436">
        <v>3.1E-4</v>
      </c>
      <c r="Y436">
        <v>15620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3</v>
      </c>
      <c r="AG436">
        <v>3.1E-4</v>
      </c>
      <c r="AH436">
        <v>2</v>
      </c>
      <c r="AI436">
        <v>68992190</v>
      </c>
      <c r="AJ436">
        <v>443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ROW(Source!A148)</f>
        <v>148</v>
      </c>
      <c r="B437">
        <v>68992214</v>
      </c>
      <c r="C437">
        <v>68992169</v>
      </c>
      <c r="D437">
        <v>64285060</v>
      </c>
      <c r="E437">
        <v>1</v>
      </c>
      <c r="F437">
        <v>1</v>
      </c>
      <c r="G437">
        <v>1</v>
      </c>
      <c r="H437">
        <v>3</v>
      </c>
      <c r="I437" t="s">
        <v>949</v>
      </c>
      <c r="J437" t="s">
        <v>950</v>
      </c>
      <c r="K437" t="s">
        <v>951</v>
      </c>
      <c r="L437">
        <v>1346</v>
      </c>
      <c r="N437">
        <v>1009</v>
      </c>
      <c r="O437" t="s">
        <v>170</v>
      </c>
      <c r="P437" t="s">
        <v>170</v>
      </c>
      <c r="Q437">
        <v>1</v>
      </c>
      <c r="X437">
        <v>0.6</v>
      </c>
      <c r="Y437">
        <v>9.42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3</v>
      </c>
      <c r="AG437">
        <v>0.6</v>
      </c>
      <c r="AH437">
        <v>2</v>
      </c>
      <c r="AI437">
        <v>68992191</v>
      </c>
      <c r="AJ437">
        <v>444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ROW(Source!A149)</f>
        <v>149</v>
      </c>
      <c r="B438">
        <v>68992227</v>
      </c>
      <c r="C438">
        <v>68992218</v>
      </c>
      <c r="D438">
        <v>37080781</v>
      </c>
      <c r="E438">
        <v>56</v>
      </c>
      <c r="F438">
        <v>1</v>
      </c>
      <c r="G438">
        <v>1</v>
      </c>
      <c r="H438">
        <v>1</v>
      </c>
      <c r="I438" t="s">
        <v>816</v>
      </c>
      <c r="J438" t="s">
        <v>3</v>
      </c>
      <c r="K438" t="s">
        <v>817</v>
      </c>
      <c r="L438">
        <v>1191</v>
      </c>
      <c r="N438">
        <v>1013</v>
      </c>
      <c r="O438" t="s">
        <v>818</v>
      </c>
      <c r="P438" t="s">
        <v>818</v>
      </c>
      <c r="Q438">
        <v>1</v>
      </c>
      <c r="X438">
        <v>118.4</v>
      </c>
      <c r="Y438">
        <v>0</v>
      </c>
      <c r="Z438">
        <v>0</v>
      </c>
      <c r="AA438">
        <v>0</v>
      </c>
      <c r="AB438">
        <v>9.92</v>
      </c>
      <c r="AC438">
        <v>0</v>
      </c>
      <c r="AD438">
        <v>1</v>
      </c>
      <c r="AE438">
        <v>1</v>
      </c>
      <c r="AF438" t="s">
        <v>200</v>
      </c>
      <c r="AG438">
        <v>159.84000000000003</v>
      </c>
      <c r="AH438">
        <v>2</v>
      </c>
      <c r="AI438">
        <v>68992219</v>
      </c>
      <c r="AJ438">
        <v>445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ROW(Source!A149)</f>
        <v>149</v>
      </c>
      <c r="B439">
        <v>68992228</v>
      </c>
      <c r="C439">
        <v>68992218</v>
      </c>
      <c r="D439">
        <v>37064876</v>
      </c>
      <c r="E439">
        <v>56</v>
      </c>
      <c r="F439">
        <v>1</v>
      </c>
      <c r="G439">
        <v>1</v>
      </c>
      <c r="H439">
        <v>1</v>
      </c>
      <c r="I439" t="s">
        <v>819</v>
      </c>
      <c r="J439" t="s">
        <v>3</v>
      </c>
      <c r="K439" t="s">
        <v>820</v>
      </c>
      <c r="L439">
        <v>1191</v>
      </c>
      <c r="N439">
        <v>1013</v>
      </c>
      <c r="O439" t="s">
        <v>818</v>
      </c>
      <c r="P439" t="s">
        <v>818</v>
      </c>
      <c r="Q439">
        <v>1</v>
      </c>
      <c r="X439">
        <v>0.6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1</v>
      </c>
      <c r="AE439">
        <v>2</v>
      </c>
      <c r="AF439" t="s">
        <v>200</v>
      </c>
      <c r="AG439">
        <v>0.81</v>
      </c>
      <c r="AH439">
        <v>2</v>
      </c>
      <c r="AI439">
        <v>68992220</v>
      </c>
      <c r="AJ439">
        <v>446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ROW(Source!A149)</f>
        <v>149</v>
      </c>
      <c r="B440">
        <v>68992229</v>
      </c>
      <c r="C440">
        <v>68992218</v>
      </c>
      <c r="D440">
        <v>64401763</v>
      </c>
      <c r="E440">
        <v>1</v>
      </c>
      <c r="F440">
        <v>1</v>
      </c>
      <c r="G440">
        <v>1</v>
      </c>
      <c r="H440">
        <v>2</v>
      </c>
      <c r="I440" t="s">
        <v>821</v>
      </c>
      <c r="J440" t="s">
        <v>822</v>
      </c>
      <c r="K440" t="s">
        <v>823</v>
      </c>
      <c r="L440">
        <v>1368</v>
      </c>
      <c r="N440">
        <v>1011</v>
      </c>
      <c r="O440" t="s">
        <v>824</v>
      </c>
      <c r="P440" t="s">
        <v>824</v>
      </c>
      <c r="Q440">
        <v>1</v>
      </c>
      <c r="X440">
        <v>0.3</v>
      </c>
      <c r="Y440">
        <v>0</v>
      </c>
      <c r="Z440">
        <v>115.4</v>
      </c>
      <c r="AA440">
        <v>13.5</v>
      </c>
      <c r="AB440">
        <v>0</v>
      </c>
      <c r="AC440">
        <v>0</v>
      </c>
      <c r="AD440">
        <v>1</v>
      </c>
      <c r="AE440">
        <v>0</v>
      </c>
      <c r="AF440" t="s">
        <v>200</v>
      </c>
      <c r="AG440">
        <v>0.40500000000000003</v>
      </c>
      <c r="AH440">
        <v>2</v>
      </c>
      <c r="AI440">
        <v>68992221</v>
      </c>
      <c r="AJ440">
        <v>447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ROW(Source!A149)</f>
        <v>149</v>
      </c>
      <c r="B441">
        <v>68992230</v>
      </c>
      <c r="C441">
        <v>68992218</v>
      </c>
      <c r="D441">
        <v>64402691</v>
      </c>
      <c r="E441">
        <v>1</v>
      </c>
      <c r="F441">
        <v>1</v>
      </c>
      <c r="G441">
        <v>1</v>
      </c>
      <c r="H441">
        <v>2</v>
      </c>
      <c r="I441" t="s">
        <v>825</v>
      </c>
      <c r="J441" t="s">
        <v>826</v>
      </c>
      <c r="K441" t="s">
        <v>827</v>
      </c>
      <c r="L441">
        <v>1368</v>
      </c>
      <c r="N441">
        <v>1011</v>
      </c>
      <c r="O441" t="s">
        <v>824</v>
      </c>
      <c r="P441" t="s">
        <v>824</v>
      </c>
      <c r="Q441">
        <v>1</v>
      </c>
      <c r="X441">
        <v>0.3</v>
      </c>
      <c r="Y441">
        <v>0</v>
      </c>
      <c r="Z441">
        <v>65.709999999999994</v>
      </c>
      <c r="AA441">
        <v>11.6</v>
      </c>
      <c r="AB441">
        <v>0</v>
      </c>
      <c r="AC441">
        <v>0</v>
      </c>
      <c r="AD441">
        <v>1</v>
      </c>
      <c r="AE441">
        <v>0</v>
      </c>
      <c r="AF441" t="s">
        <v>200</v>
      </c>
      <c r="AG441">
        <v>0.40500000000000003</v>
      </c>
      <c r="AH441">
        <v>2</v>
      </c>
      <c r="AI441">
        <v>68992222</v>
      </c>
      <c r="AJ441">
        <v>448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ROW(Source!A149)</f>
        <v>149</v>
      </c>
      <c r="B442">
        <v>68992231</v>
      </c>
      <c r="C442">
        <v>68992218</v>
      </c>
      <c r="D442">
        <v>64257140</v>
      </c>
      <c r="E442">
        <v>1</v>
      </c>
      <c r="F442">
        <v>1</v>
      </c>
      <c r="G442">
        <v>1</v>
      </c>
      <c r="H442">
        <v>3</v>
      </c>
      <c r="I442" t="s">
        <v>1205</v>
      </c>
      <c r="J442" t="s">
        <v>1206</v>
      </c>
      <c r="K442" t="s">
        <v>1207</v>
      </c>
      <c r="L442">
        <v>1348</v>
      </c>
      <c r="N442">
        <v>1009</v>
      </c>
      <c r="O442" t="s">
        <v>71</v>
      </c>
      <c r="P442" t="s">
        <v>71</v>
      </c>
      <c r="Q442">
        <v>1000</v>
      </c>
      <c r="X442">
        <v>3.15E-3</v>
      </c>
      <c r="Y442">
        <v>729.98</v>
      </c>
      <c r="Z442">
        <v>0</v>
      </c>
      <c r="AA442">
        <v>0</v>
      </c>
      <c r="AB442">
        <v>0</v>
      </c>
      <c r="AC442">
        <v>0</v>
      </c>
      <c r="AD442">
        <v>1</v>
      </c>
      <c r="AE442">
        <v>0</v>
      </c>
      <c r="AF442" t="s">
        <v>3</v>
      </c>
      <c r="AG442">
        <v>3.15E-3</v>
      </c>
      <c r="AH442">
        <v>2</v>
      </c>
      <c r="AI442">
        <v>68992223</v>
      </c>
      <c r="AJ442">
        <v>449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ROW(Source!A149)</f>
        <v>149</v>
      </c>
      <c r="B443">
        <v>68992232</v>
      </c>
      <c r="C443">
        <v>68992218</v>
      </c>
      <c r="D443">
        <v>64312700</v>
      </c>
      <c r="E443">
        <v>1</v>
      </c>
      <c r="F443">
        <v>1</v>
      </c>
      <c r="G443">
        <v>1</v>
      </c>
      <c r="H443">
        <v>3</v>
      </c>
      <c r="I443" t="s">
        <v>1208</v>
      </c>
      <c r="J443" t="s">
        <v>1209</v>
      </c>
      <c r="K443" t="s">
        <v>1210</v>
      </c>
      <c r="L443">
        <v>1346</v>
      </c>
      <c r="N443">
        <v>1009</v>
      </c>
      <c r="O443" t="s">
        <v>170</v>
      </c>
      <c r="P443" t="s">
        <v>170</v>
      </c>
      <c r="Q443">
        <v>1</v>
      </c>
      <c r="X443">
        <v>3.09</v>
      </c>
      <c r="Y443">
        <v>35.700000000000003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0</v>
      </c>
      <c r="AF443" t="s">
        <v>3</v>
      </c>
      <c r="AG443">
        <v>3.09</v>
      </c>
      <c r="AH443">
        <v>2</v>
      </c>
      <c r="AI443">
        <v>68992225</v>
      </c>
      <c r="AJ443">
        <v>451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ROW(Source!A149)</f>
        <v>149</v>
      </c>
      <c r="B444">
        <v>68992233</v>
      </c>
      <c r="C444">
        <v>68992218</v>
      </c>
      <c r="D444">
        <v>64245580</v>
      </c>
      <c r="E444">
        <v>56</v>
      </c>
      <c r="F444">
        <v>1</v>
      </c>
      <c r="G444">
        <v>1</v>
      </c>
      <c r="H444">
        <v>3</v>
      </c>
      <c r="I444" t="s">
        <v>837</v>
      </c>
      <c r="J444" t="s">
        <v>3</v>
      </c>
      <c r="K444" t="s">
        <v>838</v>
      </c>
      <c r="L444">
        <v>1374</v>
      </c>
      <c r="N444">
        <v>1013</v>
      </c>
      <c r="O444" t="s">
        <v>839</v>
      </c>
      <c r="P444" t="s">
        <v>839</v>
      </c>
      <c r="Q444">
        <v>1</v>
      </c>
      <c r="X444">
        <v>23.49</v>
      </c>
      <c r="Y444">
        <v>1</v>
      </c>
      <c r="Z444">
        <v>0</v>
      </c>
      <c r="AA444">
        <v>0</v>
      </c>
      <c r="AB444">
        <v>0</v>
      </c>
      <c r="AC444">
        <v>0</v>
      </c>
      <c r="AD444">
        <v>1</v>
      </c>
      <c r="AE444">
        <v>0</v>
      </c>
      <c r="AF444" t="s">
        <v>3</v>
      </c>
      <c r="AG444">
        <v>23.49</v>
      </c>
      <c r="AH444">
        <v>2</v>
      </c>
      <c r="AI444">
        <v>68992226</v>
      </c>
      <c r="AJ444">
        <v>452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ROW(Source!A151)</f>
        <v>151</v>
      </c>
      <c r="B445">
        <v>68992261</v>
      </c>
      <c r="C445">
        <v>68992235</v>
      </c>
      <c r="D445">
        <v>64241023</v>
      </c>
      <c r="E445">
        <v>56</v>
      </c>
      <c r="F445">
        <v>1</v>
      </c>
      <c r="G445">
        <v>1</v>
      </c>
      <c r="H445">
        <v>1</v>
      </c>
      <c r="I445" t="s">
        <v>1211</v>
      </c>
      <c r="J445" t="s">
        <v>3</v>
      </c>
      <c r="K445" t="s">
        <v>1212</v>
      </c>
      <c r="L445">
        <v>1191</v>
      </c>
      <c r="N445">
        <v>1013</v>
      </c>
      <c r="O445" t="s">
        <v>818</v>
      </c>
      <c r="P445" t="s">
        <v>818</v>
      </c>
      <c r="Q445">
        <v>1</v>
      </c>
      <c r="X445">
        <v>0.5</v>
      </c>
      <c r="Y445">
        <v>0</v>
      </c>
      <c r="Z445">
        <v>0</v>
      </c>
      <c r="AA445">
        <v>0</v>
      </c>
      <c r="AB445">
        <v>9.76</v>
      </c>
      <c r="AC445">
        <v>0</v>
      </c>
      <c r="AD445">
        <v>1</v>
      </c>
      <c r="AE445">
        <v>1</v>
      </c>
      <c r="AF445" t="s">
        <v>200</v>
      </c>
      <c r="AG445">
        <v>0.67500000000000004</v>
      </c>
      <c r="AH445">
        <v>2</v>
      </c>
      <c r="AI445">
        <v>68992261</v>
      </c>
      <c r="AJ445">
        <v>453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ROW(Source!A151)</f>
        <v>151</v>
      </c>
      <c r="B446">
        <v>68992262</v>
      </c>
      <c r="C446">
        <v>68992235</v>
      </c>
      <c r="D446">
        <v>64255521</v>
      </c>
      <c r="E446">
        <v>1</v>
      </c>
      <c r="F446">
        <v>1</v>
      </c>
      <c r="G446">
        <v>1</v>
      </c>
      <c r="H446">
        <v>3</v>
      </c>
      <c r="I446" t="s">
        <v>1213</v>
      </c>
      <c r="J446" t="s">
        <v>1214</v>
      </c>
      <c r="K446" t="s">
        <v>1215</v>
      </c>
      <c r="L446">
        <v>1348</v>
      </c>
      <c r="N446">
        <v>1009</v>
      </c>
      <c r="O446" t="s">
        <v>71</v>
      </c>
      <c r="P446" t="s">
        <v>71</v>
      </c>
      <c r="Q446">
        <v>1000</v>
      </c>
      <c r="X446">
        <v>1.0000000000000001E-5</v>
      </c>
      <c r="Y446">
        <v>12430</v>
      </c>
      <c r="Z446">
        <v>0</v>
      </c>
      <c r="AA446">
        <v>0</v>
      </c>
      <c r="AB446">
        <v>0</v>
      </c>
      <c r="AC446">
        <v>0</v>
      </c>
      <c r="AD446">
        <v>1</v>
      </c>
      <c r="AE446">
        <v>0</v>
      </c>
      <c r="AF446" t="s">
        <v>3</v>
      </c>
      <c r="AG446">
        <v>1.0000000000000001E-5</v>
      </c>
      <c r="AH446">
        <v>2</v>
      </c>
      <c r="AI446">
        <v>68992262</v>
      </c>
      <c r="AJ446">
        <v>454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ROW(Source!A151)</f>
        <v>151</v>
      </c>
      <c r="B447">
        <v>68992263</v>
      </c>
      <c r="C447">
        <v>68992235</v>
      </c>
      <c r="D447">
        <v>64257140</v>
      </c>
      <c r="E447">
        <v>1</v>
      </c>
      <c r="F447">
        <v>1</v>
      </c>
      <c r="G447">
        <v>1</v>
      </c>
      <c r="H447">
        <v>3</v>
      </c>
      <c r="I447" t="s">
        <v>1205</v>
      </c>
      <c r="J447" t="s">
        <v>1206</v>
      </c>
      <c r="K447" t="s">
        <v>1207</v>
      </c>
      <c r="L447">
        <v>1348</v>
      </c>
      <c r="N447">
        <v>1009</v>
      </c>
      <c r="O447" t="s">
        <v>71</v>
      </c>
      <c r="P447" t="s">
        <v>71</v>
      </c>
      <c r="Q447">
        <v>1000</v>
      </c>
      <c r="X447">
        <v>5.0000000000000002E-5</v>
      </c>
      <c r="Y447">
        <v>729.98</v>
      </c>
      <c r="Z447">
        <v>0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3</v>
      </c>
      <c r="AG447">
        <v>5.0000000000000002E-5</v>
      </c>
      <c r="AH447">
        <v>2</v>
      </c>
      <c r="AI447">
        <v>68992263</v>
      </c>
      <c r="AJ447">
        <v>455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ROW(Source!A151)</f>
        <v>151</v>
      </c>
      <c r="B448">
        <v>68992264</v>
      </c>
      <c r="C448">
        <v>68992235</v>
      </c>
      <c r="D448">
        <v>64272216</v>
      </c>
      <c r="E448">
        <v>1</v>
      </c>
      <c r="F448">
        <v>1</v>
      </c>
      <c r="G448">
        <v>1</v>
      </c>
      <c r="H448">
        <v>3</v>
      </c>
      <c r="I448" t="s">
        <v>1216</v>
      </c>
      <c r="J448" t="s">
        <v>1217</v>
      </c>
      <c r="K448" t="s">
        <v>1218</v>
      </c>
      <c r="L448">
        <v>1348</v>
      </c>
      <c r="N448">
        <v>1009</v>
      </c>
      <c r="O448" t="s">
        <v>71</v>
      </c>
      <c r="P448" t="s">
        <v>71</v>
      </c>
      <c r="Q448">
        <v>1000</v>
      </c>
      <c r="X448">
        <v>1.0000000000000001E-5</v>
      </c>
      <c r="Y448">
        <v>14690</v>
      </c>
      <c r="Z448">
        <v>0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3</v>
      </c>
      <c r="AG448">
        <v>1.0000000000000001E-5</v>
      </c>
      <c r="AH448">
        <v>2</v>
      </c>
      <c r="AI448">
        <v>68992264</v>
      </c>
      <c r="AJ448">
        <v>456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ROW(Source!A151)</f>
        <v>151</v>
      </c>
      <c r="B449">
        <v>68992265</v>
      </c>
      <c r="C449">
        <v>68992235</v>
      </c>
      <c r="D449">
        <v>64245580</v>
      </c>
      <c r="E449">
        <v>56</v>
      </c>
      <c r="F449">
        <v>1</v>
      </c>
      <c r="G449">
        <v>1</v>
      </c>
      <c r="H449">
        <v>3</v>
      </c>
      <c r="I449" t="s">
        <v>837</v>
      </c>
      <c r="J449" t="s">
        <v>3</v>
      </c>
      <c r="K449" t="s">
        <v>838</v>
      </c>
      <c r="L449">
        <v>1374</v>
      </c>
      <c r="N449">
        <v>1013</v>
      </c>
      <c r="O449" t="s">
        <v>839</v>
      </c>
      <c r="P449" t="s">
        <v>839</v>
      </c>
      <c r="Q449">
        <v>1</v>
      </c>
      <c r="X449">
        <v>0.1</v>
      </c>
      <c r="Y449">
        <v>1</v>
      </c>
      <c r="Z449">
        <v>0</v>
      </c>
      <c r="AA449">
        <v>0</v>
      </c>
      <c r="AB449">
        <v>0</v>
      </c>
      <c r="AC449">
        <v>0</v>
      </c>
      <c r="AD449">
        <v>1</v>
      </c>
      <c r="AE449">
        <v>0</v>
      </c>
      <c r="AF449" t="s">
        <v>3</v>
      </c>
      <c r="AG449">
        <v>0.1</v>
      </c>
      <c r="AH449">
        <v>2</v>
      </c>
      <c r="AI449">
        <v>68992265</v>
      </c>
      <c r="AJ449">
        <v>458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ROW(Source!A153)</f>
        <v>153</v>
      </c>
      <c r="B450">
        <v>68992291</v>
      </c>
      <c r="C450">
        <v>68992280</v>
      </c>
      <c r="D450">
        <v>37080781</v>
      </c>
      <c r="E450">
        <v>56</v>
      </c>
      <c r="F450">
        <v>1</v>
      </c>
      <c r="G450">
        <v>1</v>
      </c>
      <c r="H450">
        <v>1</v>
      </c>
      <c r="I450" t="s">
        <v>816</v>
      </c>
      <c r="J450" t="s">
        <v>3</v>
      </c>
      <c r="K450" t="s">
        <v>817</v>
      </c>
      <c r="L450">
        <v>1191</v>
      </c>
      <c r="N450">
        <v>1013</v>
      </c>
      <c r="O450" t="s">
        <v>818</v>
      </c>
      <c r="P450" t="s">
        <v>818</v>
      </c>
      <c r="Q450">
        <v>1</v>
      </c>
      <c r="X450">
        <v>31.6</v>
      </c>
      <c r="Y450">
        <v>0</v>
      </c>
      <c r="Z450">
        <v>0</v>
      </c>
      <c r="AA450">
        <v>0</v>
      </c>
      <c r="AB450">
        <v>9.92</v>
      </c>
      <c r="AC450">
        <v>0</v>
      </c>
      <c r="AD450">
        <v>1</v>
      </c>
      <c r="AE450">
        <v>1</v>
      </c>
      <c r="AF450" t="s">
        <v>200</v>
      </c>
      <c r="AG450">
        <v>42.660000000000004</v>
      </c>
      <c r="AH450">
        <v>2</v>
      </c>
      <c r="AI450">
        <v>68992281</v>
      </c>
      <c r="AJ450">
        <v>459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ROW(Source!A153)</f>
        <v>153</v>
      </c>
      <c r="B451">
        <v>68992292</v>
      </c>
      <c r="C451">
        <v>68992280</v>
      </c>
      <c r="D451">
        <v>37064876</v>
      </c>
      <c r="E451">
        <v>56</v>
      </c>
      <c r="F451">
        <v>1</v>
      </c>
      <c r="G451">
        <v>1</v>
      </c>
      <c r="H451">
        <v>1</v>
      </c>
      <c r="I451" t="s">
        <v>819</v>
      </c>
      <c r="J451" t="s">
        <v>3</v>
      </c>
      <c r="K451" t="s">
        <v>820</v>
      </c>
      <c r="L451">
        <v>1191</v>
      </c>
      <c r="N451">
        <v>1013</v>
      </c>
      <c r="O451" t="s">
        <v>818</v>
      </c>
      <c r="P451" t="s">
        <v>818</v>
      </c>
      <c r="Q451">
        <v>1</v>
      </c>
      <c r="X451">
        <v>0.05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2</v>
      </c>
      <c r="AF451" t="s">
        <v>200</v>
      </c>
      <c r="AG451">
        <v>6.7500000000000004E-2</v>
      </c>
      <c r="AH451">
        <v>2</v>
      </c>
      <c r="AI451">
        <v>68992282</v>
      </c>
      <c r="AJ451">
        <v>460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ROW(Source!A153)</f>
        <v>153</v>
      </c>
      <c r="B452">
        <v>68992293</v>
      </c>
      <c r="C452">
        <v>68992280</v>
      </c>
      <c r="D452">
        <v>64401763</v>
      </c>
      <c r="E452">
        <v>1</v>
      </c>
      <c r="F452">
        <v>1</v>
      </c>
      <c r="G452">
        <v>1</v>
      </c>
      <c r="H452">
        <v>2</v>
      </c>
      <c r="I452" t="s">
        <v>821</v>
      </c>
      <c r="J452" t="s">
        <v>822</v>
      </c>
      <c r="K452" t="s">
        <v>823</v>
      </c>
      <c r="L452">
        <v>1368</v>
      </c>
      <c r="N452">
        <v>1011</v>
      </c>
      <c r="O452" t="s">
        <v>824</v>
      </c>
      <c r="P452" t="s">
        <v>824</v>
      </c>
      <c r="Q452">
        <v>1</v>
      </c>
      <c r="X452">
        <v>0.03</v>
      </c>
      <c r="Y452">
        <v>0</v>
      </c>
      <c r="Z452">
        <v>115.4</v>
      </c>
      <c r="AA452">
        <v>13.5</v>
      </c>
      <c r="AB452">
        <v>0</v>
      </c>
      <c r="AC452">
        <v>0</v>
      </c>
      <c r="AD452">
        <v>1</v>
      </c>
      <c r="AE452">
        <v>0</v>
      </c>
      <c r="AF452" t="s">
        <v>200</v>
      </c>
      <c r="AG452">
        <v>4.0500000000000001E-2</v>
      </c>
      <c r="AH452">
        <v>2</v>
      </c>
      <c r="AI452">
        <v>68992283</v>
      </c>
      <c r="AJ452">
        <v>461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ROW(Source!A153)</f>
        <v>153</v>
      </c>
      <c r="B453">
        <v>68992294</v>
      </c>
      <c r="C453">
        <v>68992280</v>
      </c>
      <c r="D453">
        <v>64402691</v>
      </c>
      <c r="E453">
        <v>1</v>
      </c>
      <c r="F453">
        <v>1</v>
      </c>
      <c r="G453">
        <v>1</v>
      </c>
      <c r="H453">
        <v>2</v>
      </c>
      <c r="I453" t="s">
        <v>825</v>
      </c>
      <c r="J453" t="s">
        <v>826</v>
      </c>
      <c r="K453" t="s">
        <v>827</v>
      </c>
      <c r="L453">
        <v>1368</v>
      </c>
      <c r="N453">
        <v>1011</v>
      </c>
      <c r="O453" t="s">
        <v>824</v>
      </c>
      <c r="P453" t="s">
        <v>824</v>
      </c>
      <c r="Q453">
        <v>1</v>
      </c>
      <c r="X453">
        <v>0.02</v>
      </c>
      <c r="Y453">
        <v>0</v>
      </c>
      <c r="Z453">
        <v>65.709999999999994</v>
      </c>
      <c r="AA453">
        <v>11.6</v>
      </c>
      <c r="AB453">
        <v>0</v>
      </c>
      <c r="AC453">
        <v>0</v>
      </c>
      <c r="AD453">
        <v>1</v>
      </c>
      <c r="AE453">
        <v>0</v>
      </c>
      <c r="AF453" t="s">
        <v>200</v>
      </c>
      <c r="AG453">
        <v>2.7000000000000003E-2</v>
      </c>
      <c r="AH453">
        <v>2</v>
      </c>
      <c r="AI453">
        <v>68992284</v>
      </c>
      <c r="AJ453">
        <v>462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ROW(Source!A153)</f>
        <v>153</v>
      </c>
      <c r="B454">
        <v>68992295</v>
      </c>
      <c r="C454">
        <v>68992280</v>
      </c>
      <c r="D454">
        <v>64253038</v>
      </c>
      <c r="E454">
        <v>1</v>
      </c>
      <c r="F454">
        <v>1</v>
      </c>
      <c r="G454">
        <v>1</v>
      </c>
      <c r="H454">
        <v>3</v>
      </c>
      <c r="I454" t="s">
        <v>828</v>
      </c>
      <c r="J454" t="s">
        <v>829</v>
      </c>
      <c r="K454" t="s">
        <v>830</v>
      </c>
      <c r="L454">
        <v>1346</v>
      </c>
      <c r="N454">
        <v>1009</v>
      </c>
      <c r="O454" t="s">
        <v>170</v>
      </c>
      <c r="P454" t="s">
        <v>170</v>
      </c>
      <c r="Q454">
        <v>1</v>
      </c>
      <c r="X454">
        <v>0.11</v>
      </c>
      <c r="Y454">
        <v>30.4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0</v>
      </c>
      <c r="AF454" t="s">
        <v>3</v>
      </c>
      <c r="AG454">
        <v>0.11</v>
      </c>
      <c r="AH454">
        <v>2</v>
      </c>
      <c r="AI454">
        <v>68992285</v>
      </c>
      <c r="AJ454">
        <v>463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ROW(Source!A153)</f>
        <v>153</v>
      </c>
      <c r="B455">
        <v>68992296</v>
      </c>
      <c r="C455">
        <v>68992280</v>
      </c>
      <c r="D455">
        <v>64255145</v>
      </c>
      <c r="E455">
        <v>1</v>
      </c>
      <c r="F455">
        <v>1</v>
      </c>
      <c r="G455">
        <v>1</v>
      </c>
      <c r="H455">
        <v>3</v>
      </c>
      <c r="I455" t="s">
        <v>831</v>
      </c>
      <c r="J455" t="s">
        <v>832</v>
      </c>
      <c r="K455" t="s">
        <v>833</v>
      </c>
      <c r="L455">
        <v>1425</v>
      </c>
      <c r="N455">
        <v>1013</v>
      </c>
      <c r="O455" t="s">
        <v>18</v>
      </c>
      <c r="P455" t="s">
        <v>18</v>
      </c>
      <c r="Q455">
        <v>1</v>
      </c>
      <c r="X455">
        <v>1.02</v>
      </c>
      <c r="Y455">
        <v>86</v>
      </c>
      <c r="Z455">
        <v>0</v>
      </c>
      <c r="AA455">
        <v>0</v>
      </c>
      <c r="AB455">
        <v>0</v>
      </c>
      <c r="AC455">
        <v>0</v>
      </c>
      <c r="AD455">
        <v>1</v>
      </c>
      <c r="AE455">
        <v>0</v>
      </c>
      <c r="AF455" t="s">
        <v>3</v>
      </c>
      <c r="AG455">
        <v>1.02</v>
      </c>
      <c r="AH455">
        <v>2</v>
      </c>
      <c r="AI455">
        <v>68992286</v>
      </c>
      <c r="AJ455">
        <v>464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ROW(Source!A153)</f>
        <v>153</v>
      </c>
      <c r="B456">
        <v>68992297</v>
      </c>
      <c r="C456">
        <v>68992280</v>
      </c>
      <c r="D456">
        <v>64255517</v>
      </c>
      <c r="E456">
        <v>1</v>
      </c>
      <c r="F456">
        <v>1</v>
      </c>
      <c r="G456">
        <v>1</v>
      </c>
      <c r="H456">
        <v>3</v>
      </c>
      <c r="I456" t="s">
        <v>1219</v>
      </c>
      <c r="J456" t="s">
        <v>1220</v>
      </c>
      <c r="K456" t="s">
        <v>1221</v>
      </c>
      <c r="L456">
        <v>1348</v>
      </c>
      <c r="N456">
        <v>1009</v>
      </c>
      <c r="O456" t="s">
        <v>71</v>
      </c>
      <c r="P456" t="s">
        <v>71</v>
      </c>
      <c r="Q456">
        <v>1000</v>
      </c>
      <c r="X456">
        <v>1.6000000000000001E-4</v>
      </c>
      <c r="Y456">
        <v>29800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0</v>
      </c>
      <c r="AF456" t="s">
        <v>3</v>
      </c>
      <c r="AG456">
        <v>1.6000000000000001E-4</v>
      </c>
      <c r="AH456">
        <v>2</v>
      </c>
      <c r="AI456">
        <v>68992287</v>
      </c>
      <c r="AJ456">
        <v>465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ROW(Source!A153)</f>
        <v>153</v>
      </c>
      <c r="B457">
        <v>68992298</v>
      </c>
      <c r="C457">
        <v>68992280</v>
      </c>
      <c r="D457">
        <v>64255521</v>
      </c>
      <c r="E457">
        <v>1</v>
      </c>
      <c r="F457">
        <v>1</v>
      </c>
      <c r="G457">
        <v>1</v>
      </c>
      <c r="H457">
        <v>3</v>
      </c>
      <c r="I457" t="s">
        <v>1213</v>
      </c>
      <c r="J457" t="s">
        <v>1214</v>
      </c>
      <c r="K457" t="s">
        <v>1215</v>
      </c>
      <c r="L457">
        <v>1348</v>
      </c>
      <c r="N457">
        <v>1009</v>
      </c>
      <c r="O457" t="s">
        <v>71</v>
      </c>
      <c r="P457" t="s">
        <v>71</v>
      </c>
      <c r="Q457">
        <v>1000</v>
      </c>
      <c r="X457">
        <v>2.9999999999999997E-4</v>
      </c>
      <c r="Y457">
        <v>12430</v>
      </c>
      <c r="Z457">
        <v>0</v>
      </c>
      <c r="AA457">
        <v>0</v>
      </c>
      <c r="AB457">
        <v>0</v>
      </c>
      <c r="AC457">
        <v>0</v>
      </c>
      <c r="AD457">
        <v>1</v>
      </c>
      <c r="AE457">
        <v>0</v>
      </c>
      <c r="AF457" t="s">
        <v>3</v>
      </c>
      <c r="AG457">
        <v>2.9999999999999997E-4</v>
      </c>
      <c r="AH457">
        <v>2</v>
      </c>
      <c r="AI457">
        <v>68992288</v>
      </c>
      <c r="AJ457">
        <v>466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ROW(Source!A153)</f>
        <v>153</v>
      </c>
      <c r="B458">
        <v>68992299</v>
      </c>
      <c r="C458">
        <v>68992280</v>
      </c>
      <c r="D458">
        <v>64245580</v>
      </c>
      <c r="E458">
        <v>56</v>
      </c>
      <c r="F458">
        <v>1</v>
      </c>
      <c r="G458">
        <v>1</v>
      </c>
      <c r="H458">
        <v>3</v>
      </c>
      <c r="I458" t="s">
        <v>837</v>
      </c>
      <c r="J458" t="s">
        <v>3</v>
      </c>
      <c r="K458" t="s">
        <v>838</v>
      </c>
      <c r="L458">
        <v>1374</v>
      </c>
      <c r="N458">
        <v>1013</v>
      </c>
      <c r="O458" t="s">
        <v>839</v>
      </c>
      <c r="P458" t="s">
        <v>839</v>
      </c>
      <c r="Q458">
        <v>1</v>
      </c>
      <c r="X458">
        <v>6.27</v>
      </c>
      <c r="Y458">
        <v>1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0</v>
      </c>
      <c r="AF458" t="s">
        <v>3</v>
      </c>
      <c r="AG458">
        <v>6.27</v>
      </c>
      <c r="AH458">
        <v>2</v>
      </c>
      <c r="AI458">
        <v>68992290</v>
      </c>
      <c r="AJ458">
        <v>468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ROW(Source!A155)</f>
        <v>155</v>
      </c>
      <c r="B459">
        <v>68992309</v>
      </c>
      <c r="C459">
        <v>68992301</v>
      </c>
      <c r="D459">
        <v>37080781</v>
      </c>
      <c r="E459">
        <v>56</v>
      </c>
      <c r="F459">
        <v>1</v>
      </c>
      <c r="G459">
        <v>1</v>
      </c>
      <c r="H459">
        <v>1</v>
      </c>
      <c r="I459" t="s">
        <v>816</v>
      </c>
      <c r="J459" t="s">
        <v>3</v>
      </c>
      <c r="K459" t="s">
        <v>817</v>
      </c>
      <c r="L459">
        <v>1191</v>
      </c>
      <c r="N459">
        <v>1013</v>
      </c>
      <c r="O459" t="s">
        <v>818</v>
      </c>
      <c r="P459" t="s">
        <v>818</v>
      </c>
      <c r="Q459">
        <v>1</v>
      </c>
      <c r="X459">
        <v>0.99</v>
      </c>
      <c r="Y459">
        <v>0</v>
      </c>
      <c r="Z459">
        <v>0</v>
      </c>
      <c r="AA459">
        <v>0</v>
      </c>
      <c r="AB459">
        <v>9.92</v>
      </c>
      <c r="AC459">
        <v>0</v>
      </c>
      <c r="AD459">
        <v>1</v>
      </c>
      <c r="AE459">
        <v>1</v>
      </c>
      <c r="AF459" t="s">
        <v>200</v>
      </c>
      <c r="AG459">
        <v>1.3365</v>
      </c>
      <c r="AH459">
        <v>2</v>
      </c>
      <c r="AI459">
        <v>68992302</v>
      </c>
      <c r="AJ459">
        <v>469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ROW(Source!A155)</f>
        <v>155</v>
      </c>
      <c r="B460">
        <v>68992310</v>
      </c>
      <c r="C460">
        <v>68992301</v>
      </c>
      <c r="D460">
        <v>37064876</v>
      </c>
      <c r="E460">
        <v>56</v>
      </c>
      <c r="F460">
        <v>1</v>
      </c>
      <c r="G460">
        <v>1</v>
      </c>
      <c r="H460">
        <v>1</v>
      </c>
      <c r="I460" t="s">
        <v>819</v>
      </c>
      <c r="J460" t="s">
        <v>3</v>
      </c>
      <c r="K460" t="s">
        <v>820</v>
      </c>
      <c r="L460">
        <v>1191</v>
      </c>
      <c r="N460">
        <v>1013</v>
      </c>
      <c r="O460" t="s">
        <v>818</v>
      </c>
      <c r="P460" t="s">
        <v>818</v>
      </c>
      <c r="Q460">
        <v>1</v>
      </c>
      <c r="X460">
        <v>0.1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1</v>
      </c>
      <c r="AE460">
        <v>2</v>
      </c>
      <c r="AF460" t="s">
        <v>200</v>
      </c>
      <c r="AG460">
        <v>0.13500000000000001</v>
      </c>
      <c r="AH460">
        <v>2</v>
      </c>
      <c r="AI460">
        <v>68992303</v>
      </c>
      <c r="AJ460">
        <v>470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ROW(Source!A155)</f>
        <v>155</v>
      </c>
      <c r="B461">
        <v>68992311</v>
      </c>
      <c r="C461">
        <v>68992301</v>
      </c>
      <c r="D461">
        <v>64401763</v>
      </c>
      <c r="E461">
        <v>1</v>
      </c>
      <c r="F461">
        <v>1</v>
      </c>
      <c r="G461">
        <v>1</v>
      </c>
      <c r="H461">
        <v>2</v>
      </c>
      <c r="I461" t="s">
        <v>821</v>
      </c>
      <c r="J461" t="s">
        <v>822</v>
      </c>
      <c r="K461" t="s">
        <v>823</v>
      </c>
      <c r="L461">
        <v>1368</v>
      </c>
      <c r="N461">
        <v>1011</v>
      </c>
      <c r="O461" t="s">
        <v>824</v>
      </c>
      <c r="P461" t="s">
        <v>824</v>
      </c>
      <c r="Q461">
        <v>1</v>
      </c>
      <c r="X461">
        <v>0.05</v>
      </c>
      <c r="Y461">
        <v>0</v>
      </c>
      <c r="Z461">
        <v>115.4</v>
      </c>
      <c r="AA461">
        <v>13.5</v>
      </c>
      <c r="AB461">
        <v>0</v>
      </c>
      <c r="AC461">
        <v>0</v>
      </c>
      <c r="AD461">
        <v>1</v>
      </c>
      <c r="AE461">
        <v>0</v>
      </c>
      <c r="AF461" t="s">
        <v>200</v>
      </c>
      <c r="AG461">
        <v>6.7500000000000004E-2</v>
      </c>
      <c r="AH461">
        <v>2</v>
      </c>
      <c r="AI461">
        <v>68992304</v>
      </c>
      <c r="AJ461">
        <v>471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ROW(Source!A155)</f>
        <v>155</v>
      </c>
      <c r="B462">
        <v>68992312</v>
      </c>
      <c r="C462">
        <v>68992301</v>
      </c>
      <c r="D462">
        <v>64402691</v>
      </c>
      <c r="E462">
        <v>1</v>
      </c>
      <c r="F462">
        <v>1</v>
      </c>
      <c r="G462">
        <v>1</v>
      </c>
      <c r="H462">
        <v>2</v>
      </c>
      <c r="I462" t="s">
        <v>825</v>
      </c>
      <c r="J462" t="s">
        <v>826</v>
      </c>
      <c r="K462" t="s">
        <v>827</v>
      </c>
      <c r="L462">
        <v>1368</v>
      </c>
      <c r="N462">
        <v>1011</v>
      </c>
      <c r="O462" t="s">
        <v>824</v>
      </c>
      <c r="P462" t="s">
        <v>824</v>
      </c>
      <c r="Q462">
        <v>1</v>
      </c>
      <c r="X462">
        <v>0.05</v>
      </c>
      <c r="Y462">
        <v>0</v>
      </c>
      <c r="Z462">
        <v>65.709999999999994</v>
      </c>
      <c r="AA462">
        <v>11.6</v>
      </c>
      <c r="AB462">
        <v>0</v>
      </c>
      <c r="AC462">
        <v>0</v>
      </c>
      <c r="AD462">
        <v>1</v>
      </c>
      <c r="AE462">
        <v>0</v>
      </c>
      <c r="AF462" t="s">
        <v>200</v>
      </c>
      <c r="AG462">
        <v>6.7500000000000004E-2</v>
      </c>
      <c r="AH462">
        <v>2</v>
      </c>
      <c r="AI462">
        <v>68992305</v>
      </c>
      <c r="AJ462">
        <v>472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ROW(Source!A155)</f>
        <v>155</v>
      </c>
      <c r="B463">
        <v>68992313</v>
      </c>
      <c r="C463">
        <v>68992301</v>
      </c>
      <c r="D463">
        <v>64253038</v>
      </c>
      <c r="E463">
        <v>1</v>
      </c>
      <c r="F463">
        <v>1</v>
      </c>
      <c r="G463">
        <v>1</v>
      </c>
      <c r="H463">
        <v>3</v>
      </c>
      <c r="I463" t="s">
        <v>828</v>
      </c>
      <c r="J463" t="s">
        <v>829</v>
      </c>
      <c r="K463" t="s">
        <v>830</v>
      </c>
      <c r="L463">
        <v>1346</v>
      </c>
      <c r="N463">
        <v>1009</v>
      </c>
      <c r="O463" t="s">
        <v>170</v>
      </c>
      <c r="P463" t="s">
        <v>170</v>
      </c>
      <c r="Q463">
        <v>1</v>
      </c>
      <c r="X463">
        <v>0.02</v>
      </c>
      <c r="Y463">
        <v>30.4</v>
      </c>
      <c r="Z463">
        <v>0</v>
      </c>
      <c r="AA463">
        <v>0</v>
      </c>
      <c r="AB463">
        <v>0</v>
      </c>
      <c r="AC463">
        <v>0</v>
      </c>
      <c r="AD463">
        <v>1</v>
      </c>
      <c r="AE463">
        <v>0</v>
      </c>
      <c r="AF463" t="s">
        <v>3</v>
      </c>
      <c r="AG463">
        <v>0.02</v>
      </c>
      <c r="AH463">
        <v>2</v>
      </c>
      <c r="AI463">
        <v>68992306</v>
      </c>
      <c r="AJ463">
        <v>473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ROW(Source!A155)</f>
        <v>155</v>
      </c>
      <c r="B464">
        <v>68992314</v>
      </c>
      <c r="C464">
        <v>68992301</v>
      </c>
      <c r="D464">
        <v>64245580</v>
      </c>
      <c r="E464">
        <v>56</v>
      </c>
      <c r="F464">
        <v>1</v>
      </c>
      <c r="G464">
        <v>1</v>
      </c>
      <c r="H464">
        <v>3</v>
      </c>
      <c r="I464" t="s">
        <v>837</v>
      </c>
      <c r="J464" t="s">
        <v>3</v>
      </c>
      <c r="K464" t="s">
        <v>838</v>
      </c>
      <c r="L464">
        <v>1374</v>
      </c>
      <c r="N464">
        <v>1013</v>
      </c>
      <c r="O464" t="s">
        <v>839</v>
      </c>
      <c r="P464" t="s">
        <v>839</v>
      </c>
      <c r="Q464">
        <v>1</v>
      </c>
      <c r="X464">
        <v>0.2</v>
      </c>
      <c r="Y464">
        <v>1</v>
      </c>
      <c r="Z464">
        <v>0</v>
      </c>
      <c r="AA464">
        <v>0</v>
      </c>
      <c r="AB464">
        <v>0</v>
      </c>
      <c r="AC464">
        <v>0</v>
      </c>
      <c r="AD464">
        <v>1</v>
      </c>
      <c r="AE464">
        <v>0</v>
      </c>
      <c r="AF464" t="s">
        <v>3</v>
      </c>
      <c r="AG464">
        <v>0.2</v>
      </c>
      <c r="AH464">
        <v>2</v>
      </c>
      <c r="AI464">
        <v>68992308</v>
      </c>
      <c r="AJ464">
        <v>475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ROW(Source!A157)</f>
        <v>157</v>
      </c>
      <c r="B465">
        <v>68992322</v>
      </c>
      <c r="C465">
        <v>68992316</v>
      </c>
      <c r="D465">
        <v>37072767</v>
      </c>
      <c r="E465">
        <v>56</v>
      </c>
      <c r="F465">
        <v>1</v>
      </c>
      <c r="G465">
        <v>1</v>
      </c>
      <c r="H465">
        <v>1</v>
      </c>
      <c r="I465" t="s">
        <v>874</v>
      </c>
      <c r="J465" t="s">
        <v>3</v>
      </c>
      <c r="K465" t="s">
        <v>875</v>
      </c>
      <c r="L465">
        <v>1191</v>
      </c>
      <c r="N465">
        <v>1013</v>
      </c>
      <c r="O465" t="s">
        <v>818</v>
      </c>
      <c r="P465" t="s">
        <v>818</v>
      </c>
      <c r="Q465">
        <v>1</v>
      </c>
      <c r="X465">
        <v>15.2</v>
      </c>
      <c r="Y465">
        <v>0</v>
      </c>
      <c r="Z465">
        <v>0</v>
      </c>
      <c r="AA465">
        <v>0</v>
      </c>
      <c r="AB465">
        <v>9.18</v>
      </c>
      <c r="AC465">
        <v>0</v>
      </c>
      <c r="AD465">
        <v>1</v>
      </c>
      <c r="AE465">
        <v>1</v>
      </c>
      <c r="AF465" t="s">
        <v>200</v>
      </c>
      <c r="AG465">
        <v>20.52</v>
      </c>
      <c r="AH465">
        <v>2</v>
      </c>
      <c r="AI465">
        <v>68992317</v>
      </c>
      <c r="AJ465">
        <v>476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ROW(Source!A157)</f>
        <v>157</v>
      </c>
      <c r="B466">
        <v>68992323</v>
      </c>
      <c r="C466">
        <v>68992316</v>
      </c>
      <c r="D466">
        <v>64255223</v>
      </c>
      <c r="E466">
        <v>1</v>
      </c>
      <c r="F466">
        <v>1</v>
      </c>
      <c r="G466">
        <v>1</v>
      </c>
      <c r="H466">
        <v>3</v>
      </c>
      <c r="I466" t="s">
        <v>1000</v>
      </c>
      <c r="J466" t="s">
        <v>1001</v>
      </c>
      <c r="K466" t="s">
        <v>1002</v>
      </c>
      <c r="L466">
        <v>1425</v>
      </c>
      <c r="N466">
        <v>1013</v>
      </c>
      <c r="O466" t="s">
        <v>18</v>
      </c>
      <c r="P466" t="s">
        <v>18</v>
      </c>
      <c r="Q466">
        <v>1</v>
      </c>
      <c r="X466">
        <v>1.75</v>
      </c>
      <c r="Y466">
        <v>8</v>
      </c>
      <c r="Z466">
        <v>0</v>
      </c>
      <c r="AA466">
        <v>0</v>
      </c>
      <c r="AB466">
        <v>0</v>
      </c>
      <c r="AC466">
        <v>0</v>
      </c>
      <c r="AD466">
        <v>1</v>
      </c>
      <c r="AE466">
        <v>0</v>
      </c>
      <c r="AF466" t="s">
        <v>3</v>
      </c>
      <c r="AG466">
        <v>1.75</v>
      </c>
      <c r="AH466">
        <v>2</v>
      </c>
      <c r="AI466">
        <v>68992318</v>
      </c>
      <c r="AJ466">
        <v>477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ROW(Source!A157)</f>
        <v>157</v>
      </c>
      <c r="B467">
        <v>68992324</v>
      </c>
      <c r="C467">
        <v>68992316</v>
      </c>
      <c r="D467">
        <v>64245580</v>
      </c>
      <c r="E467">
        <v>56</v>
      </c>
      <c r="F467">
        <v>1</v>
      </c>
      <c r="G467">
        <v>1</v>
      </c>
      <c r="H467">
        <v>3</v>
      </c>
      <c r="I467" t="s">
        <v>837</v>
      </c>
      <c r="J467" t="s">
        <v>3</v>
      </c>
      <c r="K467" t="s">
        <v>838</v>
      </c>
      <c r="L467">
        <v>1374</v>
      </c>
      <c r="N467">
        <v>1013</v>
      </c>
      <c r="O467" t="s">
        <v>839</v>
      </c>
      <c r="P467" t="s">
        <v>839</v>
      </c>
      <c r="Q467">
        <v>1</v>
      </c>
      <c r="X467">
        <v>2.79</v>
      </c>
      <c r="Y467">
        <v>1</v>
      </c>
      <c r="Z467">
        <v>0</v>
      </c>
      <c r="AA467">
        <v>0</v>
      </c>
      <c r="AB467">
        <v>0</v>
      </c>
      <c r="AC467">
        <v>0</v>
      </c>
      <c r="AD467">
        <v>1</v>
      </c>
      <c r="AE467">
        <v>0</v>
      </c>
      <c r="AF467" t="s">
        <v>3</v>
      </c>
      <c r="AG467">
        <v>2.79</v>
      </c>
      <c r="AH467">
        <v>2</v>
      </c>
      <c r="AI467">
        <v>68992321</v>
      </c>
      <c r="AJ467">
        <v>480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ROW(Source!A160)</f>
        <v>160</v>
      </c>
      <c r="B468">
        <v>68992351</v>
      </c>
      <c r="C468">
        <v>68992350</v>
      </c>
      <c r="D468">
        <v>64241007</v>
      </c>
      <c r="E468">
        <v>56</v>
      </c>
      <c r="F468">
        <v>1</v>
      </c>
      <c r="G468">
        <v>1</v>
      </c>
      <c r="H468">
        <v>1</v>
      </c>
      <c r="I468" t="s">
        <v>955</v>
      </c>
      <c r="J468" t="s">
        <v>3</v>
      </c>
      <c r="K468" t="s">
        <v>956</v>
      </c>
      <c r="L468">
        <v>1191</v>
      </c>
      <c r="N468">
        <v>1013</v>
      </c>
      <c r="O468" t="s">
        <v>818</v>
      </c>
      <c r="P468" t="s">
        <v>818</v>
      </c>
      <c r="Q468">
        <v>1</v>
      </c>
      <c r="X468">
        <v>6.29</v>
      </c>
      <c r="Y468">
        <v>0</v>
      </c>
      <c r="Z468">
        <v>0</v>
      </c>
      <c r="AA468">
        <v>0</v>
      </c>
      <c r="AB468">
        <v>9.4</v>
      </c>
      <c r="AC468">
        <v>0</v>
      </c>
      <c r="AD468">
        <v>1</v>
      </c>
      <c r="AE468">
        <v>1</v>
      </c>
      <c r="AF468" t="s">
        <v>200</v>
      </c>
      <c r="AG468">
        <v>8.4915000000000003</v>
      </c>
      <c r="AH468">
        <v>2</v>
      </c>
      <c r="AI468">
        <v>68992351</v>
      </c>
      <c r="AJ468">
        <v>481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ROW(Source!A160)</f>
        <v>160</v>
      </c>
      <c r="B469">
        <v>68992352</v>
      </c>
      <c r="C469">
        <v>68992350</v>
      </c>
      <c r="D469">
        <v>64241154</v>
      </c>
      <c r="E469">
        <v>56</v>
      </c>
      <c r="F469">
        <v>1</v>
      </c>
      <c r="G469">
        <v>1</v>
      </c>
      <c r="H469">
        <v>1</v>
      </c>
      <c r="I469" t="s">
        <v>819</v>
      </c>
      <c r="J469" t="s">
        <v>3</v>
      </c>
      <c r="K469" t="s">
        <v>820</v>
      </c>
      <c r="L469">
        <v>1191</v>
      </c>
      <c r="N469">
        <v>1013</v>
      </c>
      <c r="O469" t="s">
        <v>818</v>
      </c>
      <c r="P469" t="s">
        <v>818</v>
      </c>
      <c r="Q469">
        <v>1</v>
      </c>
      <c r="X469">
        <v>0.06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2</v>
      </c>
      <c r="AF469" t="s">
        <v>200</v>
      </c>
      <c r="AG469">
        <v>8.1000000000000003E-2</v>
      </c>
      <c r="AH469">
        <v>2</v>
      </c>
      <c r="AI469">
        <v>68992352</v>
      </c>
      <c r="AJ469">
        <v>482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ROW(Source!A160)</f>
        <v>160</v>
      </c>
      <c r="B470">
        <v>68992353</v>
      </c>
      <c r="C470">
        <v>68992350</v>
      </c>
      <c r="D470">
        <v>64401763</v>
      </c>
      <c r="E470">
        <v>1</v>
      </c>
      <c r="F470">
        <v>1</v>
      </c>
      <c r="G470">
        <v>1</v>
      </c>
      <c r="H470">
        <v>2</v>
      </c>
      <c r="I470" t="s">
        <v>821</v>
      </c>
      <c r="J470" t="s">
        <v>822</v>
      </c>
      <c r="K470" t="s">
        <v>823</v>
      </c>
      <c r="L470">
        <v>1368</v>
      </c>
      <c r="N470">
        <v>1011</v>
      </c>
      <c r="O470" t="s">
        <v>824</v>
      </c>
      <c r="P470" t="s">
        <v>824</v>
      </c>
      <c r="Q470">
        <v>1</v>
      </c>
      <c r="X470">
        <v>0.03</v>
      </c>
      <c r="Y470">
        <v>0</v>
      </c>
      <c r="Z470">
        <v>115.4</v>
      </c>
      <c r="AA470">
        <v>13.5</v>
      </c>
      <c r="AB470">
        <v>0</v>
      </c>
      <c r="AC470">
        <v>0</v>
      </c>
      <c r="AD470">
        <v>1</v>
      </c>
      <c r="AE470">
        <v>0</v>
      </c>
      <c r="AF470" t="s">
        <v>200</v>
      </c>
      <c r="AG470">
        <v>4.0500000000000001E-2</v>
      </c>
      <c r="AH470">
        <v>2</v>
      </c>
      <c r="AI470">
        <v>68992353</v>
      </c>
      <c r="AJ470">
        <v>483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ROW(Source!A160)</f>
        <v>160</v>
      </c>
      <c r="B471">
        <v>68992354</v>
      </c>
      <c r="C471">
        <v>68992350</v>
      </c>
      <c r="D471">
        <v>64402691</v>
      </c>
      <c r="E471">
        <v>1</v>
      </c>
      <c r="F471">
        <v>1</v>
      </c>
      <c r="G471">
        <v>1</v>
      </c>
      <c r="H471">
        <v>2</v>
      </c>
      <c r="I471" t="s">
        <v>825</v>
      </c>
      <c r="J471" t="s">
        <v>826</v>
      </c>
      <c r="K471" t="s">
        <v>827</v>
      </c>
      <c r="L471">
        <v>1368</v>
      </c>
      <c r="N471">
        <v>1011</v>
      </c>
      <c r="O471" t="s">
        <v>824</v>
      </c>
      <c r="P471" t="s">
        <v>824</v>
      </c>
      <c r="Q471">
        <v>1</v>
      </c>
      <c r="X471">
        <v>0.03</v>
      </c>
      <c r="Y471">
        <v>0</v>
      </c>
      <c r="Z471">
        <v>65.709999999999994</v>
      </c>
      <c r="AA471">
        <v>11.6</v>
      </c>
      <c r="AB471">
        <v>0</v>
      </c>
      <c r="AC471">
        <v>0</v>
      </c>
      <c r="AD471">
        <v>1</v>
      </c>
      <c r="AE471">
        <v>0</v>
      </c>
      <c r="AF471" t="s">
        <v>200</v>
      </c>
      <c r="AG471">
        <v>4.0500000000000001E-2</v>
      </c>
      <c r="AH471">
        <v>2</v>
      </c>
      <c r="AI471">
        <v>68992354</v>
      </c>
      <c r="AJ471">
        <v>484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ROW(Source!A160)</f>
        <v>160</v>
      </c>
      <c r="B472">
        <v>68992355</v>
      </c>
      <c r="C472">
        <v>68992350</v>
      </c>
      <c r="D472">
        <v>64253038</v>
      </c>
      <c r="E472">
        <v>1</v>
      </c>
      <c r="F472">
        <v>1</v>
      </c>
      <c r="G472">
        <v>1</v>
      </c>
      <c r="H472">
        <v>3</v>
      </c>
      <c r="I472" t="s">
        <v>828</v>
      </c>
      <c r="J472" t="s">
        <v>829</v>
      </c>
      <c r="K472" t="s">
        <v>830</v>
      </c>
      <c r="L472">
        <v>1346</v>
      </c>
      <c r="N472">
        <v>1009</v>
      </c>
      <c r="O472" t="s">
        <v>170</v>
      </c>
      <c r="P472" t="s">
        <v>170</v>
      </c>
      <c r="Q472">
        <v>1</v>
      </c>
      <c r="X472">
        <v>0.32</v>
      </c>
      <c r="Y472">
        <v>30.4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0</v>
      </c>
      <c r="AF472" t="s">
        <v>3</v>
      </c>
      <c r="AG472">
        <v>0.32</v>
      </c>
      <c r="AH472">
        <v>2</v>
      </c>
      <c r="AI472">
        <v>68992355</v>
      </c>
      <c r="AJ472">
        <v>485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ROW(Source!A160)</f>
        <v>160</v>
      </c>
      <c r="B473">
        <v>68992356</v>
      </c>
      <c r="C473">
        <v>68992350</v>
      </c>
      <c r="D473">
        <v>64253321</v>
      </c>
      <c r="E473">
        <v>1</v>
      </c>
      <c r="F473">
        <v>1</v>
      </c>
      <c r="G473">
        <v>1</v>
      </c>
      <c r="H473">
        <v>3</v>
      </c>
      <c r="I473" t="s">
        <v>1222</v>
      </c>
      <c r="J473" t="s">
        <v>1223</v>
      </c>
      <c r="K473" t="s">
        <v>1224</v>
      </c>
      <c r="L473">
        <v>1348</v>
      </c>
      <c r="N473">
        <v>1009</v>
      </c>
      <c r="O473" t="s">
        <v>71</v>
      </c>
      <c r="P473" t="s">
        <v>71</v>
      </c>
      <c r="Q473">
        <v>1000</v>
      </c>
      <c r="X473">
        <v>1.0499999999999999E-3</v>
      </c>
      <c r="Y473">
        <v>1820</v>
      </c>
      <c r="Z473">
        <v>0</v>
      </c>
      <c r="AA473">
        <v>0</v>
      </c>
      <c r="AB473">
        <v>0</v>
      </c>
      <c r="AC473">
        <v>0</v>
      </c>
      <c r="AD473">
        <v>1</v>
      </c>
      <c r="AE473">
        <v>0</v>
      </c>
      <c r="AF473" t="s">
        <v>3</v>
      </c>
      <c r="AG473">
        <v>1.0499999999999999E-3</v>
      </c>
      <c r="AH473">
        <v>2</v>
      </c>
      <c r="AI473">
        <v>68992356</v>
      </c>
      <c r="AJ473">
        <v>486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ROW(Source!A160)</f>
        <v>160</v>
      </c>
      <c r="B474">
        <v>68992357</v>
      </c>
      <c r="C474">
        <v>68992350</v>
      </c>
      <c r="D474">
        <v>64284267</v>
      </c>
      <c r="E474">
        <v>1</v>
      </c>
      <c r="F474">
        <v>1</v>
      </c>
      <c r="G474">
        <v>1</v>
      </c>
      <c r="H474">
        <v>3</v>
      </c>
      <c r="I474" t="s">
        <v>1225</v>
      </c>
      <c r="J474" t="s">
        <v>1226</v>
      </c>
      <c r="K474" t="s">
        <v>1227</v>
      </c>
      <c r="L474">
        <v>1346</v>
      </c>
      <c r="N474">
        <v>1009</v>
      </c>
      <c r="O474" t="s">
        <v>170</v>
      </c>
      <c r="P474" t="s">
        <v>170</v>
      </c>
      <c r="Q474">
        <v>1</v>
      </c>
      <c r="X474">
        <v>0.02</v>
      </c>
      <c r="Y474">
        <v>28.6</v>
      </c>
      <c r="Z474">
        <v>0</v>
      </c>
      <c r="AA474">
        <v>0</v>
      </c>
      <c r="AB474">
        <v>0</v>
      </c>
      <c r="AC474">
        <v>0</v>
      </c>
      <c r="AD474">
        <v>1</v>
      </c>
      <c r="AE474">
        <v>0</v>
      </c>
      <c r="AF474" t="s">
        <v>3</v>
      </c>
      <c r="AG474">
        <v>0.02</v>
      </c>
      <c r="AH474">
        <v>2</v>
      </c>
      <c r="AI474">
        <v>68992357</v>
      </c>
      <c r="AJ474">
        <v>487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ROW(Source!A160)</f>
        <v>160</v>
      </c>
      <c r="B475">
        <v>68992358</v>
      </c>
      <c r="C475">
        <v>68992350</v>
      </c>
      <c r="D475">
        <v>64297625</v>
      </c>
      <c r="E475">
        <v>1</v>
      </c>
      <c r="F475">
        <v>1</v>
      </c>
      <c r="G475">
        <v>1</v>
      </c>
      <c r="H475">
        <v>3</v>
      </c>
      <c r="I475" t="s">
        <v>1228</v>
      </c>
      <c r="J475" t="s">
        <v>1229</v>
      </c>
      <c r="K475" t="s">
        <v>1230</v>
      </c>
      <c r="L475">
        <v>1425</v>
      </c>
      <c r="N475">
        <v>1013</v>
      </c>
      <c r="O475" t="s">
        <v>18</v>
      </c>
      <c r="P475" t="s">
        <v>18</v>
      </c>
      <c r="Q475">
        <v>1</v>
      </c>
      <c r="X475">
        <v>0.05</v>
      </c>
      <c r="Y475">
        <v>143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0</v>
      </c>
      <c r="AF475" t="s">
        <v>3</v>
      </c>
      <c r="AG475">
        <v>0.05</v>
      </c>
      <c r="AH475">
        <v>2</v>
      </c>
      <c r="AI475">
        <v>68992358</v>
      </c>
      <c r="AJ475">
        <v>488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ROW(Source!A160)</f>
        <v>160</v>
      </c>
      <c r="B476">
        <v>68992359</v>
      </c>
      <c r="C476">
        <v>68992350</v>
      </c>
      <c r="D476">
        <v>64297675</v>
      </c>
      <c r="E476">
        <v>1</v>
      </c>
      <c r="F476">
        <v>1</v>
      </c>
      <c r="G476">
        <v>1</v>
      </c>
      <c r="H476">
        <v>3</v>
      </c>
      <c r="I476" t="s">
        <v>1231</v>
      </c>
      <c r="J476" t="s">
        <v>1232</v>
      </c>
      <c r="K476" t="s">
        <v>1233</v>
      </c>
      <c r="L476">
        <v>1407</v>
      </c>
      <c r="N476">
        <v>1013</v>
      </c>
      <c r="O476" t="s">
        <v>1171</v>
      </c>
      <c r="P476" t="s">
        <v>1171</v>
      </c>
      <c r="Q476">
        <v>1</v>
      </c>
      <c r="X476">
        <v>1.2200000000000001E-2</v>
      </c>
      <c r="Y476">
        <v>176.21</v>
      </c>
      <c r="Z476">
        <v>0</v>
      </c>
      <c r="AA476">
        <v>0</v>
      </c>
      <c r="AB476">
        <v>0</v>
      </c>
      <c r="AC476">
        <v>0</v>
      </c>
      <c r="AD476">
        <v>1</v>
      </c>
      <c r="AE476">
        <v>0</v>
      </c>
      <c r="AF476" t="s">
        <v>3</v>
      </c>
      <c r="AG476">
        <v>1.2200000000000001E-2</v>
      </c>
      <c r="AH476">
        <v>2</v>
      </c>
      <c r="AI476">
        <v>68992359</v>
      </c>
      <c r="AJ476">
        <v>489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ROW(Source!A160)</f>
        <v>160</v>
      </c>
      <c r="B477">
        <v>68992360</v>
      </c>
      <c r="C477">
        <v>68992350</v>
      </c>
      <c r="D477">
        <v>64245580</v>
      </c>
      <c r="E477">
        <v>56</v>
      </c>
      <c r="F477">
        <v>1</v>
      </c>
      <c r="G477">
        <v>1</v>
      </c>
      <c r="H477">
        <v>3</v>
      </c>
      <c r="I477" t="s">
        <v>837</v>
      </c>
      <c r="J477" t="s">
        <v>3</v>
      </c>
      <c r="K477" t="s">
        <v>838</v>
      </c>
      <c r="L477">
        <v>1374</v>
      </c>
      <c r="N477">
        <v>1013</v>
      </c>
      <c r="O477" t="s">
        <v>839</v>
      </c>
      <c r="P477" t="s">
        <v>839</v>
      </c>
      <c r="Q477">
        <v>1</v>
      </c>
      <c r="X477">
        <v>1.18</v>
      </c>
      <c r="Y477">
        <v>1</v>
      </c>
      <c r="Z477">
        <v>0</v>
      </c>
      <c r="AA477">
        <v>0</v>
      </c>
      <c r="AB477">
        <v>0</v>
      </c>
      <c r="AC477">
        <v>0</v>
      </c>
      <c r="AD477">
        <v>1</v>
      </c>
      <c r="AE477">
        <v>0</v>
      </c>
      <c r="AF477" t="s">
        <v>3</v>
      </c>
      <c r="AG477">
        <v>1.18</v>
      </c>
      <c r="AH477">
        <v>2</v>
      </c>
      <c r="AI477">
        <v>68992360</v>
      </c>
      <c r="AJ477">
        <v>491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ROW(Source!A162)</f>
        <v>162</v>
      </c>
      <c r="B478">
        <v>68992398</v>
      </c>
      <c r="C478">
        <v>68992387</v>
      </c>
      <c r="D478">
        <v>64241025</v>
      </c>
      <c r="E478">
        <v>56</v>
      </c>
      <c r="F478">
        <v>1</v>
      </c>
      <c r="G478">
        <v>1</v>
      </c>
      <c r="H478">
        <v>1</v>
      </c>
      <c r="I478" t="s">
        <v>816</v>
      </c>
      <c r="J478" t="s">
        <v>3</v>
      </c>
      <c r="K478" t="s">
        <v>817</v>
      </c>
      <c r="L478">
        <v>1191</v>
      </c>
      <c r="N478">
        <v>1013</v>
      </c>
      <c r="O478" t="s">
        <v>818</v>
      </c>
      <c r="P478" t="s">
        <v>818</v>
      </c>
      <c r="Q478">
        <v>1</v>
      </c>
      <c r="X478">
        <v>1.03</v>
      </c>
      <c r="Y478">
        <v>0</v>
      </c>
      <c r="Z478">
        <v>0</v>
      </c>
      <c r="AA478">
        <v>0</v>
      </c>
      <c r="AB478">
        <v>9.92</v>
      </c>
      <c r="AC478">
        <v>0</v>
      </c>
      <c r="AD478">
        <v>1</v>
      </c>
      <c r="AE478">
        <v>1</v>
      </c>
      <c r="AF478" t="s">
        <v>200</v>
      </c>
      <c r="AG478">
        <v>1.3905000000000001</v>
      </c>
      <c r="AH478">
        <v>2</v>
      </c>
      <c r="AI478">
        <v>68992398</v>
      </c>
      <c r="AJ478">
        <v>492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ROW(Source!A162)</f>
        <v>162</v>
      </c>
      <c r="B479">
        <v>68992399</v>
      </c>
      <c r="C479">
        <v>68992387</v>
      </c>
      <c r="D479">
        <v>64255009</v>
      </c>
      <c r="E479">
        <v>1</v>
      </c>
      <c r="F479">
        <v>1</v>
      </c>
      <c r="G479">
        <v>1</v>
      </c>
      <c r="H479">
        <v>3</v>
      </c>
      <c r="I479" t="s">
        <v>963</v>
      </c>
      <c r="J479" t="s">
        <v>964</v>
      </c>
      <c r="K479" t="s">
        <v>965</v>
      </c>
      <c r="L479">
        <v>1346</v>
      </c>
      <c r="N479">
        <v>1009</v>
      </c>
      <c r="O479" t="s">
        <v>170</v>
      </c>
      <c r="P479" t="s">
        <v>170</v>
      </c>
      <c r="Q479">
        <v>1</v>
      </c>
      <c r="X479">
        <v>0.02</v>
      </c>
      <c r="Y479">
        <v>9.0399999999999991</v>
      </c>
      <c r="Z479">
        <v>0</v>
      </c>
      <c r="AA479">
        <v>0</v>
      </c>
      <c r="AB479">
        <v>0</v>
      </c>
      <c r="AC479">
        <v>0</v>
      </c>
      <c r="AD479">
        <v>1</v>
      </c>
      <c r="AE479">
        <v>0</v>
      </c>
      <c r="AF479" t="s">
        <v>3</v>
      </c>
      <c r="AG479">
        <v>0.02</v>
      </c>
      <c r="AH479">
        <v>2</v>
      </c>
      <c r="AI479">
        <v>68992399</v>
      </c>
      <c r="AJ479">
        <v>493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ROW(Source!A162)</f>
        <v>162</v>
      </c>
      <c r="B480">
        <v>68992400</v>
      </c>
      <c r="C480">
        <v>68992387</v>
      </c>
      <c r="D480">
        <v>64245580</v>
      </c>
      <c r="E480">
        <v>56</v>
      </c>
      <c r="F480">
        <v>1</v>
      </c>
      <c r="G480">
        <v>1</v>
      </c>
      <c r="H480">
        <v>3</v>
      </c>
      <c r="I480" t="s">
        <v>837</v>
      </c>
      <c r="J480" t="s">
        <v>3</v>
      </c>
      <c r="K480" t="s">
        <v>838</v>
      </c>
      <c r="L480">
        <v>1374</v>
      </c>
      <c r="N480">
        <v>1013</v>
      </c>
      <c r="O480" t="s">
        <v>839</v>
      </c>
      <c r="P480" t="s">
        <v>839</v>
      </c>
      <c r="Q480">
        <v>1</v>
      </c>
      <c r="X480">
        <v>0.2</v>
      </c>
      <c r="Y480">
        <v>1</v>
      </c>
      <c r="Z480">
        <v>0</v>
      </c>
      <c r="AA480">
        <v>0</v>
      </c>
      <c r="AB480">
        <v>0</v>
      </c>
      <c r="AC480">
        <v>0</v>
      </c>
      <c r="AD480">
        <v>1</v>
      </c>
      <c r="AE480">
        <v>0</v>
      </c>
      <c r="AF480" t="s">
        <v>3</v>
      </c>
      <c r="AG480">
        <v>0.2</v>
      </c>
      <c r="AH480">
        <v>2</v>
      </c>
      <c r="AI480">
        <v>68992400</v>
      </c>
      <c r="AJ480">
        <v>495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ROW(Source!A164)</f>
        <v>164</v>
      </c>
      <c r="B481">
        <v>68992421</v>
      </c>
      <c r="C481">
        <v>68992415</v>
      </c>
      <c r="D481">
        <v>37072767</v>
      </c>
      <c r="E481">
        <v>56</v>
      </c>
      <c r="F481">
        <v>1</v>
      </c>
      <c r="G481">
        <v>1</v>
      </c>
      <c r="H481">
        <v>1</v>
      </c>
      <c r="I481" t="s">
        <v>874</v>
      </c>
      <c r="J481" t="s">
        <v>3</v>
      </c>
      <c r="K481" t="s">
        <v>875</v>
      </c>
      <c r="L481">
        <v>1191</v>
      </c>
      <c r="N481">
        <v>1013</v>
      </c>
      <c r="O481" t="s">
        <v>818</v>
      </c>
      <c r="P481" t="s">
        <v>818</v>
      </c>
      <c r="Q481">
        <v>1</v>
      </c>
      <c r="X481">
        <v>15.2</v>
      </c>
      <c r="Y481">
        <v>0</v>
      </c>
      <c r="Z481">
        <v>0</v>
      </c>
      <c r="AA481">
        <v>0</v>
      </c>
      <c r="AB481">
        <v>9.18</v>
      </c>
      <c r="AC481">
        <v>0</v>
      </c>
      <c r="AD481">
        <v>1</v>
      </c>
      <c r="AE481">
        <v>1</v>
      </c>
      <c r="AF481" t="s">
        <v>200</v>
      </c>
      <c r="AG481">
        <v>20.52</v>
      </c>
      <c r="AH481">
        <v>2</v>
      </c>
      <c r="AI481">
        <v>68992416</v>
      </c>
      <c r="AJ481">
        <v>496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ROW(Source!A164)</f>
        <v>164</v>
      </c>
      <c r="B482">
        <v>68992422</v>
      </c>
      <c r="C482">
        <v>68992415</v>
      </c>
      <c r="D482">
        <v>64255223</v>
      </c>
      <c r="E482">
        <v>1</v>
      </c>
      <c r="F482">
        <v>1</v>
      </c>
      <c r="G482">
        <v>1</v>
      </c>
      <c r="H482">
        <v>3</v>
      </c>
      <c r="I482" t="s">
        <v>1000</v>
      </c>
      <c r="J482" t="s">
        <v>1001</v>
      </c>
      <c r="K482" t="s">
        <v>1002</v>
      </c>
      <c r="L482">
        <v>1425</v>
      </c>
      <c r="N482">
        <v>1013</v>
      </c>
      <c r="O482" t="s">
        <v>18</v>
      </c>
      <c r="P482" t="s">
        <v>18</v>
      </c>
      <c r="Q482">
        <v>1</v>
      </c>
      <c r="X482">
        <v>1.75</v>
      </c>
      <c r="Y482">
        <v>8</v>
      </c>
      <c r="Z482">
        <v>0</v>
      </c>
      <c r="AA482">
        <v>0</v>
      </c>
      <c r="AB482">
        <v>0</v>
      </c>
      <c r="AC482">
        <v>0</v>
      </c>
      <c r="AD482">
        <v>1</v>
      </c>
      <c r="AE482">
        <v>0</v>
      </c>
      <c r="AF482" t="s">
        <v>3</v>
      </c>
      <c r="AG482">
        <v>1.75</v>
      </c>
      <c r="AH482">
        <v>2</v>
      </c>
      <c r="AI482">
        <v>68992417</v>
      </c>
      <c r="AJ482">
        <v>497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ROW(Source!A164)</f>
        <v>164</v>
      </c>
      <c r="B483">
        <v>68992423</v>
      </c>
      <c r="C483">
        <v>68992415</v>
      </c>
      <c r="D483">
        <v>64245580</v>
      </c>
      <c r="E483">
        <v>56</v>
      </c>
      <c r="F483">
        <v>1</v>
      </c>
      <c r="G483">
        <v>1</v>
      </c>
      <c r="H483">
        <v>3</v>
      </c>
      <c r="I483" t="s">
        <v>837</v>
      </c>
      <c r="J483" t="s">
        <v>3</v>
      </c>
      <c r="K483" t="s">
        <v>838</v>
      </c>
      <c r="L483">
        <v>1374</v>
      </c>
      <c r="N483">
        <v>1013</v>
      </c>
      <c r="O483" t="s">
        <v>839</v>
      </c>
      <c r="P483" t="s">
        <v>839</v>
      </c>
      <c r="Q483">
        <v>1</v>
      </c>
      <c r="X483">
        <v>2.79</v>
      </c>
      <c r="Y483">
        <v>1</v>
      </c>
      <c r="Z483">
        <v>0</v>
      </c>
      <c r="AA483">
        <v>0</v>
      </c>
      <c r="AB483">
        <v>0</v>
      </c>
      <c r="AC483">
        <v>0</v>
      </c>
      <c r="AD483">
        <v>1</v>
      </c>
      <c r="AE483">
        <v>0</v>
      </c>
      <c r="AF483" t="s">
        <v>3</v>
      </c>
      <c r="AG483">
        <v>2.79</v>
      </c>
      <c r="AH483">
        <v>2</v>
      </c>
      <c r="AI483">
        <v>68992420</v>
      </c>
      <c r="AJ483">
        <v>500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ROW(Source!A167)</f>
        <v>167</v>
      </c>
      <c r="B484">
        <v>68992438</v>
      </c>
      <c r="C484">
        <v>68992426</v>
      </c>
      <c r="D484">
        <v>37064878</v>
      </c>
      <c r="E484">
        <v>56</v>
      </c>
      <c r="F484">
        <v>1</v>
      </c>
      <c r="G484">
        <v>1</v>
      </c>
      <c r="H484">
        <v>1</v>
      </c>
      <c r="I484" t="s">
        <v>955</v>
      </c>
      <c r="J484" t="s">
        <v>3</v>
      </c>
      <c r="K484" t="s">
        <v>956</v>
      </c>
      <c r="L484">
        <v>1191</v>
      </c>
      <c r="N484">
        <v>1013</v>
      </c>
      <c r="O484" t="s">
        <v>818</v>
      </c>
      <c r="P484" t="s">
        <v>818</v>
      </c>
      <c r="Q484">
        <v>1</v>
      </c>
      <c r="X484">
        <v>5.39</v>
      </c>
      <c r="Y484">
        <v>0</v>
      </c>
      <c r="Z484">
        <v>0</v>
      </c>
      <c r="AA484">
        <v>0</v>
      </c>
      <c r="AB484">
        <v>9.4</v>
      </c>
      <c r="AC484">
        <v>0</v>
      </c>
      <c r="AD484">
        <v>1</v>
      </c>
      <c r="AE484">
        <v>1</v>
      </c>
      <c r="AF484" t="s">
        <v>200</v>
      </c>
      <c r="AG484">
        <v>7.2765000000000004</v>
      </c>
      <c r="AH484">
        <v>2</v>
      </c>
      <c r="AI484">
        <v>68992427</v>
      </c>
      <c r="AJ484">
        <v>501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ROW(Source!A167)</f>
        <v>167</v>
      </c>
      <c r="B485">
        <v>68992439</v>
      </c>
      <c r="C485">
        <v>68992426</v>
      </c>
      <c r="D485">
        <v>37064876</v>
      </c>
      <c r="E485">
        <v>56</v>
      </c>
      <c r="F485">
        <v>1</v>
      </c>
      <c r="G485">
        <v>1</v>
      </c>
      <c r="H485">
        <v>1</v>
      </c>
      <c r="I485" t="s">
        <v>819</v>
      </c>
      <c r="J485" t="s">
        <v>3</v>
      </c>
      <c r="K485" t="s">
        <v>820</v>
      </c>
      <c r="L485">
        <v>1191</v>
      </c>
      <c r="N485">
        <v>1013</v>
      </c>
      <c r="O485" t="s">
        <v>818</v>
      </c>
      <c r="P485" t="s">
        <v>818</v>
      </c>
      <c r="Q485">
        <v>1</v>
      </c>
      <c r="X485">
        <v>0.04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1</v>
      </c>
      <c r="AE485">
        <v>2</v>
      </c>
      <c r="AF485" t="s">
        <v>200</v>
      </c>
      <c r="AG485">
        <v>5.4000000000000006E-2</v>
      </c>
      <c r="AH485">
        <v>2</v>
      </c>
      <c r="AI485">
        <v>68992428</v>
      </c>
      <c r="AJ485">
        <v>502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ROW(Source!A167)</f>
        <v>167</v>
      </c>
      <c r="B486">
        <v>68992440</v>
      </c>
      <c r="C486">
        <v>68992426</v>
      </c>
      <c r="D486">
        <v>64401763</v>
      </c>
      <c r="E486">
        <v>1</v>
      </c>
      <c r="F486">
        <v>1</v>
      </c>
      <c r="G486">
        <v>1</v>
      </c>
      <c r="H486">
        <v>2</v>
      </c>
      <c r="I486" t="s">
        <v>821</v>
      </c>
      <c r="J486" t="s">
        <v>822</v>
      </c>
      <c r="K486" t="s">
        <v>823</v>
      </c>
      <c r="L486">
        <v>1368</v>
      </c>
      <c r="N486">
        <v>1011</v>
      </c>
      <c r="O486" t="s">
        <v>824</v>
      </c>
      <c r="P486" t="s">
        <v>824</v>
      </c>
      <c r="Q486">
        <v>1</v>
      </c>
      <c r="X486">
        <v>0.02</v>
      </c>
      <c r="Y486">
        <v>0</v>
      </c>
      <c r="Z486">
        <v>115.4</v>
      </c>
      <c r="AA486">
        <v>13.5</v>
      </c>
      <c r="AB486">
        <v>0</v>
      </c>
      <c r="AC486">
        <v>0</v>
      </c>
      <c r="AD486">
        <v>1</v>
      </c>
      <c r="AE486">
        <v>0</v>
      </c>
      <c r="AF486" t="s">
        <v>200</v>
      </c>
      <c r="AG486">
        <v>2.7000000000000003E-2</v>
      </c>
      <c r="AH486">
        <v>2</v>
      </c>
      <c r="AI486">
        <v>68992429</v>
      </c>
      <c r="AJ486">
        <v>503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ROW(Source!A167)</f>
        <v>167</v>
      </c>
      <c r="B487">
        <v>68992441</v>
      </c>
      <c r="C487">
        <v>68992426</v>
      </c>
      <c r="D487">
        <v>64402691</v>
      </c>
      <c r="E487">
        <v>1</v>
      </c>
      <c r="F487">
        <v>1</v>
      </c>
      <c r="G487">
        <v>1</v>
      </c>
      <c r="H487">
        <v>2</v>
      </c>
      <c r="I487" t="s">
        <v>825</v>
      </c>
      <c r="J487" t="s">
        <v>826</v>
      </c>
      <c r="K487" t="s">
        <v>827</v>
      </c>
      <c r="L487">
        <v>1368</v>
      </c>
      <c r="N487">
        <v>1011</v>
      </c>
      <c r="O487" t="s">
        <v>824</v>
      </c>
      <c r="P487" t="s">
        <v>824</v>
      </c>
      <c r="Q487">
        <v>1</v>
      </c>
      <c r="X487">
        <v>0.02</v>
      </c>
      <c r="Y487">
        <v>0</v>
      </c>
      <c r="Z487">
        <v>65.709999999999994</v>
      </c>
      <c r="AA487">
        <v>11.6</v>
      </c>
      <c r="AB487">
        <v>0</v>
      </c>
      <c r="AC487">
        <v>0</v>
      </c>
      <c r="AD487">
        <v>1</v>
      </c>
      <c r="AE487">
        <v>0</v>
      </c>
      <c r="AF487" t="s">
        <v>200</v>
      </c>
      <c r="AG487">
        <v>2.7000000000000003E-2</v>
      </c>
      <c r="AH487">
        <v>2</v>
      </c>
      <c r="AI487">
        <v>68992430</v>
      </c>
      <c r="AJ487">
        <v>504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ROW(Source!A167)</f>
        <v>167</v>
      </c>
      <c r="B488">
        <v>68992442</v>
      </c>
      <c r="C488">
        <v>68992426</v>
      </c>
      <c r="D488">
        <v>64253038</v>
      </c>
      <c r="E488">
        <v>1</v>
      </c>
      <c r="F488">
        <v>1</v>
      </c>
      <c r="G488">
        <v>1</v>
      </c>
      <c r="H488">
        <v>3</v>
      </c>
      <c r="I488" t="s">
        <v>828</v>
      </c>
      <c r="J488" t="s">
        <v>829</v>
      </c>
      <c r="K488" t="s">
        <v>830</v>
      </c>
      <c r="L488">
        <v>1346</v>
      </c>
      <c r="N488">
        <v>1009</v>
      </c>
      <c r="O488" t="s">
        <v>170</v>
      </c>
      <c r="P488" t="s">
        <v>170</v>
      </c>
      <c r="Q488">
        <v>1</v>
      </c>
      <c r="X488">
        <v>0.16</v>
      </c>
      <c r="Y488">
        <v>30.4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0</v>
      </c>
      <c r="AF488" t="s">
        <v>3</v>
      </c>
      <c r="AG488">
        <v>0.16</v>
      </c>
      <c r="AH488">
        <v>2</v>
      </c>
      <c r="AI488">
        <v>68992431</v>
      </c>
      <c r="AJ488">
        <v>505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ROW(Source!A167)</f>
        <v>167</v>
      </c>
      <c r="B489">
        <v>68992443</v>
      </c>
      <c r="C489">
        <v>68992426</v>
      </c>
      <c r="D489">
        <v>64253321</v>
      </c>
      <c r="E489">
        <v>1</v>
      </c>
      <c r="F489">
        <v>1</v>
      </c>
      <c r="G489">
        <v>1</v>
      </c>
      <c r="H489">
        <v>3</v>
      </c>
      <c r="I489" t="s">
        <v>1222</v>
      </c>
      <c r="J489" t="s">
        <v>1223</v>
      </c>
      <c r="K489" t="s">
        <v>1224</v>
      </c>
      <c r="L489">
        <v>1348</v>
      </c>
      <c r="N489">
        <v>1009</v>
      </c>
      <c r="O489" t="s">
        <v>71</v>
      </c>
      <c r="P489" t="s">
        <v>71</v>
      </c>
      <c r="Q489">
        <v>1000</v>
      </c>
      <c r="X489">
        <v>5.9999999999999995E-4</v>
      </c>
      <c r="Y489">
        <v>1820</v>
      </c>
      <c r="Z489">
        <v>0</v>
      </c>
      <c r="AA489">
        <v>0</v>
      </c>
      <c r="AB489">
        <v>0</v>
      </c>
      <c r="AC489">
        <v>0</v>
      </c>
      <c r="AD489">
        <v>1</v>
      </c>
      <c r="AE489">
        <v>0</v>
      </c>
      <c r="AF489" t="s">
        <v>3</v>
      </c>
      <c r="AG489">
        <v>5.9999999999999995E-4</v>
      </c>
      <c r="AH489">
        <v>2</v>
      </c>
      <c r="AI489">
        <v>68992432</v>
      </c>
      <c r="AJ489">
        <v>506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ROW(Source!A167)</f>
        <v>167</v>
      </c>
      <c r="B490">
        <v>68992444</v>
      </c>
      <c r="C490">
        <v>68992426</v>
      </c>
      <c r="D490">
        <v>64284267</v>
      </c>
      <c r="E490">
        <v>1</v>
      </c>
      <c r="F490">
        <v>1</v>
      </c>
      <c r="G490">
        <v>1</v>
      </c>
      <c r="H490">
        <v>3</v>
      </c>
      <c r="I490" t="s">
        <v>1225</v>
      </c>
      <c r="J490" t="s">
        <v>1226</v>
      </c>
      <c r="K490" t="s">
        <v>1227</v>
      </c>
      <c r="L490">
        <v>1346</v>
      </c>
      <c r="N490">
        <v>1009</v>
      </c>
      <c r="O490" t="s">
        <v>170</v>
      </c>
      <c r="P490" t="s">
        <v>170</v>
      </c>
      <c r="Q490">
        <v>1</v>
      </c>
      <c r="X490">
        <v>0.02</v>
      </c>
      <c r="Y490">
        <v>28.6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0</v>
      </c>
      <c r="AF490" t="s">
        <v>3</v>
      </c>
      <c r="AG490">
        <v>0.02</v>
      </c>
      <c r="AH490">
        <v>2</v>
      </c>
      <c r="AI490">
        <v>68992433</v>
      </c>
      <c r="AJ490">
        <v>507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ROW(Source!A167)</f>
        <v>167</v>
      </c>
      <c r="B491">
        <v>68992445</v>
      </c>
      <c r="C491">
        <v>68992426</v>
      </c>
      <c r="D491">
        <v>64297623</v>
      </c>
      <c r="E491">
        <v>1</v>
      </c>
      <c r="F491">
        <v>1</v>
      </c>
      <c r="G491">
        <v>1</v>
      </c>
      <c r="H491">
        <v>3</v>
      </c>
      <c r="I491" t="s">
        <v>1234</v>
      </c>
      <c r="J491" t="s">
        <v>1235</v>
      </c>
      <c r="K491" t="s">
        <v>1236</v>
      </c>
      <c r="L491">
        <v>1425</v>
      </c>
      <c r="N491">
        <v>1013</v>
      </c>
      <c r="O491" t="s">
        <v>18</v>
      </c>
      <c r="P491" t="s">
        <v>18</v>
      </c>
      <c r="Q491">
        <v>1</v>
      </c>
      <c r="X491">
        <v>0.05</v>
      </c>
      <c r="Y491">
        <v>110</v>
      </c>
      <c r="Z491">
        <v>0</v>
      </c>
      <c r="AA491">
        <v>0</v>
      </c>
      <c r="AB491">
        <v>0</v>
      </c>
      <c r="AC491">
        <v>0</v>
      </c>
      <c r="AD491">
        <v>1</v>
      </c>
      <c r="AE491">
        <v>0</v>
      </c>
      <c r="AF491" t="s">
        <v>3</v>
      </c>
      <c r="AG491">
        <v>0.05</v>
      </c>
      <c r="AH491">
        <v>2</v>
      </c>
      <c r="AI491">
        <v>68992434</v>
      </c>
      <c r="AJ491">
        <v>508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ROW(Source!A167)</f>
        <v>167</v>
      </c>
      <c r="B492">
        <v>68992446</v>
      </c>
      <c r="C492">
        <v>68992426</v>
      </c>
      <c r="D492">
        <v>64297674</v>
      </c>
      <c r="E492">
        <v>1</v>
      </c>
      <c r="F492">
        <v>1</v>
      </c>
      <c r="G492">
        <v>1</v>
      </c>
      <c r="H492">
        <v>3</v>
      </c>
      <c r="I492" t="s">
        <v>1237</v>
      </c>
      <c r="J492" t="s">
        <v>1238</v>
      </c>
      <c r="K492" t="s">
        <v>1239</v>
      </c>
      <c r="L492">
        <v>1407</v>
      </c>
      <c r="N492">
        <v>1013</v>
      </c>
      <c r="O492" t="s">
        <v>1171</v>
      </c>
      <c r="P492" t="s">
        <v>1171</v>
      </c>
      <c r="Q492">
        <v>1</v>
      </c>
      <c r="X492">
        <v>1.2200000000000001E-2</v>
      </c>
      <c r="Y492">
        <v>119</v>
      </c>
      <c r="Z492">
        <v>0</v>
      </c>
      <c r="AA492">
        <v>0</v>
      </c>
      <c r="AB492">
        <v>0</v>
      </c>
      <c r="AC492">
        <v>0</v>
      </c>
      <c r="AD492">
        <v>1</v>
      </c>
      <c r="AE492">
        <v>0</v>
      </c>
      <c r="AF492" t="s">
        <v>3</v>
      </c>
      <c r="AG492">
        <v>1.2200000000000001E-2</v>
      </c>
      <c r="AH492">
        <v>2</v>
      </c>
      <c r="AI492">
        <v>68992435</v>
      </c>
      <c r="AJ492">
        <v>509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ROW(Source!A167)</f>
        <v>167</v>
      </c>
      <c r="B493">
        <v>68992447</v>
      </c>
      <c r="C493">
        <v>68992426</v>
      </c>
      <c r="D493">
        <v>64245580</v>
      </c>
      <c r="E493">
        <v>56</v>
      </c>
      <c r="F493">
        <v>1</v>
      </c>
      <c r="G493">
        <v>1</v>
      </c>
      <c r="H493">
        <v>3</v>
      </c>
      <c r="I493" t="s">
        <v>837</v>
      </c>
      <c r="J493" t="s">
        <v>3</v>
      </c>
      <c r="K493" t="s">
        <v>838</v>
      </c>
      <c r="L493">
        <v>1374</v>
      </c>
      <c r="N493">
        <v>1013</v>
      </c>
      <c r="O493" t="s">
        <v>839</v>
      </c>
      <c r="P493" t="s">
        <v>839</v>
      </c>
      <c r="Q493">
        <v>1</v>
      </c>
      <c r="X493">
        <v>1.01</v>
      </c>
      <c r="Y493">
        <v>1</v>
      </c>
      <c r="Z493">
        <v>0</v>
      </c>
      <c r="AA493">
        <v>0</v>
      </c>
      <c r="AB493">
        <v>0</v>
      </c>
      <c r="AC493">
        <v>0</v>
      </c>
      <c r="AD493">
        <v>1</v>
      </c>
      <c r="AE493">
        <v>0</v>
      </c>
      <c r="AF493" t="s">
        <v>3</v>
      </c>
      <c r="AG493">
        <v>1.01</v>
      </c>
      <c r="AH493">
        <v>2</v>
      </c>
      <c r="AI493">
        <v>68992437</v>
      </c>
      <c r="AJ493">
        <v>511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ROW(Source!A169)</f>
        <v>169</v>
      </c>
      <c r="B494">
        <v>68992457</v>
      </c>
      <c r="C494">
        <v>68992449</v>
      </c>
      <c r="D494">
        <v>37070202</v>
      </c>
      <c r="E494">
        <v>56</v>
      </c>
      <c r="F494">
        <v>1</v>
      </c>
      <c r="G494">
        <v>1</v>
      </c>
      <c r="H494">
        <v>1</v>
      </c>
      <c r="I494" t="s">
        <v>1240</v>
      </c>
      <c r="J494" t="s">
        <v>3</v>
      </c>
      <c r="K494" t="s">
        <v>1241</v>
      </c>
      <c r="L494">
        <v>1191</v>
      </c>
      <c r="N494">
        <v>1013</v>
      </c>
      <c r="O494" t="s">
        <v>818</v>
      </c>
      <c r="P494" t="s">
        <v>818</v>
      </c>
      <c r="Q494">
        <v>1</v>
      </c>
      <c r="X494">
        <v>16.29</v>
      </c>
      <c r="Y494">
        <v>0</v>
      </c>
      <c r="Z494">
        <v>0</v>
      </c>
      <c r="AA494">
        <v>0</v>
      </c>
      <c r="AB494">
        <v>9.51</v>
      </c>
      <c r="AC494">
        <v>0</v>
      </c>
      <c r="AD494">
        <v>1</v>
      </c>
      <c r="AE494">
        <v>1</v>
      </c>
      <c r="AF494" t="s">
        <v>200</v>
      </c>
      <c r="AG494">
        <v>21.991500000000002</v>
      </c>
      <c r="AH494">
        <v>2</v>
      </c>
      <c r="AI494">
        <v>68992450</v>
      </c>
      <c r="AJ494">
        <v>512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ROW(Source!A169)</f>
        <v>169</v>
      </c>
      <c r="B495">
        <v>68992458</v>
      </c>
      <c r="C495">
        <v>68992449</v>
      </c>
      <c r="D495">
        <v>37064876</v>
      </c>
      <c r="E495">
        <v>56</v>
      </c>
      <c r="F495">
        <v>1</v>
      </c>
      <c r="G495">
        <v>1</v>
      </c>
      <c r="H495">
        <v>1</v>
      </c>
      <c r="I495" t="s">
        <v>819</v>
      </c>
      <c r="J495" t="s">
        <v>3</v>
      </c>
      <c r="K495" t="s">
        <v>820</v>
      </c>
      <c r="L495">
        <v>1191</v>
      </c>
      <c r="N495">
        <v>1013</v>
      </c>
      <c r="O495" t="s">
        <v>818</v>
      </c>
      <c r="P495" t="s">
        <v>818</v>
      </c>
      <c r="Q495">
        <v>1</v>
      </c>
      <c r="X495">
        <v>0.01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1</v>
      </c>
      <c r="AE495">
        <v>2</v>
      </c>
      <c r="AF495" t="s">
        <v>200</v>
      </c>
      <c r="AG495">
        <v>1.3500000000000002E-2</v>
      </c>
      <c r="AH495">
        <v>2</v>
      </c>
      <c r="AI495">
        <v>68992451</v>
      </c>
      <c r="AJ495">
        <v>513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ROW(Source!A169)</f>
        <v>169</v>
      </c>
      <c r="B496">
        <v>68992459</v>
      </c>
      <c r="C496">
        <v>68992449</v>
      </c>
      <c r="D496">
        <v>64401959</v>
      </c>
      <c r="E496">
        <v>1</v>
      </c>
      <c r="F496">
        <v>1</v>
      </c>
      <c r="G496">
        <v>1</v>
      </c>
      <c r="H496">
        <v>2</v>
      </c>
      <c r="I496" t="s">
        <v>859</v>
      </c>
      <c r="J496" t="s">
        <v>860</v>
      </c>
      <c r="K496" t="s">
        <v>861</v>
      </c>
      <c r="L496">
        <v>1368</v>
      </c>
      <c r="N496">
        <v>1011</v>
      </c>
      <c r="O496" t="s">
        <v>824</v>
      </c>
      <c r="P496" t="s">
        <v>824</v>
      </c>
      <c r="Q496">
        <v>1</v>
      </c>
      <c r="X496">
        <v>0.01</v>
      </c>
      <c r="Y496">
        <v>0</v>
      </c>
      <c r="Z496">
        <v>31.26</v>
      </c>
      <c r="AA496">
        <v>13.5</v>
      </c>
      <c r="AB496">
        <v>0</v>
      </c>
      <c r="AC496">
        <v>0</v>
      </c>
      <c r="AD496">
        <v>1</v>
      </c>
      <c r="AE496">
        <v>0</v>
      </c>
      <c r="AF496" t="s">
        <v>200</v>
      </c>
      <c r="AG496">
        <v>1.3500000000000002E-2</v>
      </c>
      <c r="AH496">
        <v>2</v>
      </c>
      <c r="AI496">
        <v>68992452</v>
      </c>
      <c r="AJ496">
        <v>514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ROW(Source!A169)</f>
        <v>169</v>
      </c>
      <c r="B497">
        <v>68992460</v>
      </c>
      <c r="C497">
        <v>68992449</v>
      </c>
      <c r="D497">
        <v>64255147</v>
      </c>
      <c r="E497">
        <v>1</v>
      </c>
      <c r="F497">
        <v>1</v>
      </c>
      <c r="G497">
        <v>1</v>
      </c>
      <c r="H497">
        <v>3</v>
      </c>
      <c r="I497" t="s">
        <v>1242</v>
      </c>
      <c r="J497" t="s">
        <v>1243</v>
      </c>
      <c r="K497" t="s">
        <v>1244</v>
      </c>
      <c r="L497">
        <v>1407</v>
      </c>
      <c r="N497">
        <v>1013</v>
      </c>
      <c r="O497" t="s">
        <v>1171</v>
      </c>
      <c r="P497" t="s">
        <v>1171</v>
      </c>
      <c r="Q497">
        <v>1</v>
      </c>
      <c r="X497">
        <v>0.2</v>
      </c>
      <c r="Y497">
        <v>180</v>
      </c>
      <c r="Z497">
        <v>0</v>
      </c>
      <c r="AA497">
        <v>0</v>
      </c>
      <c r="AB497">
        <v>0</v>
      </c>
      <c r="AC497">
        <v>0</v>
      </c>
      <c r="AD497">
        <v>1</v>
      </c>
      <c r="AE497">
        <v>0</v>
      </c>
      <c r="AF497" t="s">
        <v>3</v>
      </c>
      <c r="AG497">
        <v>0.2</v>
      </c>
      <c r="AH497">
        <v>2</v>
      </c>
      <c r="AI497">
        <v>68992453</v>
      </c>
      <c r="AJ497">
        <v>515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ROW(Source!A169)</f>
        <v>169</v>
      </c>
      <c r="B498">
        <v>68992461</v>
      </c>
      <c r="C498">
        <v>68992449</v>
      </c>
      <c r="D498">
        <v>64255521</v>
      </c>
      <c r="E498">
        <v>1</v>
      </c>
      <c r="F498">
        <v>1</v>
      </c>
      <c r="G498">
        <v>1</v>
      </c>
      <c r="H498">
        <v>3</v>
      </c>
      <c r="I498" t="s">
        <v>1213</v>
      </c>
      <c r="J498" t="s">
        <v>1214</v>
      </c>
      <c r="K498" t="s">
        <v>1215</v>
      </c>
      <c r="L498">
        <v>1348</v>
      </c>
      <c r="N498">
        <v>1009</v>
      </c>
      <c r="O498" t="s">
        <v>71</v>
      </c>
      <c r="P498" t="s">
        <v>71</v>
      </c>
      <c r="Q498">
        <v>1000</v>
      </c>
      <c r="X498">
        <v>1E-3</v>
      </c>
      <c r="Y498">
        <v>12430</v>
      </c>
      <c r="Z498">
        <v>0</v>
      </c>
      <c r="AA498">
        <v>0</v>
      </c>
      <c r="AB498">
        <v>0</v>
      </c>
      <c r="AC498">
        <v>0</v>
      </c>
      <c r="AD498">
        <v>1</v>
      </c>
      <c r="AE498">
        <v>0</v>
      </c>
      <c r="AF498" t="s">
        <v>3</v>
      </c>
      <c r="AG498">
        <v>1E-3</v>
      </c>
      <c r="AH498">
        <v>2</v>
      </c>
      <c r="AI498">
        <v>68992454</v>
      </c>
      <c r="AJ498">
        <v>516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ROW(Source!A169)</f>
        <v>169</v>
      </c>
      <c r="B499">
        <v>68992462</v>
      </c>
      <c r="C499">
        <v>68992449</v>
      </c>
      <c r="D499">
        <v>64245580</v>
      </c>
      <c r="E499">
        <v>56</v>
      </c>
      <c r="F499">
        <v>1</v>
      </c>
      <c r="G499">
        <v>1</v>
      </c>
      <c r="H499">
        <v>3</v>
      </c>
      <c r="I499" t="s">
        <v>837</v>
      </c>
      <c r="J499" t="s">
        <v>3</v>
      </c>
      <c r="K499" t="s">
        <v>838</v>
      </c>
      <c r="L499">
        <v>1374</v>
      </c>
      <c r="N499">
        <v>1013</v>
      </c>
      <c r="O499" t="s">
        <v>839</v>
      </c>
      <c r="P499" t="s">
        <v>839</v>
      </c>
      <c r="Q499">
        <v>1</v>
      </c>
      <c r="X499">
        <v>3.1</v>
      </c>
      <c r="Y499">
        <v>1</v>
      </c>
      <c r="Z499">
        <v>0</v>
      </c>
      <c r="AA499">
        <v>0</v>
      </c>
      <c r="AB499">
        <v>0</v>
      </c>
      <c r="AC499">
        <v>0</v>
      </c>
      <c r="AD499">
        <v>1</v>
      </c>
      <c r="AE499">
        <v>0</v>
      </c>
      <c r="AF499" t="s">
        <v>3</v>
      </c>
      <c r="AG499">
        <v>3.1</v>
      </c>
      <c r="AH499">
        <v>2</v>
      </c>
      <c r="AI499">
        <v>68992456</v>
      </c>
      <c r="AJ499">
        <v>518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ROW(Source!A171)</f>
        <v>171</v>
      </c>
      <c r="B500">
        <v>68992474</v>
      </c>
      <c r="C500">
        <v>68992464</v>
      </c>
      <c r="D500">
        <v>37064878</v>
      </c>
      <c r="E500">
        <v>56</v>
      </c>
      <c r="F500">
        <v>1</v>
      </c>
      <c r="G500">
        <v>1</v>
      </c>
      <c r="H500">
        <v>1</v>
      </c>
      <c r="I500" t="s">
        <v>955</v>
      </c>
      <c r="J500" t="s">
        <v>3</v>
      </c>
      <c r="K500" t="s">
        <v>956</v>
      </c>
      <c r="L500">
        <v>1191</v>
      </c>
      <c r="N500">
        <v>1013</v>
      </c>
      <c r="O500" t="s">
        <v>818</v>
      </c>
      <c r="P500" t="s">
        <v>818</v>
      </c>
      <c r="Q500">
        <v>1</v>
      </c>
      <c r="X500">
        <v>2.82</v>
      </c>
      <c r="Y500">
        <v>0</v>
      </c>
      <c r="Z500">
        <v>0</v>
      </c>
      <c r="AA500">
        <v>0</v>
      </c>
      <c r="AB500">
        <v>9.4</v>
      </c>
      <c r="AC500">
        <v>0</v>
      </c>
      <c r="AD500">
        <v>1</v>
      </c>
      <c r="AE500">
        <v>1</v>
      </c>
      <c r="AF500" t="s">
        <v>200</v>
      </c>
      <c r="AG500">
        <v>3.8069999999999999</v>
      </c>
      <c r="AH500">
        <v>2</v>
      </c>
      <c r="AI500">
        <v>68992465</v>
      </c>
      <c r="AJ500">
        <v>519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ROW(Source!A171)</f>
        <v>171</v>
      </c>
      <c r="B501">
        <v>68992475</v>
      </c>
      <c r="C501">
        <v>68992464</v>
      </c>
      <c r="D501">
        <v>37064876</v>
      </c>
      <c r="E501">
        <v>56</v>
      </c>
      <c r="F501">
        <v>1</v>
      </c>
      <c r="G501">
        <v>1</v>
      </c>
      <c r="H501">
        <v>1</v>
      </c>
      <c r="I501" t="s">
        <v>819</v>
      </c>
      <c r="J501" t="s">
        <v>3</v>
      </c>
      <c r="K501" t="s">
        <v>820</v>
      </c>
      <c r="L501">
        <v>1191</v>
      </c>
      <c r="N501">
        <v>1013</v>
      </c>
      <c r="O501" t="s">
        <v>818</v>
      </c>
      <c r="P501" t="s">
        <v>818</v>
      </c>
      <c r="Q501">
        <v>1</v>
      </c>
      <c r="X501">
        <v>0.02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1</v>
      </c>
      <c r="AE501">
        <v>2</v>
      </c>
      <c r="AF501" t="s">
        <v>200</v>
      </c>
      <c r="AG501">
        <v>2.7000000000000003E-2</v>
      </c>
      <c r="AH501">
        <v>2</v>
      </c>
      <c r="AI501">
        <v>68992466</v>
      </c>
      <c r="AJ501">
        <v>520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ROW(Source!A171)</f>
        <v>171</v>
      </c>
      <c r="B502">
        <v>68992476</v>
      </c>
      <c r="C502">
        <v>68992464</v>
      </c>
      <c r="D502">
        <v>64401763</v>
      </c>
      <c r="E502">
        <v>1</v>
      </c>
      <c r="F502">
        <v>1</v>
      </c>
      <c r="G502">
        <v>1</v>
      </c>
      <c r="H502">
        <v>2</v>
      </c>
      <c r="I502" t="s">
        <v>821</v>
      </c>
      <c r="J502" t="s">
        <v>822</v>
      </c>
      <c r="K502" t="s">
        <v>823</v>
      </c>
      <c r="L502">
        <v>1368</v>
      </c>
      <c r="N502">
        <v>1011</v>
      </c>
      <c r="O502" t="s">
        <v>824</v>
      </c>
      <c r="P502" t="s">
        <v>824</v>
      </c>
      <c r="Q502">
        <v>1</v>
      </c>
      <c r="X502">
        <v>0.01</v>
      </c>
      <c r="Y502">
        <v>0</v>
      </c>
      <c r="Z502">
        <v>115.4</v>
      </c>
      <c r="AA502">
        <v>13.5</v>
      </c>
      <c r="AB502">
        <v>0</v>
      </c>
      <c r="AC502">
        <v>0</v>
      </c>
      <c r="AD502">
        <v>1</v>
      </c>
      <c r="AE502">
        <v>0</v>
      </c>
      <c r="AF502" t="s">
        <v>200</v>
      </c>
      <c r="AG502">
        <v>1.3500000000000002E-2</v>
      </c>
      <c r="AH502">
        <v>2</v>
      </c>
      <c r="AI502">
        <v>68992467</v>
      </c>
      <c r="AJ502">
        <v>521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ROW(Source!A171)</f>
        <v>171</v>
      </c>
      <c r="B503">
        <v>68992477</v>
      </c>
      <c r="C503">
        <v>68992464</v>
      </c>
      <c r="D503">
        <v>64402691</v>
      </c>
      <c r="E503">
        <v>1</v>
      </c>
      <c r="F503">
        <v>1</v>
      </c>
      <c r="G503">
        <v>1</v>
      </c>
      <c r="H503">
        <v>2</v>
      </c>
      <c r="I503" t="s">
        <v>825</v>
      </c>
      <c r="J503" t="s">
        <v>826</v>
      </c>
      <c r="K503" t="s">
        <v>827</v>
      </c>
      <c r="L503">
        <v>1368</v>
      </c>
      <c r="N503">
        <v>1011</v>
      </c>
      <c r="O503" t="s">
        <v>824</v>
      </c>
      <c r="P503" t="s">
        <v>824</v>
      </c>
      <c r="Q503">
        <v>1</v>
      </c>
      <c r="X503">
        <v>0.01</v>
      </c>
      <c r="Y503">
        <v>0</v>
      </c>
      <c r="Z503">
        <v>65.709999999999994</v>
      </c>
      <c r="AA503">
        <v>11.6</v>
      </c>
      <c r="AB503">
        <v>0</v>
      </c>
      <c r="AC503">
        <v>0</v>
      </c>
      <c r="AD503">
        <v>1</v>
      </c>
      <c r="AE503">
        <v>0</v>
      </c>
      <c r="AF503" t="s">
        <v>200</v>
      </c>
      <c r="AG503">
        <v>1.3500000000000002E-2</v>
      </c>
      <c r="AH503">
        <v>2</v>
      </c>
      <c r="AI503">
        <v>68992468</v>
      </c>
      <c r="AJ503">
        <v>522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ROW(Source!A171)</f>
        <v>171</v>
      </c>
      <c r="B504">
        <v>68992478</v>
      </c>
      <c r="C504">
        <v>68992464</v>
      </c>
      <c r="D504">
        <v>64253038</v>
      </c>
      <c r="E504">
        <v>1</v>
      </c>
      <c r="F504">
        <v>1</v>
      </c>
      <c r="G504">
        <v>1</v>
      </c>
      <c r="H504">
        <v>3</v>
      </c>
      <c r="I504" t="s">
        <v>828</v>
      </c>
      <c r="J504" t="s">
        <v>829</v>
      </c>
      <c r="K504" t="s">
        <v>830</v>
      </c>
      <c r="L504">
        <v>1346</v>
      </c>
      <c r="N504">
        <v>1009</v>
      </c>
      <c r="O504" t="s">
        <v>170</v>
      </c>
      <c r="P504" t="s">
        <v>170</v>
      </c>
      <c r="Q504">
        <v>1</v>
      </c>
      <c r="X504">
        <v>0.16</v>
      </c>
      <c r="Y504">
        <v>30.4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0</v>
      </c>
      <c r="AF504" t="s">
        <v>3</v>
      </c>
      <c r="AG504">
        <v>0.16</v>
      </c>
      <c r="AH504">
        <v>2</v>
      </c>
      <c r="AI504">
        <v>68992469</v>
      </c>
      <c r="AJ504">
        <v>523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ROW(Source!A171)</f>
        <v>171</v>
      </c>
      <c r="B505">
        <v>68992479</v>
      </c>
      <c r="C505">
        <v>68992464</v>
      </c>
      <c r="D505">
        <v>64253056</v>
      </c>
      <c r="E505">
        <v>1</v>
      </c>
      <c r="F505">
        <v>1</v>
      </c>
      <c r="G505">
        <v>1</v>
      </c>
      <c r="H505">
        <v>3</v>
      </c>
      <c r="I505" t="s">
        <v>1245</v>
      </c>
      <c r="J505" t="s">
        <v>1246</v>
      </c>
      <c r="K505" t="s">
        <v>1247</v>
      </c>
      <c r="L505">
        <v>1302</v>
      </c>
      <c r="N505">
        <v>1003</v>
      </c>
      <c r="O505" t="s">
        <v>395</v>
      </c>
      <c r="P505" t="s">
        <v>395</v>
      </c>
      <c r="Q505">
        <v>10</v>
      </c>
      <c r="X505">
        <v>0.5</v>
      </c>
      <c r="Y505">
        <v>6.9</v>
      </c>
      <c r="Z505">
        <v>0</v>
      </c>
      <c r="AA505">
        <v>0</v>
      </c>
      <c r="AB505">
        <v>0</v>
      </c>
      <c r="AC505">
        <v>0</v>
      </c>
      <c r="AD505">
        <v>1</v>
      </c>
      <c r="AE505">
        <v>0</v>
      </c>
      <c r="AF505" t="s">
        <v>3</v>
      </c>
      <c r="AG505">
        <v>0.5</v>
      </c>
      <c r="AH505">
        <v>2</v>
      </c>
      <c r="AI505">
        <v>68992470</v>
      </c>
      <c r="AJ505">
        <v>524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ROW(Source!A171)</f>
        <v>171</v>
      </c>
      <c r="B506">
        <v>68992480</v>
      </c>
      <c r="C506">
        <v>68992464</v>
      </c>
      <c r="D506">
        <v>64284267</v>
      </c>
      <c r="E506">
        <v>1</v>
      </c>
      <c r="F506">
        <v>1</v>
      </c>
      <c r="G506">
        <v>1</v>
      </c>
      <c r="H506">
        <v>3</v>
      </c>
      <c r="I506" t="s">
        <v>1225</v>
      </c>
      <c r="J506" t="s">
        <v>1226</v>
      </c>
      <c r="K506" t="s">
        <v>1227</v>
      </c>
      <c r="L506">
        <v>1346</v>
      </c>
      <c r="N506">
        <v>1009</v>
      </c>
      <c r="O506" t="s">
        <v>170</v>
      </c>
      <c r="P506" t="s">
        <v>170</v>
      </c>
      <c r="Q506">
        <v>1</v>
      </c>
      <c r="X506">
        <v>0.05</v>
      </c>
      <c r="Y506">
        <v>28.6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0</v>
      </c>
      <c r="AF506" t="s">
        <v>3</v>
      </c>
      <c r="AG506">
        <v>0.05</v>
      </c>
      <c r="AH506">
        <v>2</v>
      </c>
      <c r="AI506">
        <v>68992471</v>
      </c>
      <c r="AJ506">
        <v>525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ROW(Source!A171)</f>
        <v>171</v>
      </c>
      <c r="B507">
        <v>68992481</v>
      </c>
      <c r="C507">
        <v>68992464</v>
      </c>
      <c r="D507">
        <v>64245580</v>
      </c>
      <c r="E507">
        <v>56</v>
      </c>
      <c r="F507">
        <v>1</v>
      </c>
      <c r="G507">
        <v>1</v>
      </c>
      <c r="H507">
        <v>3</v>
      </c>
      <c r="I507" t="s">
        <v>837</v>
      </c>
      <c r="J507" t="s">
        <v>3</v>
      </c>
      <c r="K507" t="s">
        <v>838</v>
      </c>
      <c r="L507">
        <v>1374</v>
      </c>
      <c r="N507">
        <v>1013</v>
      </c>
      <c r="O507" t="s">
        <v>839</v>
      </c>
      <c r="P507" t="s">
        <v>839</v>
      </c>
      <c r="Q507">
        <v>1</v>
      </c>
      <c r="X507">
        <v>0.53</v>
      </c>
      <c r="Y507">
        <v>1</v>
      </c>
      <c r="Z507">
        <v>0</v>
      </c>
      <c r="AA507">
        <v>0</v>
      </c>
      <c r="AB507">
        <v>0</v>
      </c>
      <c r="AC507">
        <v>0</v>
      </c>
      <c r="AD507">
        <v>1</v>
      </c>
      <c r="AE507">
        <v>0</v>
      </c>
      <c r="AF507" t="s">
        <v>3</v>
      </c>
      <c r="AG507">
        <v>0.53</v>
      </c>
      <c r="AH507">
        <v>2</v>
      </c>
      <c r="AI507">
        <v>68992473</v>
      </c>
      <c r="AJ507">
        <v>528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ROW(Source!A174)</f>
        <v>174</v>
      </c>
      <c r="B508">
        <v>68992528</v>
      </c>
      <c r="C508">
        <v>68992527</v>
      </c>
      <c r="D508">
        <v>64240997</v>
      </c>
      <c r="E508">
        <v>56</v>
      </c>
      <c r="F508">
        <v>1</v>
      </c>
      <c r="G508">
        <v>1</v>
      </c>
      <c r="H508">
        <v>1</v>
      </c>
      <c r="I508" t="s">
        <v>874</v>
      </c>
      <c r="J508" t="s">
        <v>3</v>
      </c>
      <c r="K508" t="s">
        <v>875</v>
      </c>
      <c r="L508">
        <v>1191</v>
      </c>
      <c r="N508">
        <v>1013</v>
      </c>
      <c r="O508" t="s">
        <v>818</v>
      </c>
      <c r="P508" t="s">
        <v>818</v>
      </c>
      <c r="Q508">
        <v>1</v>
      </c>
      <c r="X508">
        <v>87.63</v>
      </c>
      <c r="Y508">
        <v>0</v>
      </c>
      <c r="Z508">
        <v>0</v>
      </c>
      <c r="AA508">
        <v>0</v>
      </c>
      <c r="AB508">
        <v>9.18</v>
      </c>
      <c r="AC508">
        <v>0</v>
      </c>
      <c r="AD508">
        <v>1</v>
      </c>
      <c r="AE508">
        <v>1</v>
      </c>
      <c r="AF508" t="s">
        <v>38</v>
      </c>
      <c r="AG508">
        <v>100.77449999999999</v>
      </c>
      <c r="AH508">
        <v>2</v>
      </c>
      <c r="AI508">
        <v>68992528</v>
      </c>
      <c r="AJ508">
        <v>529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ROW(Source!A174)</f>
        <v>174</v>
      </c>
      <c r="B509">
        <v>68992529</v>
      </c>
      <c r="C509">
        <v>68992527</v>
      </c>
      <c r="D509">
        <v>64402923</v>
      </c>
      <c r="E509">
        <v>1</v>
      </c>
      <c r="F509">
        <v>1</v>
      </c>
      <c r="G509">
        <v>1</v>
      </c>
      <c r="H509">
        <v>2</v>
      </c>
      <c r="I509" t="s">
        <v>886</v>
      </c>
      <c r="J509" t="s">
        <v>887</v>
      </c>
      <c r="K509" t="s">
        <v>888</v>
      </c>
      <c r="L509">
        <v>1368</v>
      </c>
      <c r="N509">
        <v>1011</v>
      </c>
      <c r="O509" t="s">
        <v>824</v>
      </c>
      <c r="P509" t="s">
        <v>824</v>
      </c>
      <c r="Q509">
        <v>1</v>
      </c>
      <c r="X509">
        <v>28.42</v>
      </c>
      <c r="Y509">
        <v>0</v>
      </c>
      <c r="Z509">
        <v>48.81</v>
      </c>
      <c r="AA509">
        <v>0</v>
      </c>
      <c r="AB509">
        <v>0</v>
      </c>
      <c r="AC509">
        <v>0</v>
      </c>
      <c r="AD509">
        <v>1</v>
      </c>
      <c r="AE509">
        <v>0</v>
      </c>
      <c r="AF509" t="s">
        <v>38</v>
      </c>
      <c r="AG509">
        <v>32.683</v>
      </c>
      <c r="AH509">
        <v>2</v>
      </c>
      <c r="AI509">
        <v>68992529</v>
      </c>
      <c r="AJ509">
        <v>530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ROW(Source!A175)</f>
        <v>175</v>
      </c>
      <c r="B510">
        <v>68992566</v>
      </c>
      <c r="C510">
        <v>68992565</v>
      </c>
      <c r="D510">
        <v>64240979</v>
      </c>
      <c r="E510">
        <v>56</v>
      </c>
      <c r="F510">
        <v>1</v>
      </c>
      <c r="G510">
        <v>1</v>
      </c>
      <c r="H510">
        <v>1</v>
      </c>
      <c r="I510" t="s">
        <v>1045</v>
      </c>
      <c r="J510" t="s">
        <v>3</v>
      </c>
      <c r="K510" t="s">
        <v>1046</v>
      </c>
      <c r="L510">
        <v>1191</v>
      </c>
      <c r="N510">
        <v>1013</v>
      </c>
      <c r="O510" t="s">
        <v>818</v>
      </c>
      <c r="P510" t="s">
        <v>818</v>
      </c>
      <c r="Q510">
        <v>1</v>
      </c>
      <c r="X510">
        <v>174</v>
      </c>
      <c r="Y510">
        <v>0</v>
      </c>
      <c r="Z510">
        <v>0</v>
      </c>
      <c r="AA510">
        <v>0</v>
      </c>
      <c r="AB510">
        <v>8.74</v>
      </c>
      <c r="AC510">
        <v>0</v>
      </c>
      <c r="AD510">
        <v>1</v>
      </c>
      <c r="AE510">
        <v>1</v>
      </c>
      <c r="AF510" t="s">
        <v>38</v>
      </c>
      <c r="AG510">
        <v>200.1</v>
      </c>
      <c r="AH510">
        <v>2</v>
      </c>
      <c r="AI510">
        <v>68992566</v>
      </c>
      <c r="AJ510">
        <v>531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ROW(Source!A175)</f>
        <v>175</v>
      </c>
      <c r="B511">
        <v>68992567</v>
      </c>
      <c r="C511">
        <v>68992565</v>
      </c>
      <c r="D511">
        <v>64401902</v>
      </c>
      <c r="E511">
        <v>1</v>
      </c>
      <c r="F511">
        <v>1</v>
      </c>
      <c r="G511">
        <v>1</v>
      </c>
      <c r="H511">
        <v>2</v>
      </c>
      <c r="I511" t="s">
        <v>1112</v>
      </c>
      <c r="J511" t="s">
        <v>1113</v>
      </c>
      <c r="K511" t="s">
        <v>1114</v>
      </c>
      <c r="L511">
        <v>1368</v>
      </c>
      <c r="N511">
        <v>1011</v>
      </c>
      <c r="O511" t="s">
        <v>824</v>
      </c>
      <c r="P511" t="s">
        <v>824</v>
      </c>
      <c r="Q511">
        <v>1</v>
      </c>
      <c r="X511">
        <v>0.71</v>
      </c>
      <c r="Y511">
        <v>0</v>
      </c>
      <c r="Z511">
        <v>1.7</v>
      </c>
      <c r="AA511">
        <v>0</v>
      </c>
      <c r="AB511">
        <v>0</v>
      </c>
      <c r="AC511">
        <v>0</v>
      </c>
      <c r="AD511">
        <v>1</v>
      </c>
      <c r="AE511">
        <v>0</v>
      </c>
      <c r="AF511" t="s">
        <v>38</v>
      </c>
      <c r="AG511">
        <v>0.81649999999999989</v>
      </c>
      <c r="AH511">
        <v>2</v>
      </c>
      <c r="AI511">
        <v>68992567</v>
      </c>
      <c r="AJ511">
        <v>532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ROW(Source!A175)</f>
        <v>175</v>
      </c>
      <c r="B512">
        <v>68992568</v>
      </c>
      <c r="C512">
        <v>68992565</v>
      </c>
      <c r="D512">
        <v>64252759</v>
      </c>
      <c r="E512">
        <v>1</v>
      </c>
      <c r="F512">
        <v>1</v>
      </c>
      <c r="G512">
        <v>1</v>
      </c>
      <c r="H512">
        <v>3</v>
      </c>
      <c r="I512" t="s">
        <v>988</v>
      </c>
      <c r="J512" t="s">
        <v>989</v>
      </c>
      <c r="K512" t="s">
        <v>990</v>
      </c>
      <c r="L512">
        <v>1339</v>
      </c>
      <c r="N512">
        <v>1007</v>
      </c>
      <c r="O512" t="s">
        <v>113</v>
      </c>
      <c r="P512" t="s">
        <v>113</v>
      </c>
      <c r="Q512">
        <v>1</v>
      </c>
      <c r="X512">
        <v>0.35</v>
      </c>
      <c r="Y512">
        <v>2.44</v>
      </c>
      <c r="Z512">
        <v>0</v>
      </c>
      <c r="AA512">
        <v>0</v>
      </c>
      <c r="AB512">
        <v>0</v>
      </c>
      <c r="AC512">
        <v>0</v>
      </c>
      <c r="AD512">
        <v>1</v>
      </c>
      <c r="AE512">
        <v>0</v>
      </c>
      <c r="AF512" t="s">
        <v>3</v>
      </c>
      <c r="AG512">
        <v>0.35</v>
      </c>
      <c r="AH512">
        <v>2</v>
      </c>
      <c r="AI512">
        <v>68992568</v>
      </c>
      <c r="AJ512">
        <v>533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ROW(Source!A175)</f>
        <v>175</v>
      </c>
      <c r="B513">
        <v>68992569</v>
      </c>
      <c r="C513">
        <v>68992565</v>
      </c>
      <c r="D513">
        <v>64258015</v>
      </c>
      <c r="E513">
        <v>1</v>
      </c>
      <c r="F513">
        <v>1</v>
      </c>
      <c r="G513">
        <v>1</v>
      </c>
      <c r="H513">
        <v>3</v>
      </c>
      <c r="I513" t="s">
        <v>1248</v>
      </c>
      <c r="J513" t="s">
        <v>1249</v>
      </c>
      <c r="K513" t="s">
        <v>1250</v>
      </c>
      <c r="L513">
        <v>1339</v>
      </c>
      <c r="N513">
        <v>1007</v>
      </c>
      <c r="O513" t="s">
        <v>113</v>
      </c>
      <c r="P513" t="s">
        <v>113</v>
      </c>
      <c r="Q513">
        <v>1</v>
      </c>
      <c r="X513">
        <v>2.2000000000000002</v>
      </c>
      <c r="Y513">
        <v>517.91</v>
      </c>
      <c r="Z513">
        <v>0</v>
      </c>
      <c r="AA513">
        <v>0</v>
      </c>
      <c r="AB513">
        <v>0</v>
      </c>
      <c r="AC513">
        <v>0</v>
      </c>
      <c r="AD513">
        <v>1</v>
      </c>
      <c r="AE513">
        <v>0</v>
      </c>
      <c r="AF513" t="s">
        <v>3</v>
      </c>
      <c r="AG513">
        <v>2.2000000000000002</v>
      </c>
      <c r="AH513">
        <v>2</v>
      </c>
      <c r="AI513">
        <v>68992569</v>
      </c>
      <c r="AJ513">
        <v>534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ROW(Source!A175)</f>
        <v>175</v>
      </c>
      <c r="B514">
        <v>68992570</v>
      </c>
      <c r="C514">
        <v>68992565</v>
      </c>
      <c r="D514">
        <v>64245578</v>
      </c>
      <c r="E514">
        <v>56</v>
      </c>
      <c r="F514">
        <v>1</v>
      </c>
      <c r="G514">
        <v>1</v>
      </c>
      <c r="H514">
        <v>3</v>
      </c>
      <c r="I514" t="s">
        <v>69</v>
      </c>
      <c r="J514" t="s">
        <v>3</v>
      </c>
      <c r="K514" t="s">
        <v>70</v>
      </c>
      <c r="L514">
        <v>1348</v>
      </c>
      <c r="N514">
        <v>1009</v>
      </c>
      <c r="O514" t="s">
        <v>71</v>
      </c>
      <c r="P514" t="s">
        <v>71</v>
      </c>
      <c r="Q514">
        <v>1000</v>
      </c>
      <c r="X514">
        <v>4.8099999999999996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 t="s">
        <v>3</v>
      </c>
      <c r="AG514">
        <v>4.8099999999999996</v>
      </c>
      <c r="AH514">
        <v>2</v>
      </c>
      <c r="AI514">
        <v>68992570</v>
      </c>
      <c r="AJ514">
        <v>535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ROW(Source!A177)</f>
        <v>177</v>
      </c>
      <c r="B515">
        <v>68992537</v>
      </c>
      <c r="C515">
        <v>68992530</v>
      </c>
      <c r="D515">
        <v>37071037</v>
      </c>
      <c r="E515">
        <v>56</v>
      </c>
      <c r="F515">
        <v>1</v>
      </c>
      <c r="G515">
        <v>1</v>
      </c>
      <c r="H515">
        <v>1</v>
      </c>
      <c r="I515" t="s">
        <v>840</v>
      </c>
      <c r="J515" t="s">
        <v>3</v>
      </c>
      <c r="K515" t="s">
        <v>841</v>
      </c>
      <c r="L515">
        <v>1191</v>
      </c>
      <c r="N515">
        <v>1013</v>
      </c>
      <c r="O515" t="s">
        <v>818</v>
      </c>
      <c r="P515" t="s">
        <v>818</v>
      </c>
      <c r="Q515">
        <v>1</v>
      </c>
      <c r="X515">
        <v>61.1</v>
      </c>
      <c r="Y515">
        <v>0</v>
      </c>
      <c r="Z515">
        <v>0</v>
      </c>
      <c r="AA515">
        <v>0</v>
      </c>
      <c r="AB515">
        <v>9.6199999999999992</v>
      </c>
      <c r="AC515">
        <v>0</v>
      </c>
      <c r="AD515">
        <v>1</v>
      </c>
      <c r="AE515">
        <v>1</v>
      </c>
      <c r="AF515" t="s">
        <v>456</v>
      </c>
      <c r="AG515">
        <v>94.85775000000001</v>
      </c>
      <c r="AH515">
        <v>2</v>
      </c>
      <c r="AI515">
        <v>68992531</v>
      </c>
      <c r="AJ515">
        <v>536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ROW(Source!A177)</f>
        <v>177</v>
      </c>
      <c r="B516">
        <v>68992538</v>
      </c>
      <c r="C516">
        <v>68992530</v>
      </c>
      <c r="D516">
        <v>37064876</v>
      </c>
      <c r="E516">
        <v>56</v>
      </c>
      <c r="F516">
        <v>1</v>
      </c>
      <c r="G516">
        <v>1</v>
      </c>
      <c r="H516">
        <v>1</v>
      </c>
      <c r="I516" t="s">
        <v>819</v>
      </c>
      <c r="J516" t="s">
        <v>3</v>
      </c>
      <c r="K516" t="s">
        <v>820</v>
      </c>
      <c r="L516">
        <v>1191</v>
      </c>
      <c r="N516">
        <v>1013</v>
      </c>
      <c r="O516" t="s">
        <v>818</v>
      </c>
      <c r="P516" t="s">
        <v>818</v>
      </c>
      <c r="Q516">
        <v>1</v>
      </c>
      <c r="X516">
        <v>2.4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1</v>
      </c>
      <c r="AE516">
        <v>2</v>
      </c>
      <c r="AF516" t="s">
        <v>455</v>
      </c>
      <c r="AG516">
        <v>4.0500000000000007</v>
      </c>
      <c r="AH516">
        <v>2</v>
      </c>
      <c r="AI516">
        <v>68992532</v>
      </c>
      <c r="AJ516">
        <v>537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ROW(Source!A177)</f>
        <v>177</v>
      </c>
      <c r="B517">
        <v>68992539</v>
      </c>
      <c r="C517">
        <v>68992530</v>
      </c>
      <c r="D517">
        <v>64401903</v>
      </c>
      <c r="E517">
        <v>1</v>
      </c>
      <c r="F517">
        <v>1</v>
      </c>
      <c r="G517">
        <v>1</v>
      </c>
      <c r="H517">
        <v>2</v>
      </c>
      <c r="I517" t="s">
        <v>1251</v>
      </c>
      <c r="J517" t="s">
        <v>1252</v>
      </c>
      <c r="K517" t="s">
        <v>1253</v>
      </c>
      <c r="L517">
        <v>1368</v>
      </c>
      <c r="N517">
        <v>1011</v>
      </c>
      <c r="O517" t="s">
        <v>824</v>
      </c>
      <c r="P517" t="s">
        <v>824</v>
      </c>
      <c r="Q517">
        <v>1</v>
      </c>
      <c r="X517">
        <v>0.9</v>
      </c>
      <c r="Y517">
        <v>0</v>
      </c>
      <c r="Z517">
        <v>3.28</v>
      </c>
      <c r="AA517">
        <v>0</v>
      </c>
      <c r="AB517">
        <v>0</v>
      </c>
      <c r="AC517">
        <v>0</v>
      </c>
      <c r="AD517">
        <v>1</v>
      </c>
      <c r="AE517">
        <v>0</v>
      </c>
      <c r="AF517" t="s">
        <v>455</v>
      </c>
      <c r="AG517">
        <v>1.51875</v>
      </c>
      <c r="AH517">
        <v>2</v>
      </c>
      <c r="AI517">
        <v>68992533</v>
      </c>
      <c r="AJ517">
        <v>538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ROW(Source!A177)</f>
        <v>177</v>
      </c>
      <c r="B518">
        <v>68992540</v>
      </c>
      <c r="C518">
        <v>68992530</v>
      </c>
      <c r="D518">
        <v>64402073</v>
      </c>
      <c r="E518">
        <v>1</v>
      </c>
      <c r="F518">
        <v>1</v>
      </c>
      <c r="G518">
        <v>1</v>
      </c>
      <c r="H518">
        <v>2</v>
      </c>
      <c r="I518" t="s">
        <v>1254</v>
      </c>
      <c r="J518" t="s">
        <v>1255</v>
      </c>
      <c r="K518" t="s">
        <v>1256</v>
      </c>
      <c r="L518">
        <v>1368</v>
      </c>
      <c r="N518">
        <v>1011</v>
      </c>
      <c r="O518" t="s">
        <v>824</v>
      </c>
      <c r="P518" t="s">
        <v>824</v>
      </c>
      <c r="Q518">
        <v>1</v>
      </c>
      <c r="X518">
        <v>2.4</v>
      </c>
      <c r="Y518">
        <v>0</v>
      </c>
      <c r="Z518">
        <v>17.559999999999999</v>
      </c>
      <c r="AA518">
        <v>8.91</v>
      </c>
      <c r="AB518">
        <v>0</v>
      </c>
      <c r="AC518">
        <v>0</v>
      </c>
      <c r="AD518">
        <v>1</v>
      </c>
      <c r="AE518">
        <v>0</v>
      </c>
      <c r="AF518" t="s">
        <v>455</v>
      </c>
      <c r="AG518">
        <v>4.0500000000000007</v>
      </c>
      <c r="AH518">
        <v>2</v>
      </c>
      <c r="AI518">
        <v>68992534</v>
      </c>
      <c r="AJ518">
        <v>539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ROW(Source!A177)</f>
        <v>177</v>
      </c>
      <c r="B519">
        <v>68992541</v>
      </c>
      <c r="C519">
        <v>68992530</v>
      </c>
      <c r="D519">
        <v>64252759</v>
      </c>
      <c r="E519">
        <v>1</v>
      </c>
      <c r="F519">
        <v>1</v>
      </c>
      <c r="G519">
        <v>1</v>
      </c>
      <c r="H519">
        <v>3</v>
      </c>
      <c r="I519" t="s">
        <v>988</v>
      </c>
      <c r="J519" t="s">
        <v>989</v>
      </c>
      <c r="K519" t="s">
        <v>990</v>
      </c>
      <c r="L519">
        <v>1339</v>
      </c>
      <c r="N519">
        <v>1007</v>
      </c>
      <c r="O519" t="s">
        <v>113</v>
      </c>
      <c r="P519" t="s">
        <v>113</v>
      </c>
      <c r="Q519">
        <v>1</v>
      </c>
      <c r="X519">
        <v>0.35</v>
      </c>
      <c r="Y519">
        <v>2.44</v>
      </c>
      <c r="Z519">
        <v>0</v>
      </c>
      <c r="AA519">
        <v>0</v>
      </c>
      <c r="AB519">
        <v>0</v>
      </c>
      <c r="AC519">
        <v>0</v>
      </c>
      <c r="AD519">
        <v>1</v>
      </c>
      <c r="AE519">
        <v>0</v>
      </c>
      <c r="AF519" t="s">
        <v>3</v>
      </c>
      <c r="AG519">
        <v>0.35</v>
      </c>
      <c r="AH519">
        <v>2</v>
      </c>
      <c r="AI519">
        <v>68992535</v>
      </c>
      <c r="AJ519">
        <v>540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ROW(Source!A177)</f>
        <v>177</v>
      </c>
      <c r="B520">
        <v>68992542</v>
      </c>
      <c r="C520">
        <v>68992530</v>
      </c>
      <c r="D520">
        <v>64258015</v>
      </c>
      <c r="E520">
        <v>1</v>
      </c>
      <c r="F520">
        <v>1</v>
      </c>
      <c r="G520">
        <v>1</v>
      </c>
      <c r="H520">
        <v>3</v>
      </c>
      <c r="I520" t="s">
        <v>1248</v>
      </c>
      <c r="J520" t="s">
        <v>1249</v>
      </c>
      <c r="K520" t="s">
        <v>1250</v>
      </c>
      <c r="L520">
        <v>1339</v>
      </c>
      <c r="N520">
        <v>1007</v>
      </c>
      <c r="O520" t="s">
        <v>113</v>
      </c>
      <c r="P520" t="s">
        <v>113</v>
      </c>
      <c r="Q520">
        <v>1</v>
      </c>
      <c r="X520">
        <v>1.89</v>
      </c>
      <c r="Y520">
        <v>517.91</v>
      </c>
      <c r="Z520">
        <v>0</v>
      </c>
      <c r="AA520">
        <v>0</v>
      </c>
      <c r="AB520">
        <v>0</v>
      </c>
      <c r="AC520">
        <v>0</v>
      </c>
      <c r="AD520">
        <v>1</v>
      </c>
      <c r="AE520">
        <v>0</v>
      </c>
      <c r="AF520" t="s">
        <v>3</v>
      </c>
      <c r="AG520">
        <v>1.89</v>
      </c>
      <c r="AH520">
        <v>2</v>
      </c>
      <c r="AI520">
        <v>68992536</v>
      </c>
      <c r="AJ520">
        <v>541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ROW(Source!A178)</f>
        <v>178</v>
      </c>
      <c r="B521">
        <v>68992553</v>
      </c>
      <c r="C521">
        <v>68992543</v>
      </c>
      <c r="D521">
        <v>37070164</v>
      </c>
      <c r="E521">
        <v>56</v>
      </c>
      <c r="F521">
        <v>1</v>
      </c>
      <c r="G521">
        <v>1</v>
      </c>
      <c r="H521">
        <v>1</v>
      </c>
      <c r="I521" t="s">
        <v>1077</v>
      </c>
      <c r="J521" t="s">
        <v>3</v>
      </c>
      <c r="K521" t="s">
        <v>1078</v>
      </c>
      <c r="L521">
        <v>1191</v>
      </c>
      <c r="N521">
        <v>1013</v>
      </c>
      <c r="O521" t="s">
        <v>818</v>
      </c>
      <c r="P521" t="s">
        <v>818</v>
      </c>
      <c r="Q521">
        <v>1</v>
      </c>
      <c r="X521">
        <v>13.8</v>
      </c>
      <c r="Y521">
        <v>0</v>
      </c>
      <c r="Z521">
        <v>0</v>
      </c>
      <c r="AA521">
        <v>0</v>
      </c>
      <c r="AB521">
        <v>9.2899999999999991</v>
      </c>
      <c r="AC521">
        <v>0</v>
      </c>
      <c r="AD521">
        <v>1</v>
      </c>
      <c r="AE521">
        <v>1</v>
      </c>
      <c r="AF521" t="s">
        <v>456</v>
      </c>
      <c r="AG521">
        <v>21.424500000000002</v>
      </c>
      <c r="AH521">
        <v>2</v>
      </c>
      <c r="AI521">
        <v>68992544</v>
      </c>
      <c r="AJ521">
        <v>542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ROW(Source!A178)</f>
        <v>178</v>
      </c>
      <c r="B522">
        <v>68992554</v>
      </c>
      <c r="C522">
        <v>68992543</v>
      </c>
      <c r="D522">
        <v>37064876</v>
      </c>
      <c r="E522">
        <v>56</v>
      </c>
      <c r="F522">
        <v>1</v>
      </c>
      <c r="G522">
        <v>1</v>
      </c>
      <c r="H522">
        <v>1</v>
      </c>
      <c r="I522" t="s">
        <v>819</v>
      </c>
      <c r="J522" t="s">
        <v>3</v>
      </c>
      <c r="K522" t="s">
        <v>820</v>
      </c>
      <c r="L522">
        <v>1191</v>
      </c>
      <c r="N522">
        <v>1013</v>
      </c>
      <c r="O522" t="s">
        <v>818</v>
      </c>
      <c r="P522" t="s">
        <v>818</v>
      </c>
      <c r="Q522">
        <v>1</v>
      </c>
      <c r="X522">
        <v>0.08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2</v>
      </c>
      <c r="AF522" t="s">
        <v>455</v>
      </c>
      <c r="AG522">
        <v>0.13500000000000001</v>
      </c>
      <c r="AH522">
        <v>2</v>
      </c>
      <c r="AI522">
        <v>68992545</v>
      </c>
      <c r="AJ522">
        <v>543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ROW(Source!A178)</f>
        <v>178</v>
      </c>
      <c r="B523">
        <v>68992555</v>
      </c>
      <c r="C523">
        <v>68992543</v>
      </c>
      <c r="D523">
        <v>64401902</v>
      </c>
      <c r="E523">
        <v>1</v>
      </c>
      <c r="F523">
        <v>1</v>
      </c>
      <c r="G523">
        <v>1</v>
      </c>
      <c r="H523">
        <v>2</v>
      </c>
      <c r="I523" t="s">
        <v>1112</v>
      </c>
      <c r="J523" t="s">
        <v>1113</v>
      </c>
      <c r="K523" t="s">
        <v>1114</v>
      </c>
      <c r="L523">
        <v>1368</v>
      </c>
      <c r="N523">
        <v>1011</v>
      </c>
      <c r="O523" t="s">
        <v>824</v>
      </c>
      <c r="P523" t="s">
        <v>824</v>
      </c>
      <c r="Q523">
        <v>1</v>
      </c>
      <c r="X523">
        <v>0.09</v>
      </c>
      <c r="Y523">
        <v>0</v>
      </c>
      <c r="Z523">
        <v>1.7</v>
      </c>
      <c r="AA523">
        <v>0</v>
      </c>
      <c r="AB523">
        <v>0</v>
      </c>
      <c r="AC523">
        <v>0</v>
      </c>
      <c r="AD523">
        <v>1</v>
      </c>
      <c r="AE523">
        <v>0</v>
      </c>
      <c r="AF523" t="s">
        <v>455</v>
      </c>
      <c r="AG523">
        <v>0.15187499999999998</v>
      </c>
      <c r="AH523">
        <v>2</v>
      </c>
      <c r="AI523">
        <v>68992546</v>
      </c>
      <c r="AJ523">
        <v>544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ROW(Source!A178)</f>
        <v>178</v>
      </c>
      <c r="B524">
        <v>68992556</v>
      </c>
      <c r="C524">
        <v>68992543</v>
      </c>
      <c r="D524">
        <v>64402691</v>
      </c>
      <c r="E524">
        <v>1</v>
      </c>
      <c r="F524">
        <v>1</v>
      </c>
      <c r="G524">
        <v>1</v>
      </c>
      <c r="H524">
        <v>2</v>
      </c>
      <c r="I524" t="s">
        <v>825</v>
      </c>
      <c r="J524" t="s">
        <v>826</v>
      </c>
      <c r="K524" t="s">
        <v>827</v>
      </c>
      <c r="L524">
        <v>1368</v>
      </c>
      <c r="N524">
        <v>1011</v>
      </c>
      <c r="O524" t="s">
        <v>824</v>
      </c>
      <c r="P524" t="s">
        <v>824</v>
      </c>
      <c r="Q524">
        <v>1</v>
      </c>
      <c r="X524">
        <v>0.08</v>
      </c>
      <c r="Y524">
        <v>0</v>
      </c>
      <c r="Z524">
        <v>65.709999999999994</v>
      </c>
      <c r="AA524">
        <v>11.6</v>
      </c>
      <c r="AB524">
        <v>0</v>
      </c>
      <c r="AC524">
        <v>0</v>
      </c>
      <c r="AD524">
        <v>1</v>
      </c>
      <c r="AE524">
        <v>0</v>
      </c>
      <c r="AF524" t="s">
        <v>455</v>
      </c>
      <c r="AG524">
        <v>0.13500000000000001</v>
      </c>
      <c r="AH524">
        <v>2</v>
      </c>
      <c r="AI524">
        <v>68992547</v>
      </c>
      <c r="AJ524">
        <v>545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ROW(Source!A178)</f>
        <v>178</v>
      </c>
      <c r="B525">
        <v>68992557</v>
      </c>
      <c r="C525">
        <v>68992543</v>
      </c>
      <c r="D525">
        <v>64255858</v>
      </c>
      <c r="E525">
        <v>1</v>
      </c>
      <c r="F525">
        <v>1</v>
      </c>
      <c r="G525">
        <v>1</v>
      </c>
      <c r="H525">
        <v>3</v>
      </c>
      <c r="I525" t="s">
        <v>1031</v>
      </c>
      <c r="J525" t="s">
        <v>1032</v>
      </c>
      <c r="K525" t="s">
        <v>1033</v>
      </c>
      <c r="L525">
        <v>1327</v>
      </c>
      <c r="N525">
        <v>1005</v>
      </c>
      <c r="O525" t="s">
        <v>46</v>
      </c>
      <c r="P525" t="s">
        <v>46</v>
      </c>
      <c r="Q525">
        <v>1</v>
      </c>
      <c r="X525">
        <v>0.28999999999999998</v>
      </c>
      <c r="Y525">
        <v>72.319999999999993</v>
      </c>
      <c r="Z525">
        <v>0</v>
      </c>
      <c r="AA525">
        <v>0</v>
      </c>
      <c r="AB525">
        <v>0</v>
      </c>
      <c r="AC525">
        <v>0</v>
      </c>
      <c r="AD525">
        <v>1</v>
      </c>
      <c r="AE525">
        <v>0</v>
      </c>
      <c r="AF525" t="s">
        <v>3</v>
      </c>
      <c r="AG525">
        <v>0.28999999999999998</v>
      </c>
      <c r="AH525">
        <v>2</v>
      </c>
      <c r="AI525">
        <v>68992548</v>
      </c>
      <c r="AJ525">
        <v>546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ROW(Source!A178)</f>
        <v>178</v>
      </c>
      <c r="B526">
        <v>68992558</v>
      </c>
      <c r="C526">
        <v>68992543</v>
      </c>
      <c r="D526">
        <v>64256200</v>
      </c>
      <c r="E526">
        <v>1</v>
      </c>
      <c r="F526">
        <v>1</v>
      </c>
      <c r="G526">
        <v>1</v>
      </c>
      <c r="H526">
        <v>3</v>
      </c>
      <c r="I526" t="s">
        <v>1034</v>
      </c>
      <c r="J526" t="s">
        <v>1035</v>
      </c>
      <c r="K526" t="s">
        <v>1036</v>
      </c>
      <c r="L526">
        <v>1346</v>
      </c>
      <c r="N526">
        <v>1009</v>
      </c>
      <c r="O526" t="s">
        <v>170</v>
      </c>
      <c r="P526" t="s">
        <v>170</v>
      </c>
      <c r="Q526">
        <v>1</v>
      </c>
      <c r="X526">
        <v>0.01</v>
      </c>
      <c r="Y526">
        <v>1.82</v>
      </c>
      <c r="Z526">
        <v>0</v>
      </c>
      <c r="AA526">
        <v>0</v>
      </c>
      <c r="AB526">
        <v>0</v>
      </c>
      <c r="AC526">
        <v>0</v>
      </c>
      <c r="AD526">
        <v>1</v>
      </c>
      <c r="AE526">
        <v>0</v>
      </c>
      <c r="AF526" t="s">
        <v>3</v>
      </c>
      <c r="AG526">
        <v>0.01</v>
      </c>
      <c r="AH526">
        <v>2</v>
      </c>
      <c r="AI526">
        <v>68992549</v>
      </c>
      <c r="AJ526">
        <v>547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ROW(Source!A178)</f>
        <v>178</v>
      </c>
      <c r="B527">
        <v>68992559</v>
      </c>
      <c r="C527">
        <v>68992543</v>
      </c>
      <c r="D527">
        <v>64243975</v>
      </c>
      <c r="E527">
        <v>56</v>
      </c>
      <c r="F527">
        <v>1</v>
      </c>
      <c r="G527">
        <v>1</v>
      </c>
      <c r="H527">
        <v>3</v>
      </c>
      <c r="I527" t="s">
        <v>1284</v>
      </c>
      <c r="J527" t="s">
        <v>3</v>
      </c>
      <c r="K527" t="s">
        <v>1285</v>
      </c>
      <c r="L527">
        <v>1348</v>
      </c>
      <c r="N527">
        <v>1009</v>
      </c>
      <c r="O527" t="s">
        <v>71</v>
      </c>
      <c r="P527" t="s">
        <v>71</v>
      </c>
      <c r="Q527">
        <v>1000</v>
      </c>
      <c r="X527">
        <v>3.7999999999999999E-2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 t="s">
        <v>3</v>
      </c>
      <c r="AG527">
        <v>3.7999999999999999E-2</v>
      </c>
      <c r="AH527">
        <v>3</v>
      </c>
      <c r="AI527">
        <v>-1</v>
      </c>
      <c r="AJ527" t="s">
        <v>3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ROW(Source!A178)</f>
        <v>178</v>
      </c>
      <c r="B528">
        <v>68992560</v>
      </c>
      <c r="C528">
        <v>68992543</v>
      </c>
      <c r="D528">
        <v>64243989</v>
      </c>
      <c r="E528">
        <v>56</v>
      </c>
      <c r="F528">
        <v>1</v>
      </c>
      <c r="G528">
        <v>1</v>
      </c>
      <c r="H528">
        <v>3</v>
      </c>
      <c r="I528" t="s">
        <v>1286</v>
      </c>
      <c r="J528" t="s">
        <v>3</v>
      </c>
      <c r="K528" t="s">
        <v>1283</v>
      </c>
      <c r="L528">
        <v>1348</v>
      </c>
      <c r="N528">
        <v>1009</v>
      </c>
      <c r="O528" t="s">
        <v>71</v>
      </c>
      <c r="P528" t="s">
        <v>71</v>
      </c>
      <c r="Q528">
        <v>1000</v>
      </c>
      <c r="X528">
        <v>1.2999999999999999E-2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 t="s">
        <v>3</v>
      </c>
      <c r="AG528">
        <v>1.2999999999999999E-2</v>
      </c>
      <c r="AH528">
        <v>3</v>
      </c>
      <c r="AI528">
        <v>-1</v>
      </c>
      <c r="AJ528" t="s">
        <v>3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ROW(Source!A178)</f>
        <v>178</v>
      </c>
      <c r="B529">
        <v>68992561</v>
      </c>
      <c r="C529">
        <v>68992543</v>
      </c>
      <c r="D529">
        <v>64285133</v>
      </c>
      <c r="E529">
        <v>1</v>
      </c>
      <c r="F529">
        <v>1</v>
      </c>
      <c r="G529">
        <v>1</v>
      </c>
      <c r="H529">
        <v>3</v>
      </c>
      <c r="I529" t="s">
        <v>1257</v>
      </c>
      <c r="J529" t="s">
        <v>1258</v>
      </c>
      <c r="K529" t="s">
        <v>1259</v>
      </c>
      <c r="L529">
        <v>1348</v>
      </c>
      <c r="N529">
        <v>1009</v>
      </c>
      <c r="O529" t="s">
        <v>71</v>
      </c>
      <c r="P529" t="s">
        <v>71</v>
      </c>
      <c r="Q529">
        <v>1000</v>
      </c>
      <c r="X529">
        <v>1.7500000000000002E-2</v>
      </c>
      <c r="Y529">
        <v>4841.8500000000004</v>
      </c>
      <c r="Z529">
        <v>0</v>
      </c>
      <c r="AA529">
        <v>0</v>
      </c>
      <c r="AB529">
        <v>0</v>
      </c>
      <c r="AC529">
        <v>0</v>
      </c>
      <c r="AD529">
        <v>1</v>
      </c>
      <c r="AE529">
        <v>0</v>
      </c>
      <c r="AF529" t="s">
        <v>3</v>
      </c>
      <c r="AG529">
        <v>1.7500000000000002E-2</v>
      </c>
      <c r="AH529">
        <v>2</v>
      </c>
      <c r="AI529">
        <v>68992552</v>
      </c>
      <c r="AJ529">
        <v>550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ROW(Source!A181)</f>
        <v>181</v>
      </c>
      <c r="B530">
        <v>68992575</v>
      </c>
      <c r="C530">
        <v>68992573</v>
      </c>
      <c r="D530">
        <v>37065248</v>
      </c>
      <c r="E530">
        <v>56</v>
      </c>
      <c r="F530">
        <v>1</v>
      </c>
      <c r="G530">
        <v>1</v>
      </c>
      <c r="H530">
        <v>1</v>
      </c>
      <c r="I530" t="s">
        <v>857</v>
      </c>
      <c r="J530" t="s">
        <v>3</v>
      </c>
      <c r="K530" t="s">
        <v>858</v>
      </c>
      <c r="L530">
        <v>1191</v>
      </c>
      <c r="N530">
        <v>1013</v>
      </c>
      <c r="O530" t="s">
        <v>818</v>
      </c>
      <c r="P530" t="s">
        <v>818</v>
      </c>
      <c r="Q530">
        <v>1</v>
      </c>
      <c r="X530">
        <v>1.88</v>
      </c>
      <c r="Y530">
        <v>0</v>
      </c>
      <c r="Z530">
        <v>0</v>
      </c>
      <c r="AA530">
        <v>0</v>
      </c>
      <c r="AB530">
        <v>8.5299999999999994</v>
      </c>
      <c r="AC530">
        <v>0</v>
      </c>
      <c r="AD530">
        <v>1</v>
      </c>
      <c r="AE530">
        <v>1</v>
      </c>
      <c r="AF530" t="s">
        <v>456</v>
      </c>
      <c r="AG530">
        <v>2.9186999999999994</v>
      </c>
      <c r="AH530">
        <v>2</v>
      </c>
      <c r="AI530">
        <v>68992574</v>
      </c>
      <c r="AJ530">
        <v>551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ROW(Source!A181)</f>
        <v>181</v>
      </c>
      <c r="B531">
        <v>68992576</v>
      </c>
      <c r="C531">
        <v>68992573</v>
      </c>
      <c r="D531">
        <v>64242979</v>
      </c>
      <c r="E531">
        <v>56</v>
      </c>
      <c r="F531">
        <v>1</v>
      </c>
      <c r="G531">
        <v>1</v>
      </c>
      <c r="H531">
        <v>3</v>
      </c>
      <c r="I531" t="s">
        <v>1271</v>
      </c>
      <c r="J531" t="s">
        <v>3</v>
      </c>
      <c r="K531" t="s">
        <v>1272</v>
      </c>
      <c r="L531">
        <v>1371</v>
      </c>
      <c r="N531">
        <v>1013</v>
      </c>
      <c r="O531" t="s">
        <v>29</v>
      </c>
      <c r="P531" t="s">
        <v>29</v>
      </c>
      <c r="Q531">
        <v>1</v>
      </c>
      <c r="X531">
        <v>1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 t="s">
        <v>3</v>
      </c>
      <c r="AG531">
        <v>1</v>
      </c>
      <c r="AH531">
        <v>3</v>
      </c>
      <c r="AI531">
        <v>-1</v>
      </c>
      <c r="AJ531" t="s">
        <v>3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ROW(Source!A217)</f>
        <v>217</v>
      </c>
      <c r="B532">
        <v>68992640</v>
      </c>
      <c r="C532">
        <v>68992636</v>
      </c>
      <c r="D532">
        <v>37082223</v>
      </c>
      <c r="E532">
        <v>56</v>
      </c>
      <c r="F532">
        <v>1</v>
      </c>
      <c r="G532">
        <v>1</v>
      </c>
      <c r="H532">
        <v>1</v>
      </c>
      <c r="I532" t="s">
        <v>1211</v>
      </c>
      <c r="J532" t="s">
        <v>3</v>
      </c>
      <c r="K532" t="s">
        <v>1212</v>
      </c>
      <c r="L532">
        <v>1191</v>
      </c>
      <c r="N532">
        <v>1013</v>
      </c>
      <c r="O532" t="s">
        <v>818</v>
      </c>
      <c r="P532" t="s">
        <v>818</v>
      </c>
      <c r="Q532">
        <v>1</v>
      </c>
      <c r="X532">
        <v>4.5599999999999996</v>
      </c>
      <c r="Y532">
        <v>0</v>
      </c>
      <c r="Z532">
        <v>0</v>
      </c>
      <c r="AA532">
        <v>0</v>
      </c>
      <c r="AB532">
        <v>9.76</v>
      </c>
      <c r="AC532">
        <v>0</v>
      </c>
      <c r="AD532">
        <v>1</v>
      </c>
      <c r="AE532">
        <v>1</v>
      </c>
      <c r="AF532" t="s">
        <v>200</v>
      </c>
      <c r="AG532">
        <v>6.1559999999999997</v>
      </c>
      <c r="AH532">
        <v>2</v>
      </c>
      <c r="AI532">
        <v>68992637</v>
      </c>
      <c r="AJ532">
        <v>552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ROW(Source!A217)</f>
        <v>217</v>
      </c>
      <c r="B533">
        <v>68992641</v>
      </c>
      <c r="C533">
        <v>68992636</v>
      </c>
      <c r="D533">
        <v>64245580</v>
      </c>
      <c r="E533">
        <v>56</v>
      </c>
      <c r="F533">
        <v>1</v>
      </c>
      <c r="G533">
        <v>1</v>
      </c>
      <c r="H533">
        <v>3</v>
      </c>
      <c r="I533" t="s">
        <v>837</v>
      </c>
      <c r="J533" t="s">
        <v>3</v>
      </c>
      <c r="K533" t="s">
        <v>838</v>
      </c>
      <c r="L533">
        <v>1374</v>
      </c>
      <c r="N533">
        <v>1013</v>
      </c>
      <c r="O533" t="s">
        <v>839</v>
      </c>
      <c r="P533" t="s">
        <v>839</v>
      </c>
      <c r="Q533">
        <v>1</v>
      </c>
      <c r="X533">
        <v>0.89</v>
      </c>
      <c r="Y533">
        <v>1</v>
      </c>
      <c r="Z533">
        <v>0</v>
      </c>
      <c r="AA533">
        <v>0</v>
      </c>
      <c r="AB533">
        <v>0</v>
      </c>
      <c r="AC533">
        <v>0</v>
      </c>
      <c r="AD533">
        <v>1</v>
      </c>
      <c r="AE533">
        <v>0</v>
      </c>
      <c r="AF533" t="s">
        <v>3</v>
      </c>
      <c r="AG533">
        <v>0.89</v>
      </c>
      <c r="AH533">
        <v>2</v>
      </c>
      <c r="AI533">
        <v>68992639</v>
      </c>
      <c r="AJ533">
        <v>554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ROW(Source!A219)</f>
        <v>219</v>
      </c>
      <c r="B534">
        <v>68992647</v>
      </c>
      <c r="C534">
        <v>68992643</v>
      </c>
      <c r="D534">
        <v>37065248</v>
      </c>
      <c r="E534">
        <v>56</v>
      </c>
      <c r="F534">
        <v>1</v>
      </c>
      <c r="G534">
        <v>1</v>
      </c>
      <c r="H534">
        <v>1</v>
      </c>
      <c r="I534" t="s">
        <v>857</v>
      </c>
      <c r="J534" t="s">
        <v>3</v>
      </c>
      <c r="K534" t="s">
        <v>858</v>
      </c>
      <c r="L534">
        <v>1191</v>
      </c>
      <c r="N534">
        <v>1013</v>
      </c>
      <c r="O534" t="s">
        <v>818</v>
      </c>
      <c r="P534" t="s">
        <v>818</v>
      </c>
      <c r="Q534">
        <v>1</v>
      </c>
      <c r="X534">
        <v>2</v>
      </c>
      <c r="Y534">
        <v>0</v>
      </c>
      <c r="Z534">
        <v>0</v>
      </c>
      <c r="AA534">
        <v>0</v>
      </c>
      <c r="AB534">
        <v>8.5299999999999994</v>
      </c>
      <c r="AC534">
        <v>0</v>
      </c>
      <c r="AD534">
        <v>1</v>
      </c>
      <c r="AE534">
        <v>1</v>
      </c>
      <c r="AF534" t="s">
        <v>200</v>
      </c>
      <c r="AG534">
        <v>2.7</v>
      </c>
      <c r="AH534">
        <v>2</v>
      </c>
      <c r="AI534">
        <v>68992644</v>
      </c>
      <c r="AJ534">
        <v>555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ROW(Source!A219)</f>
        <v>219</v>
      </c>
      <c r="B535">
        <v>68992648</v>
      </c>
      <c r="C535">
        <v>68992643</v>
      </c>
      <c r="D535">
        <v>64245580</v>
      </c>
      <c r="E535">
        <v>56</v>
      </c>
      <c r="F535">
        <v>1</v>
      </c>
      <c r="G535">
        <v>1</v>
      </c>
      <c r="H535">
        <v>3</v>
      </c>
      <c r="I535" t="s">
        <v>837</v>
      </c>
      <c r="J535" t="s">
        <v>3</v>
      </c>
      <c r="K535" t="s">
        <v>838</v>
      </c>
      <c r="L535">
        <v>1374</v>
      </c>
      <c r="N535">
        <v>1013</v>
      </c>
      <c r="O535" t="s">
        <v>839</v>
      </c>
      <c r="P535" t="s">
        <v>839</v>
      </c>
      <c r="Q535">
        <v>1</v>
      </c>
      <c r="X535">
        <v>0.34</v>
      </c>
      <c r="Y535">
        <v>1</v>
      </c>
      <c r="Z535">
        <v>0</v>
      </c>
      <c r="AA535">
        <v>0</v>
      </c>
      <c r="AB535">
        <v>0</v>
      </c>
      <c r="AC535">
        <v>0</v>
      </c>
      <c r="AD535">
        <v>1</v>
      </c>
      <c r="AE535">
        <v>0</v>
      </c>
      <c r="AF535" t="s">
        <v>3</v>
      </c>
      <c r="AG535">
        <v>0.34</v>
      </c>
      <c r="AH535">
        <v>2</v>
      </c>
      <c r="AI535">
        <v>68992646</v>
      </c>
      <c r="AJ535">
        <v>557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ROW(Source!A221)</f>
        <v>221</v>
      </c>
      <c r="B536">
        <v>68992656</v>
      </c>
      <c r="C536">
        <v>68992650</v>
      </c>
      <c r="D536">
        <v>37072767</v>
      </c>
      <c r="E536">
        <v>56</v>
      </c>
      <c r="F536">
        <v>1</v>
      </c>
      <c r="G536">
        <v>1</v>
      </c>
      <c r="H536">
        <v>1</v>
      </c>
      <c r="I536" t="s">
        <v>874</v>
      </c>
      <c r="J536" t="s">
        <v>3</v>
      </c>
      <c r="K536" t="s">
        <v>875</v>
      </c>
      <c r="L536">
        <v>1191</v>
      </c>
      <c r="N536">
        <v>1013</v>
      </c>
      <c r="O536" t="s">
        <v>818</v>
      </c>
      <c r="P536" t="s">
        <v>818</v>
      </c>
      <c r="Q536">
        <v>1</v>
      </c>
      <c r="X536">
        <v>15.2</v>
      </c>
      <c r="Y536">
        <v>0</v>
      </c>
      <c r="Z536">
        <v>0</v>
      </c>
      <c r="AA536">
        <v>0</v>
      </c>
      <c r="AB536">
        <v>9.18</v>
      </c>
      <c r="AC536">
        <v>0</v>
      </c>
      <c r="AD536">
        <v>1</v>
      </c>
      <c r="AE536">
        <v>1</v>
      </c>
      <c r="AF536" t="s">
        <v>200</v>
      </c>
      <c r="AG536">
        <v>20.52</v>
      </c>
      <c r="AH536">
        <v>2</v>
      </c>
      <c r="AI536">
        <v>68992651</v>
      </c>
      <c r="AJ536">
        <v>558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ROW(Source!A221)</f>
        <v>221</v>
      </c>
      <c r="B537">
        <v>68992657</v>
      </c>
      <c r="C537">
        <v>68992650</v>
      </c>
      <c r="D537">
        <v>64255223</v>
      </c>
      <c r="E537">
        <v>1</v>
      </c>
      <c r="F537">
        <v>1</v>
      </c>
      <c r="G537">
        <v>1</v>
      </c>
      <c r="H537">
        <v>3</v>
      </c>
      <c r="I537" t="s">
        <v>1000</v>
      </c>
      <c r="J537" t="s">
        <v>1001</v>
      </c>
      <c r="K537" t="s">
        <v>1002</v>
      </c>
      <c r="L537">
        <v>1425</v>
      </c>
      <c r="N537">
        <v>1013</v>
      </c>
      <c r="O537" t="s">
        <v>18</v>
      </c>
      <c r="P537" t="s">
        <v>18</v>
      </c>
      <c r="Q537">
        <v>1</v>
      </c>
      <c r="X537">
        <v>1.75</v>
      </c>
      <c r="Y537">
        <v>8</v>
      </c>
      <c r="Z537">
        <v>0</v>
      </c>
      <c r="AA537">
        <v>0</v>
      </c>
      <c r="AB537">
        <v>0</v>
      </c>
      <c r="AC537">
        <v>0</v>
      </c>
      <c r="AD537">
        <v>1</v>
      </c>
      <c r="AE537">
        <v>0</v>
      </c>
      <c r="AF537" t="s">
        <v>3</v>
      </c>
      <c r="AG537">
        <v>1.75</v>
      </c>
      <c r="AH537">
        <v>2</v>
      </c>
      <c r="AI537">
        <v>68992652</v>
      </c>
      <c r="AJ537">
        <v>559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ROW(Source!A221)</f>
        <v>221</v>
      </c>
      <c r="B538">
        <v>68992658</v>
      </c>
      <c r="C538">
        <v>68992650</v>
      </c>
      <c r="D538">
        <v>64245580</v>
      </c>
      <c r="E538">
        <v>56</v>
      </c>
      <c r="F538">
        <v>1</v>
      </c>
      <c r="G538">
        <v>1</v>
      </c>
      <c r="H538">
        <v>3</v>
      </c>
      <c r="I538" t="s">
        <v>837</v>
      </c>
      <c r="J538" t="s">
        <v>3</v>
      </c>
      <c r="K538" t="s">
        <v>838</v>
      </c>
      <c r="L538">
        <v>1374</v>
      </c>
      <c r="N538">
        <v>1013</v>
      </c>
      <c r="O538" t="s">
        <v>839</v>
      </c>
      <c r="P538" t="s">
        <v>839</v>
      </c>
      <c r="Q538">
        <v>1</v>
      </c>
      <c r="X538">
        <v>2.79</v>
      </c>
      <c r="Y538">
        <v>1</v>
      </c>
      <c r="Z538">
        <v>0</v>
      </c>
      <c r="AA538">
        <v>0</v>
      </c>
      <c r="AB538">
        <v>0</v>
      </c>
      <c r="AC538">
        <v>0</v>
      </c>
      <c r="AD538">
        <v>1</v>
      </c>
      <c r="AE538">
        <v>0</v>
      </c>
      <c r="AF538" t="s">
        <v>3</v>
      </c>
      <c r="AG538">
        <v>2.79</v>
      </c>
      <c r="AH538">
        <v>2</v>
      </c>
      <c r="AI538">
        <v>68992655</v>
      </c>
      <c r="AJ538">
        <v>562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ROW(Source!A224)</f>
        <v>224</v>
      </c>
      <c r="B539">
        <v>68992673</v>
      </c>
      <c r="C539">
        <v>68992661</v>
      </c>
      <c r="D539">
        <v>37064878</v>
      </c>
      <c r="E539">
        <v>56</v>
      </c>
      <c r="F539">
        <v>1</v>
      </c>
      <c r="G539">
        <v>1</v>
      </c>
      <c r="H539">
        <v>1</v>
      </c>
      <c r="I539" t="s">
        <v>955</v>
      </c>
      <c r="J539" t="s">
        <v>3</v>
      </c>
      <c r="K539" t="s">
        <v>956</v>
      </c>
      <c r="L539">
        <v>1191</v>
      </c>
      <c r="N539">
        <v>1013</v>
      </c>
      <c r="O539" t="s">
        <v>818</v>
      </c>
      <c r="P539" t="s">
        <v>818</v>
      </c>
      <c r="Q539">
        <v>1</v>
      </c>
      <c r="X539">
        <v>5.39</v>
      </c>
      <c r="Y539">
        <v>0</v>
      </c>
      <c r="Z539">
        <v>0</v>
      </c>
      <c r="AA539">
        <v>0</v>
      </c>
      <c r="AB539">
        <v>9.4</v>
      </c>
      <c r="AC539">
        <v>0</v>
      </c>
      <c r="AD539">
        <v>1</v>
      </c>
      <c r="AE539">
        <v>1</v>
      </c>
      <c r="AF539" t="s">
        <v>200</v>
      </c>
      <c r="AG539">
        <v>7.2765000000000004</v>
      </c>
      <c r="AH539">
        <v>2</v>
      </c>
      <c r="AI539">
        <v>68992662</v>
      </c>
      <c r="AJ539">
        <v>563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ROW(Source!A224)</f>
        <v>224</v>
      </c>
      <c r="B540">
        <v>68992674</v>
      </c>
      <c r="C540">
        <v>68992661</v>
      </c>
      <c r="D540">
        <v>37064876</v>
      </c>
      <c r="E540">
        <v>56</v>
      </c>
      <c r="F540">
        <v>1</v>
      </c>
      <c r="G540">
        <v>1</v>
      </c>
      <c r="H540">
        <v>1</v>
      </c>
      <c r="I540" t="s">
        <v>819</v>
      </c>
      <c r="J540" t="s">
        <v>3</v>
      </c>
      <c r="K540" t="s">
        <v>820</v>
      </c>
      <c r="L540">
        <v>1191</v>
      </c>
      <c r="N540">
        <v>1013</v>
      </c>
      <c r="O540" t="s">
        <v>818</v>
      </c>
      <c r="P540" t="s">
        <v>818</v>
      </c>
      <c r="Q540">
        <v>1</v>
      </c>
      <c r="X540">
        <v>0.04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1</v>
      </c>
      <c r="AE540">
        <v>2</v>
      </c>
      <c r="AF540" t="s">
        <v>200</v>
      </c>
      <c r="AG540">
        <v>5.4000000000000006E-2</v>
      </c>
      <c r="AH540">
        <v>2</v>
      </c>
      <c r="AI540">
        <v>68992663</v>
      </c>
      <c r="AJ540">
        <v>564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ROW(Source!A224)</f>
        <v>224</v>
      </c>
      <c r="B541">
        <v>68992675</v>
      </c>
      <c r="C541">
        <v>68992661</v>
      </c>
      <c r="D541">
        <v>64401763</v>
      </c>
      <c r="E541">
        <v>1</v>
      </c>
      <c r="F541">
        <v>1</v>
      </c>
      <c r="G541">
        <v>1</v>
      </c>
      <c r="H541">
        <v>2</v>
      </c>
      <c r="I541" t="s">
        <v>821</v>
      </c>
      <c r="J541" t="s">
        <v>822</v>
      </c>
      <c r="K541" t="s">
        <v>823</v>
      </c>
      <c r="L541">
        <v>1368</v>
      </c>
      <c r="N541">
        <v>1011</v>
      </c>
      <c r="O541" t="s">
        <v>824</v>
      </c>
      <c r="P541" t="s">
        <v>824</v>
      </c>
      <c r="Q541">
        <v>1</v>
      </c>
      <c r="X541">
        <v>0.02</v>
      </c>
      <c r="Y541">
        <v>0</v>
      </c>
      <c r="Z541">
        <v>115.4</v>
      </c>
      <c r="AA541">
        <v>13.5</v>
      </c>
      <c r="AB541">
        <v>0</v>
      </c>
      <c r="AC541">
        <v>0</v>
      </c>
      <c r="AD541">
        <v>1</v>
      </c>
      <c r="AE541">
        <v>0</v>
      </c>
      <c r="AF541" t="s">
        <v>200</v>
      </c>
      <c r="AG541">
        <v>2.7000000000000003E-2</v>
      </c>
      <c r="AH541">
        <v>2</v>
      </c>
      <c r="AI541">
        <v>68992664</v>
      </c>
      <c r="AJ541">
        <v>565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ROW(Source!A224)</f>
        <v>224</v>
      </c>
      <c r="B542">
        <v>68992676</v>
      </c>
      <c r="C542">
        <v>68992661</v>
      </c>
      <c r="D542">
        <v>64402691</v>
      </c>
      <c r="E542">
        <v>1</v>
      </c>
      <c r="F542">
        <v>1</v>
      </c>
      <c r="G542">
        <v>1</v>
      </c>
      <c r="H542">
        <v>2</v>
      </c>
      <c r="I542" t="s">
        <v>825</v>
      </c>
      <c r="J542" t="s">
        <v>826</v>
      </c>
      <c r="K542" t="s">
        <v>827</v>
      </c>
      <c r="L542">
        <v>1368</v>
      </c>
      <c r="N542">
        <v>1011</v>
      </c>
      <c r="O542" t="s">
        <v>824</v>
      </c>
      <c r="P542" t="s">
        <v>824</v>
      </c>
      <c r="Q542">
        <v>1</v>
      </c>
      <c r="X542">
        <v>0.02</v>
      </c>
      <c r="Y542">
        <v>0</v>
      </c>
      <c r="Z542">
        <v>65.709999999999994</v>
      </c>
      <c r="AA542">
        <v>11.6</v>
      </c>
      <c r="AB542">
        <v>0</v>
      </c>
      <c r="AC542">
        <v>0</v>
      </c>
      <c r="AD542">
        <v>1</v>
      </c>
      <c r="AE542">
        <v>0</v>
      </c>
      <c r="AF542" t="s">
        <v>200</v>
      </c>
      <c r="AG542">
        <v>2.7000000000000003E-2</v>
      </c>
      <c r="AH542">
        <v>2</v>
      </c>
      <c r="AI542">
        <v>68992665</v>
      </c>
      <c r="AJ542">
        <v>566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ROW(Source!A224)</f>
        <v>224</v>
      </c>
      <c r="B543">
        <v>68992677</v>
      </c>
      <c r="C543">
        <v>68992661</v>
      </c>
      <c r="D543">
        <v>64253038</v>
      </c>
      <c r="E543">
        <v>1</v>
      </c>
      <c r="F543">
        <v>1</v>
      </c>
      <c r="G543">
        <v>1</v>
      </c>
      <c r="H543">
        <v>3</v>
      </c>
      <c r="I543" t="s">
        <v>828</v>
      </c>
      <c r="J543" t="s">
        <v>829</v>
      </c>
      <c r="K543" t="s">
        <v>830</v>
      </c>
      <c r="L543">
        <v>1346</v>
      </c>
      <c r="N543">
        <v>1009</v>
      </c>
      <c r="O543" t="s">
        <v>170</v>
      </c>
      <c r="P543" t="s">
        <v>170</v>
      </c>
      <c r="Q543">
        <v>1</v>
      </c>
      <c r="X543">
        <v>0.16</v>
      </c>
      <c r="Y543">
        <v>30.4</v>
      </c>
      <c r="Z543">
        <v>0</v>
      </c>
      <c r="AA543">
        <v>0</v>
      </c>
      <c r="AB543">
        <v>0</v>
      </c>
      <c r="AC543">
        <v>0</v>
      </c>
      <c r="AD543">
        <v>1</v>
      </c>
      <c r="AE543">
        <v>0</v>
      </c>
      <c r="AF543" t="s">
        <v>3</v>
      </c>
      <c r="AG543">
        <v>0.16</v>
      </c>
      <c r="AH543">
        <v>2</v>
      </c>
      <c r="AI543">
        <v>68992666</v>
      </c>
      <c r="AJ543">
        <v>567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ROW(Source!A224)</f>
        <v>224</v>
      </c>
      <c r="B544">
        <v>68992678</v>
      </c>
      <c r="C544">
        <v>68992661</v>
      </c>
      <c r="D544">
        <v>64253321</v>
      </c>
      <c r="E544">
        <v>1</v>
      </c>
      <c r="F544">
        <v>1</v>
      </c>
      <c r="G544">
        <v>1</v>
      </c>
      <c r="H544">
        <v>3</v>
      </c>
      <c r="I544" t="s">
        <v>1222</v>
      </c>
      <c r="J544" t="s">
        <v>1223</v>
      </c>
      <c r="K544" t="s">
        <v>1224</v>
      </c>
      <c r="L544">
        <v>1348</v>
      </c>
      <c r="N544">
        <v>1009</v>
      </c>
      <c r="O544" t="s">
        <v>71</v>
      </c>
      <c r="P544" t="s">
        <v>71</v>
      </c>
      <c r="Q544">
        <v>1000</v>
      </c>
      <c r="X544">
        <v>5.9999999999999995E-4</v>
      </c>
      <c r="Y544">
        <v>1820</v>
      </c>
      <c r="Z544">
        <v>0</v>
      </c>
      <c r="AA544">
        <v>0</v>
      </c>
      <c r="AB544">
        <v>0</v>
      </c>
      <c r="AC544">
        <v>0</v>
      </c>
      <c r="AD544">
        <v>1</v>
      </c>
      <c r="AE544">
        <v>0</v>
      </c>
      <c r="AF544" t="s">
        <v>3</v>
      </c>
      <c r="AG544">
        <v>5.9999999999999995E-4</v>
      </c>
      <c r="AH544">
        <v>2</v>
      </c>
      <c r="AI544">
        <v>68992667</v>
      </c>
      <c r="AJ544">
        <v>568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ROW(Source!A224)</f>
        <v>224</v>
      </c>
      <c r="B545">
        <v>68992679</v>
      </c>
      <c r="C545">
        <v>68992661</v>
      </c>
      <c r="D545">
        <v>64284267</v>
      </c>
      <c r="E545">
        <v>1</v>
      </c>
      <c r="F545">
        <v>1</v>
      </c>
      <c r="G545">
        <v>1</v>
      </c>
      <c r="H545">
        <v>3</v>
      </c>
      <c r="I545" t="s">
        <v>1225</v>
      </c>
      <c r="J545" t="s">
        <v>1226</v>
      </c>
      <c r="K545" t="s">
        <v>1227</v>
      </c>
      <c r="L545">
        <v>1346</v>
      </c>
      <c r="N545">
        <v>1009</v>
      </c>
      <c r="O545" t="s">
        <v>170</v>
      </c>
      <c r="P545" t="s">
        <v>170</v>
      </c>
      <c r="Q545">
        <v>1</v>
      </c>
      <c r="X545">
        <v>0.02</v>
      </c>
      <c r="Y545">
        <v>28.6</v>
      </c>
      <c r="Z545">
        <v>0</v>
      </c>
      <c r="AA545">
        <v>0</v>
      </c>
      <c r="AB545">
        <v>0</v>
      </c>
      <c r="AC545">
        <v>0</v>
      </c>
      <c r="AD545">
        <v>1</v>
      </c>
      <c r="AE545">
        <v>0</v>
      </c>
      <c r="AF545" t="s">
        <v>3</v>
      </c>
      <c r="AG545">
        <v>0.02</v>
      </c>
      <c r="AH545">
        <v>2</v>
      </c>
      <c r="AI545">
        <v>68992668</v>
      </c>
      <c r="AJ545">
        <v>569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ROW(Source!A224)</f>
        <v>224</v>
      </c>
      <c r="B546">
        <v>68992680</v>
      </c>
      <c r="C546">
        <v>68992661</v>
      </c>
      <c r="D546">
        <v>64297623</v>
      </c>
      <c r="E546">
        <v>1</v>
      </c>
      <c r="F546">
        <v>1</v>
      </c>
      <c r="G546">
        <v>1</v>
      </c>
      <c r="H546">
        <v>3</v>
      </c>
      <c r="I546" t="s">
        <v>1234</v>
      </c>
      <c r="J546" t="s">
        <v>1235</v>
      </c>
      <c r="K546" t="s">
        <v>1236</v>
      </c>
      <c r="L546">
        <v>1425</v>
      </c>
      <c r="N546">
        <v>1013</v>
      </c>
      <c r="O546" t="s">
        <v>18</v>
      </c>
      <c r="P546" t="s">
        <v>18</v>
      </c>
      <c r="Q546">
        <v>1</v>
      </c>
      <c r="X546">
        <v>0.05</v>
      </c>
      <c r="Y546">
        <v>110</v>
      </c>
      <c r="Z546">
        <v>0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3</v>
      </c>
      <c r="AG546">
        <v>0.05</v>
      </c>
      <c r="AH546">
        <v>2</v>
      </c>
      <c r="AI546">
        <v>68992669</v>
      </c>
      <c r="AJ546">
        <v>570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ROW(Source!A224)</f>
        <v>224</v>
      </c>
      <c r="B547">
        <v>68992681</v>
      </c>
      <c r="C547">
        <v>68992661</v>
      </c>
      <c r="D547">
        <v>64297674</v>
      </c>
      <c r="E547">
        <v>1</v>
      </c>
      <c r="F547">
        <v>1</v>
      </c>
      <c r="G547">
        <v>1</v>
      </c>
      <c r="H547">
        <v>3</v>
      </c>
      <c r="I547" t="s">
        <v>1237</v>
      </c>
      <c r="J547" t="s">
        <v>1238</v>
      </c>
      <c r="K547" t="s">
        <v>1239</v>
      </c>
      <c r="L547">
        <v>1407</v>
      </c>
      <c r="N547">
        <v>1013</v>
      </c>
      <c r="O547" t="s">
        <v>1171</v>
      </c>
      <c r="P547" t="s">
        <v>1171</v>
      </c>
      <c r="Q547">
        <v>1</v>
      </c>
      <c r="X547">
        <v>1.2200000000000001E-2</v>
      </c>
      <c r="Y547">
        <v>119</v>
      </c>
      <c r="Z547">
        <v>0</v>
      </c>
      <c r="AA547">
        <v>0</v>
      </c>
      <c r="AB547">
        <v>0</v>
      </c>
      <c r="AC547">
        <v>0</v>
      </c>
      <c r="AD547">
        <v>1</v>
      </c>
      <c r="AE547">
        <v>0</v>
      </c>
      <c r="AF547" t="s">
        <v>3</v>
      </c>
      <c r="AG547">
        <v>1.2200000000000001E-2</v>
      </c>
      <c r="AH547">
        <v>2</v>
      </c>
      <c r="AI547">
        <v>68992670</v>
      </c>
      <c r="AJ547">
        <v>571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ROW(Source!A224)</f>
        <v>224</v>
      </c>
      <c r="B548">
        <v>68992682</v>
      </c>
      <c r="C548">
        <v>68992661</v>
      </c>
      <c r="D548">
        <v>64245580</v>
      </c>
      <c r="E548">
        <v>56</v>
      </c>
      <c r="F548">
        <v>1</v>
      </c>
      <c r="G548">
        <v>1</v>
      </c>
      <c r="H548">
        <v>3</v>
      </c>
      <c r="I548" t="s">
        <v>837</v>
      </c>
      <c r="J548" t="s">
        <v>3</v>
      </c>
      <c r="K548" t="s">
        <v>838</v>
      </c>
      <c r="L548">
        <v>1374</v>
      </c>
      <c r="N548">
        <v>1013</v>
      </c>
      <c r="O548" t="s">
        <v>839</v>
      </c>
      <c r="P548" t="s">
        <v>839</v>
      </c>
      <c r="Q548">
        <v>1</v>
      </c>
      <c r="X548">
        <v>1.01</v>
      </c>
      <c r="Y548">
        <v>1</v>
      </c>
      <c r="Z548">
        <v>0</v>
      </c>
      <c r="AA548">
        <v>0</v>
      </c>
      <c r="AB548">
        <v>0</v>
      </c>
      <c r="AC548">
        <v>0</v>
      </c>
      <c r="AD548">
        <v>1</v>
      </c>
      <c r="AE548">
        <v>0</v>
      </c>
      <c r="AF548" t="s">
        <v>3</v>
      </c>
      <c r="AG548">
        <v>1.01</v>
      </c>
      <c r="AH548">
        <v>2</v>
      </c>
      <c r="AI548">
        <v>68992672</v>
      </c>
      <c r="AJ548">
        <v>573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ROW(Source!A226)</f>
        <v>226</v>
      </c>
      <c r="B549">
        <v>68992692</v>
      </c>
      <c r="C549">
        <v>68992684</v>
      </c>
      <c r="D549">
        <v>37070202</v>
      </c>
      <c r="E549">
        <v>56</v>
      </c>
      <c r="F549">
        <v>1</v>
      </c>
      <c r="G549">
        <v>1</v>
      </c>
      <c r="H549">
        <v>1</v>
      </c>
      <c r="I549" t="s">
        <v>1240</v>
      </c>
      <c r="J549" t="s">
        <v>3</v>
      </c>
      <c r="K549" t="s">
        <v>1241</v>
      </c>
      <c r="L549">
        <v>1191</v>
      </c>
      <c r="N549">
        <v>1013</v>
      </c>
      <c r="O549" t="s">
        <v>818</v>
      </c>
      <c r="P549" t="s">
        <v>818</v>
      </c>
      <c r="Q549">
        <v>1</v>
      </c>
      <c r="X549">
        <v>16.29</v>
      </c>
      <c r="Y549">
        <v>0</v>
      </c>
      <c r="Z549">
        <v>0</v>
      </c>
      <c r="AA549">
        <v>0</v>
      </c>
      <c r="AB549">
        <v>9.51</v>
      </c>
      <c r="AC549">
        <v>0</v>
      </c>
      <c r="AD549">
        <v>1</v>
      </c>
      <c r="AE549">
        <v>1</v>
      </c>
      <c r="AF549" t="s">
        <v>200</v>
      </c>
      <c r="AG549">
        <v>21.991500000000002</v>
      </c>
      <c r="AH549">
        <v>2</v>
      </c>
      <c r="AI549">
        <v>68992685</v>
      </c>
      <c r="AJ549">
        <v>574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ROW(Source!A226)</f>
        <v>226</v>
      </c>
      <c r="B550">
        <v>68992693</v>
      </c>
      <c r="C550">
        <v>68992684</v>
      </c>
      <c r="D550">
        <v>37064876</v>
      </c>
      <c r="E550">
        <v>56</v>
      </c>
      <c r="F550">
        <v>1</v>
      </c>
      <c r="G550">
        <v>1</v>
      </c>
      <c r="H550">
        <v>1</v>
      </c>
      <c r="I550" t="s">
        <v>819</v>
      </c>
      <c r="J550" t="s">
        <v>3</v>
      </c>
      <c r="K550" t="s">
        <v>820</v>
      </c>
      <c r="L550">
        <v>1191</v>
      </c>
      <c r="N550">
        <v>1013</v>
      </c>
      <c r="O550" t="s">
        <v>818</v>
      </c>
      <c r="P550" t="s">
        <v>818</v>
      </c>
      <c r="Q550">
        <v>1</v>
      </c>
      <c r="X550">
        <v>0.01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1</v>
      </c>
      <c r="AE550">
        <v>2</v>
      </c>
      <c r="AF550" t="s">
        <v>200</v>
      </c>
      <c r="AG550">
        <v>1.3500000000000002E-2</v>
      </c>
      <c r="AH550">
        <v>2</v>
      </c>
      <c r="AI550">
        <v>68992686</v>
      </c>
      <c r="AJ550">
        <v>575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ROW(Source!A226)</f>
        <v>226</v>
      </c>
      <c r="B551">
        <v>68992694</v>
      </c>
      <c r="C551">
        <v>68992684</v>
      </c>
      <c r="D551">
        <v>64401959</v>
      </c>
      <c r="E551">
        <v>1</v>
      </c>
      <c r="F551">
        <v>1</v>
      </c>
      <c r="G551">
        <v>1</v>
      </c>
      <c r="H551">
        <v>2</v>
      </c>
      <c r="I551" t="s">
        <v>859</v>
      </c>
      <c r="J551" t="s">
        <v>860</v>
      </c>
      <c r="K551" t="s">
        <v>861</v>
      </c>
      <c r="L551">
        <v>1368</v>
      </c>
      <c r="N551">
        <v>1011</v>
      </c>
      <c r="O551" t="s">
        <v>824</v>
      </c>
      <c r="P551" t="s">
        <v>824</v>
      </c>
      <c r="Q551">
        <v>1</v>
      </c>
      <c r="X551">
        <v>0.01</v>
      </c>
      <c r="Y551">
        <v>0</v>
      </c>
      <c r="Z551">
        <v>31.26</v>
      </c>
      <c r="AA551">
        <v>13.5</v>
      </c>
      <c r="AB551">
        <v>0</v>
      </c>
      <c r="AC551">
        <v>0</v>
      </c>
      <c r="AD551">
        <v>1</v>
      </c>
      <c r="AE551">
        <v>0</v>
      </c>
      <c r="AF551" t="s">
        <v>200</v>
      </c>
      <c r="AG551">
        <v>1.3500000000000002E-2</v>
      </c>
      <c r="AH551">
        <v>2</v>
      </c>
      <c r="AI551">
        <v>68992687</v>
      </c>
      <c r="AJ551">
        <v>576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ROW(Source!A226)</f>
        <v>226</v>
      </c>
      <c r="B552">
        <v>68992695</v>
      </c>
      <c r="C552">
        <v>68992684</v>
      </c>
      <c r="D552">
        <v>64255147</v>
      </c>
      <c r="E552">
        <v>1</v>
      </c>
      <c r="F552">
        <v>1</v>
      </c>
      <c r="G552">
        <v>1</v>
      </c>
      <c r="H552">
        <v>3</v>
      </c>
      <c r="I552" t="s">
        <v>1242</v>
      </c>
      <c r="J552" t="s">
        <v>1243</v>
      </c>
      <c r="K552" t="s">
        <v>1244</v>
      </c>
      <c r="L552">
        <v>1407</v>
      </c>
      <c r="N552">
        <v>1013</v>
      </c>
      <c r="O552" t="s">
        <v>1171</v>
      </c>
      <c r="P552" t="s">
        <v>1171</v>
      </c>
      <c r="Q552">
        <v>1</v>
      </c>
      <c r="X552">
        <v>0.2</v>
      </c>
      <c r="Y552">
        <v>180</v>
      </c>
      <c r="Z552">
        <v>0</v>
      </c>
      <c r="AA552">
        <v>0</v>
      </c>
      <c r="AB552">
        <v>0</v>
      </c>
      <c r="AC552">
        <v>0</v>
      </c>
      <c r="AD552">
        <v>1</v>
      </c>
      <c r="AE552">
        <v>0</v>
      </c>
      <c r="AF552" t="s">
        <v>3</v>
      </c>
      <c r="AG552">
        <v>0.2</v>
      </c>
      <c r="AH552">
        <v>2</v>
      </c>
      <c r="AI552">
        <v>68992688</v>
      </c>
      <c r="AJ552">
        <v>577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ROW(Source!A226)</f>
        <v>226</v>
      </c>
      <c r="B553">
        <v>68992696</v>
      </c>
      <c r="C553">
        <v>68992684</v>
      </c>
      <c r="D553">
        <v>64255521</v>
      </c>
      <c r="E553">
        <v>1</v>
      </c>
      <c r="F553">
        <v>1</v>
      </c>
      <c r="G553">
        <v>1</v>
      </c>
      <c r="H553">
        <v>3</v>
      </c>
      <c r="I553" t="s">
        <v>1213</v>
      </c>
      <c r="J553" t="s">
        <v>1214</v>
      </c>
      <c r="K553" t="s">
        <v>1215</v>
      </c>
      <c r="L553">
        <v>1348</v>
      </c>
      <c r="N553">
        <v>1009</v>
      </c>
      <c r="O553" t="s">
        <v>71</v>
      </c>
      <c r="P553" t="s">
        <v>71</v>
      </c>
      <c r="Q553">
        <v>1000</v>
      </c>
      <c r="X553">
        <v>1E-3</v>
      </c>
      <c r="Y553">
        <v>12430</v>
      </c>
      <c r="Z553">
        <v>0</v>
      </c>
      <c r="AA553">
        <v>0</v>
      </c>
      <c r="AB553">
        <v>0</v>
      </c>
      <c r="AC553">
        <v>0</v>
      </c>
      <c r="AD553">
        <v>1</v>
      </c>
      <c r="AE553">
        <v>0</v>
      </c>
      <c r="AF553" t="s">
        <v>3</v>
      </c>
      <c r="AG553">
        <v>1E-3</v>
      </c>
      <c r="AH553">
        <v>2</v>
      </c>
      <c r="AI553">
        <v>68992689</v>
      </c>
      <c r="AJ553">
        <v>578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ROW(Source!A226)</f>
        <v>226</v>
      </c>
      <c r="B554">
        <v>68992697</v>
      </c>
      <c r="C554">
        <v>68992684</v>
      </c>
      <c r="D554">
        <v>64245580</v>
      </c>
      <c r="E554">
        <v>56</v>
      </c>
      <c r="F554">
        <v>1</v>
      </c>
      <c r="G554">
        <v>1</v>
      </c>
      <c r="H554">
        <v>3</v>
      </c>
      <c r="I554" t="s">
        <v>837</v>
      </c>
      <c r="J554" t="s">
        <v>3</v>
      </c>
      <c r="K554" t="s">
        <v>838</v>
      </c>
      <c r="L554">
        <v>1374</v>
      </c>
      <c r="N554">
        <v>1013</v>
      </c>
      <c r="O554" t="s">
        <v>839</v>
      </c>
      <c r="P554" t="s">
        <v>839</v>
      </c>
      <c r="Q554">
        <v>1</v>
      </c>
      <c r="X554">
        <v>3.1</v>
      </c>
      <c r="Y554">
        <v>1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0</v>
      </c>
      <c r="AF554" t="s">
        <v>3</v>
      </c>
      <c r="AG554">
        <v>3.1</v>
      </c>
      <c r="AH554">
        <v>2</v>
      </c>
      <c r="AI554">
        <v>68992691</v>
      </c>
      <c r="AJ554">
        <v>581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ROW(Source!A229)</f>
        <v>229</v>
      </c>
      <c r="B555">
        <v>68992709</v>
      </c>
      <c r="C555">
        <v>68992699</v>
      </c>
      <c r="D555">
        <v>37064878</v>
      </c>
      <c r="E555">
        <v>56</v>
      </c>
      <c r="F555">
        <v>1</v>
      </c>
      <c r="G555">
        <v>1</v>
      </c>
      <c r="H555">
        <v>1</v>
      </c>
      <c r="I555" t="s">
        <v>955</v>
      </c>
      <c r="J555" t="s">
        <v>3</v>
      </c>
      <c r="K555" t="s">
        <v>956</v>
      </c>
      <c r="L555">
        <v>1191</v>
      </c>
      <c r="N555">
        <v>1013</v>
      </c>
      <c r="O555" t="s">
        <v>818</v>
      </c>
      <c r="P555" t="s">
        <v>818</v>
      </c>
      <c r="Q555">
        <v>1</v>
      </c>
      <c r="X555">
        <v>2.82</v>
      </c>
      <c r="Y555">
        <v>0</v>
      </c>
      <c r="Z555">
        <v>0</v>
      </c>
      <c r="AA555">
        <v>0</v>
      </c>
      <c r="AB555">
        <v>9.4</v>
      </c>
      <c r="AC555">
        <v>0</v>
      </c>
      <c r="AD555">
        <v>1</v>
      </c>
      <c r="AE555">
        <v>1</v>
      </c>
      <c r="AF555" t="s">
        <v>200</v>
      </c>
      <c r="AG555">
        <v>3.8069999999999999</v>
      </c>
      <c r="AH555">
        <v>2</v>
      </c>
      <c r="AI555">
        <v>68992700</v>
      </c>
      <c r="AJ555">
        <v>582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ROW(Source!A229)</f>
        <v>229</v>
      </c>
      <c r="B556">
        <v>68992710</v>
      </c>
      <c r="C556">
        <v>68992699</v>
      </c>
      <c r="D556">
        <v>37064876</v>
      </c>
      <c r="E556">
        <v>56</v>
      </c>
      <c r="F556">
        <v>1</v>
      </c>
      <c r="G556">
        <v>1</v>
      </c>
      <c r="H556">
        <v>1</v>
      </c>
      <c r="I556" t="s">
        <v>819</v>
      </c>
      <c r="J556" t="s">
        <v>3</v>
      </c>
      <c r="K556" t="s">
        <v>820</v>
      </c>
      <c r="L556">
        <v>1191</v>
      </c>
      <c r="N556">
        <v>1013</v>
      </c>
      <c r="O556" t="s">
        <v>818</v>
      </c>
      <c r="P556" t="s">
        <v>818</v>
      </c>
      <c r="Q556">
        <v>1</v>
      </c>
      <c r="X556">
        <v>0.02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1</v>
      </c>
      <c r="AE556">
        <v>2</v>
      </c>
      <c r="AF556" t="s">
        <v>200</v>
      </c>
      <c r="AG556">
        <v>2.7000000000000003E-2</v>
      </c>
      <c r="AH556">
        <v>2</v>
      </c>
      <c r="AI556">
        <v>68992701</v>
      </c>
      <c r="AJ556">
        <v>583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ROW(Source!A229)</f>
        <v>229</v>
      </c>
      <c r="B557">
        <v>68992711</v>
      </c>
      <c r="C557">
        <v>68992699</v>
      </c>
      <c r="D557">
        <v>64401763</v>
      </c>
      <c r="E557">
        <v>1</v>
      </c>
      <c r="F557">
        <v>1</v>
      </c>
      <c r="G557">
        <v>1</v>
      </c>
      <c r="H557">
        <v>2</v>
      </c>
      <c r="I557" t="s">
        <v>821</v>
      </c>
      <c r="J557" t="s">
        <v>822</v>
      </c>
      <c r="K557" t="s">
        <v>823</v>
      </c>
      <c r="L557">
        <v>1368</v>
      </c>
      <c r="N557">
        <v>1011</v>
      </c>
      <c r="O557" t="s">
        <v>824</v>
      </c>
      <c r="P557" t="s">
        <v>824</v>
      </c>
      <c r="Q557">
        <v>1</v>
      </c>
      <c r="X557">
        <v>0.01</v>
      </c>
      <c r="Y557">
        <v>0</v>
      </c>
      <c r="Z557">
        <v>115.4</v>
      </c>
      <c r="AA557">
        <v>13.5</v>
      </c>
      <c r="AB557">
        <v>0</v>
      </c>
      <c r="AC557">
        <v>0</v>
      </c>
      <c r="AD557">
        <v>1</v>
      </c>
      <c r="AE557">
        <v>0</v>
      </c>
      <c r="AF557" t="s">
        <v>200</v>
      </c>
      <c r="AG557">
        <v>1.3500000000000002E-2</v>
      </c>
      <c r="AH557">
        <v>2</v>
      </c>
      <c r="AI557">
        <v>68992702</v>
      </c>
      <c r="AJ557">
        <v>584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ROW(Source!A229)</f>
        <v>229</v>
      </c>
      <c r="B558">
        <v>68992712</v>
      </c>
      <c r="C558">
        <v>68992699</v>
      </c>
      <c r="D558">
        <v>64402691</v>
      </c>
      <c r="E558">
        <v>1</v>
      </c>
      <c r="F558">
        <v>1</v>
      </c>
      <c r="G558">
        <v>1</v>
      </c>
      <c r="H558">
        <v>2</v>
      </c>
      <c r="I558" t="s">
        <v>825</v>
      </c>
      <c r="J558" t="s">
        <v>826</v>
      </c>
      <c r="K558" t="s">
        <v>827</v>
      </c>
      <c r="L558">
        <v>1368</v>
      </c>
      <c r="N558">
        <v>1011</v>
      </c>
      <c r="O558" t="s">
        <v>824</v>
      </c>
      <c r="P558" t="s">
        <v>824</v>
      </c>
      <c r="Q558">
        <v>1</v>
      </c>
      <c r="X558">
        <v>0.01</v>
      </c>
      <c r="Y558">
        <v>0</v>
      </c>
      <c r="Z558">
        <v>65.709999999999994</v>
      </c>
      <c r="AA558">
        <v>11.6</v>
      </c>
      <c r="AB558">
        <v>0</v>
      </c>
      <c r="AC558">
        <v>0</v>
      </c>
      <c r="AD558">
        <v>1</v>
      </c>
      <c r="AE558">
        <v>0</v>
      </c>
      <c r="AF558" t="s">
        <v>200</v>
      </c>
      <c r="AG558">
        <v>1.3500000000000002E-2</v>
      </c>
      <c r="AH558">
        <v>2</v>
      </c>
      <c r="AI558">
        <v>68992703</v>
      </c>
      <c r="AJ558">
        <v>585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ROW(Source!A229)</f>
        <v>229</v>
      </c>
      <c r="B559">
        <v>68992713</v>
      </c>
      <c r="C559">
        <v>68992699</v>
      </c>
      <c r="D559">
        <v>64253038</v>
      </c>
      <c r="E559">
        <v>1</v>
      </c>
      <c r="F559">
        <v>1</v>
      </c>
      <c r="G559">
        <v>1</v>
      </c>
      <c r="H559">
        <v>3</v>
      </c>
      <c r="I559" t="s">
        <v>828</v>
      </c>
      <c r="J559" t="s">
        <v>829</v>
      </c>
      <c r="K559" t="s">
        <v>830</v>
      </c>
      <c r="L559">
        <v>1346</v>
      </c>
      <c r="N559">
        <v>1009</v>
      </c>
      <c r="O559" t="s">
        <v>170</v>
      </c>
      <c r="P559" t="s">
        <v>170</v>
      </c>
      <c r="Q559">
        <v>1</v>
      </c>
      <c r="X559">
        <v>0.16</v>
      </c>
      <c r="Y559">
        <v>30.4</v>
      </c>
      <c r="Z559">
        <v>0</v>
      </c>
      <c r="AA559">
        <v>0</v>
      </c>
      <c r="AB559">
        <v>0</v>
      </c>
      <c r="AC559">
        <v>0</v>
      </c>
      <c r="AD559">
        <v>1</v>
      </c>
      <c r="AE559">
        <v>0</v>
      </c>
      <c r="AF559" t="s">
        <v>3</v>
      </c>
      <c r="AG559">
        <v>0.16</v>
      </c>
      <c r="AH559">
        <v>2</v>
      </c>
      <c r="AI559">
        <v>68992704</v>
      </c>
      <c r="AJ559">
        <v>586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ROW(Source!A229)</f>
        <v>229</v>
      </c>
      <c r="B560">
        <v>68992714</v>
      </c>
      <c r="C560">
        <v>68992699</v>
      </c>
      <c r="D560">
        <v>64253056</v>
      </c>
      <c r="E560">
        <v>1</v>
      </c>
      <c r="F560">
        <v>1</v>
      </c>
      <c r="G560">
        <v>1</v>
      </c>
      <c r="H560">
        <v>3</v>
      </c>
      <c r="I560" t="s">
        <v>1245</v>
      </c>
      <c r="J560" t="s">
        <v>1246</v>
      </c>
      <c r="K560" t="s">
        <v>1247</v>
      </c>
      <c r="L560">
        <v>1302</v>
      </c>
      <c r="N560">
        <v>1003</v>
      </c>
      <c r="O560" t="s">
        <v>395</v>
      </c>
      <c r="P560" t="s">
        <v>395</v>
      </c>
      <c r="Q560">
        <v>10</v>
      </c>
      <c r="X560">
        <v>0.5</v>
      </c>
      <c r="Y560">
        <v>6.9</v>
      </c>
      <c r="Z560">
        <v>0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3</v>
      </c>
      <c r="AG560">
        <v>0.5</v>
      </c>
      <c r="AH560">
        <v>2</v>
      </c>
      <c r="AI560">
        <v>68992705</v>
      </c>
      <c r="AJ560">
        <v>587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ROW(Source!A229)</f>
        <v>229</v>
      </c>
      <c r="B561">
        <v>68992715</v>
      </c>
      <c r="C561">
        <v>68992699</v>
      </c>
      <c r="D561">
        <v>64284267</v>
      </c>
      <c r="E561">
        <v>1</v>
      </c>
      <c r="F561">
        <v>1</v>
      </c>
      <c r="G561">
        <v>1</v>
      </c>
      <c r="H561">
        <v>3</v>
      </c>
      <c r="I561" t="s">
        <v>1225</v>
      </c>
      <c r="J561" t="s">
        <v>1226</v>
      </c>
      <c r="K561" t="s">
        <v>1227</v>
      </c>
      <c r="L561">
        <v>1346</v>
      </c>
      <c r="N561">
        <v>1009</v>
      </c>
      <c r="O561" t="s">
        <v>170</v>
      </c>
      <c r="P561" t="s">
        <v>170</v>
      </c>
      <c r="Q561">
        <v>1</v>
      </c>
      <c r="X561">
        <v>0.05</v>
      </c>
      <c r="Y561">
        <v>28.6</v>
      </c>
      <c r="Z561">
        <v>0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3</v>
      </c>
      <c r="AG561">
        <v>0.05</v>
      </c>
      <c r="AH561">
        <v>2</v>
      </c>
      <c r="AI561">
        <v>68992706</v>
      </c>
      <c r="AJ561">
        <v>588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ROW(Source!A229)</f>
        <v>229</v>
      </c>
      <c r="B562">
        <v>68992716</v>
      </c>
      <c r="C562">
        <v>68992699</v>
      </c>
      <c r="D562">
        <v>64245580</v>
      </c>
      <c r="E562">
        <v>56</v>
      </c>
      <c r="F562">
        <v>1</v>
      </c>
      <c r="G562">
        <v>1</v>
      </c>
      <c r="H562">
        <v>3</v>
      </c>
      <c r="I562" t="s">
        <v>837</v>
      </c>
      <c r="J562" t="s">
        <v>3</v>
      </c>
      <c r="K562" t="s">
        <v>838</v>
      </c>
      <c r="L562">
        <v>1374</v>
      </c>
      <c r="N562">
        <v>1013</v>
      </c>
      <c r="O562" t="s">
        <v>839</v>
      </c>
      <c r="P562" t="s">
        <v>839</v>
      </c>
      <c r="Q562">
        <v>1</v>
      </c>
      <c r="X562">
        <v>0.53</v>
      </c>
      <c r="Y562">
        <v>1</v>
      </c>
      <c r="Z562">
        <v>0</v>
      </c>
      <c r="AA562">
        <v>0</v>
      </c>
      <c r="AB562">
        <v>0</v>
      </c>
      <c r="AC562">
        <v>0</v>
      </c>
      <c r="AD562">
        <v>1</v>
      </c>
      <c r="AE562">
        <v>0</v>
      </c>
      <c r="AF562" t="s">
        <v>3</v>
      </c>
      <c r="AG562">
        <v>0.53</v>
      </c>
      <c r="AH562">
        <v>2</v>
      </c>
      <c r="AI562">
        <v>68992708</v>
      </c>
      <c r="AJ562">
        <v>590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ROW(Source!A231)</f>
        <v>231</v>
      </c>
      <c r="B563">
        <v>68992729</v>
      </c>
      <c r="C563">
        <v>68992718</v>
      </c>
      <c r="D563">
        <v>37080781</v>
      </c>
      <c r="E563">
        <v>56</v>
      </c>
      <c r="F563">
        <v>1</v>
      </c>
      <c r="G563">
        <v>1</v>
      </c>
      <c r="H563">
        <v>1</v>
      </c>
      <c r="I563" t="s">
        <v>816</v>
      </c>
      <c r="J563" t="s">
        <v>3</v>
      </c>
      <c r="K563" t="s">
        <v>817</v>
      </c>
      <c r="L563">
        <v>1191</v>
      </c>
      <c r="N563">
        <v>1013</v>
      </c>
      <c r="O563" t="s">
        <v>818</v>
      </c>
      <c r="P563" t="s">
        <v>818</v>
      </c>
      <c r="Q563">
        <v>1</v>
      </c>
      <c r="X563">
        <v>34.56</v>
      </c>
      <c r="Y563">
        <v>0</v>
      </c>
      <c r="Z563">
        <v>0</v>
      </c>
      <c r="AA563">
        <v>0</v>
      </c>
      <c r="AB563">
        <v>9.92</v>
      </c>
      <c r="AC563">
        <v>0</v>
      </c>
      <c r="AD563">
        <v>1</v>
      </c>
      <c r="AE563">
        <v>1</v>
      </c>
      <c r="AF563" t="s">
        <v>200</v>
      </c>
      <c r="AG563">
        <v>46.656000000000006</v>
      </c>
      <c r="AH563">
        <v>2</v>
      </c>
      <c r="AI563">
        <v>68992719</v>
      </c>
      <c r="AJ563">
        <v>591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ROW(Source!A231)</f>
        <v>231</v>
      </c>
      <c r="B564">
        <v>68992730</v>
      </c>
      <c r="C564">
        <v>68992718</v>
      </c>
      <c r="D564">
        <v>37064876</v>
      </c>
      <c r="E564">
        <v>56</v>
      </c>
      <c r="F564">
        <v>1</v>
      </c>
      <c r="G564">
        <v>1</v>
      </c>
      <c r="H564">
        <v>1</v>
      </c>
      <c r="I564" t="s">
        <v>819</v>
      </c>
      <c r="J564" t="s">
        <v>3</v>
      </c>
      <c r="K564" t="s">
        <v>820</v>
      </c>
      <c r="L564">
        <v>1191</v>
      </c>
      <c r="N564">
        <v>1013</v>
      </c>
      <c r="O564" t="s">
        <v>818</v>
      </c>
      <c r="P564" t="s">
        <v>818</v>
      </c>
      <c r="Q564">
        <v>1</v>
      </c>
      <c r="X564">
        <v>0.05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1</v>
      </c>
      <c r="AE564">
        <v>2</v>
      </c>
      <c r="AF564" t="s">
        <v>200</v>
      </c>
      <c r="AG564">
        <v>6.7500000000000004E-2</v>
      </c>
      <c r="AH564">
        <v>2</v>
      </c>
      <c r="AI564">
        <v>68992720</v>
      </c>
      <c r="AJ564">
        <v>592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ROW(Source!A231)</f>
        <v>231</v>
      </c>
      <c r="B565">
        <v>68992731</v>
      </c>
      <c r="C565">
        <v>68992718</v>
      </c>
      <c r="D565">
        <v>64401763</v>
      </c>
      <c r="E565">
        <v>1</v>
      </c>
      <c r="F565">
        <v>1</v>
      </c>
      <c r="G565">
        <v>1</v>
      </c>
      <c r="H565">
        <v>2</v>
      </c>
      <c r="I565" t="s">
        <v>821</v>
      </c>
      <c r="J565" t="s">
        <v>822</v>
      </c>
      <c r="K565" t="s">
        <v>823</v>
      </c>
      <c r="L565">
        <v>1368</v>
      </c>
      <c r="N565">
        <v>1011</v>
      </c>
      <c r="O565" t="s">
        <v>824</v>
      </c>
      <c r="P565" t="s">
        <v>824</v>
      </c>
      <c r="Q565">
        <v>1</v>
      </c>
      <c r="X565">
        <v>0.03</v>
      </c>
      <c r="Y565">
        <v>0</v>
      </c>
      <c r="Z565">
        <v>115.4</v>
      </c>
      <c r="AA565">
        <v>13.5</v>
      </c>
      <c r="AB565">
        <v>0</v>
      </c>
      <c r="AC565">
        <v>0</v>
      </c>
      <c r="AD565">
        <v>1</v>
      </c>
      <c r="AE565">
        <v>0</v>
      </c>
      <c r="AF565" t="s">
        <v>200</v>
      </c>
      <c r="AG565">
        <v>4.0500000000000001E-2</v>
      </c>
      <c r="AH565">
        <v>2</v>
      </c>
      <c r="AI565">
        <v>68992721</v>
      </c>
      <c r="AJ565">
        <v>593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ROW(Source!A231)</f>
        <v>231</v>
      </c>
      <c r="B566">
        <v>68992732</v>
      </c>
      <c r="C566">
        <v>68992718</v>
      </c>
      <c r="D566">
        <v>64402691</v>
      </c>
      <c r="E566">
        <v>1</v>
      </c>
      <c r="F566">
        <v>1</v>
      </c>
      <c r="G566">
        <v>1</v>
      </c>
      <c r="H566">
        <v>2</v>
      </c>
      <c r="I566" t="s">
        <v>825</v>
      </c>
      <c r="J566" t="s">
        <v>826</v>
      </c>
      <c r="K566" t="s">
        <v>827</v>
      </c>
      <c r="L566">
        <v>1368</v>
      </c>
      <c r="N566">
        <v>1011</v>
      </c>
      <c r="O566" t="s">
        <v>824</v>
      </c>
      <c r="P566" t="s">
        <v>824</v>
      </c>
      <c r="Q566">
        <v>1</v>
      </c>
      <c r="X566">
        <v>0.02</v>
      </c>
      <c r="Y566">
        <v>0</v>
      </c>
      <c r="Z566">
        <v>65.709999999999994</v>
      </c>
      <c r="AA566">
        <v>11.6</v>
      </c>
      <c r="AB566">
        <v>0</v>
      </c>
      <c r="AC566">
        <v>0</v>
      </c>
      <c r="AD566">
        <v>1</v>
      </c>
      <c r="AE566">
        <v>0</v>
      </c>
      <c r="AF566" t="s">
        <v>200</v>
      </c>
      <c r="AG566">
        <v>2.7000000000000003E-2</v>
      </c>
      <c r="AH566">
        <v>2</v>
      </c>
      <c r="AI566">
        <v>68992722</v>
      </c>
      <c r="AJ566">
        <v>594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ROW(Source!A231)</f>
        <v>231</v>
      </c>
      <c r="B567">
        <v>68992733</v>
      </c>
      <c r="C567">
        <v>68992718</v>
      </c>
      <c r="D567">
        <v>64253038</v>
      </c>
      <c r="E567">
        <v>1</v>
      </c>
      <c r="F567">
        <v>1</v>
      </c>
      <c r="G567">
        <v>1</v>
      </c>
      <c r="H567">
        <v>3</v>
      </c>
      <c r="I567" t="s">
        <v>828</v>
      </c>
      <c r="J567" t="s">
        <v>829</v>
      </c>
      <c r="K567" t="s">
        <v>830</v>
      </c>
      <c r="L567">
        <v>1346</v>
      </c>
      <c r="N567">
        <v>1009</v>
      </c>
      <c r="O567" t="s">
        <v>170</v>
      </c>
      <c r="P567" t="s">
        <v>170</v>
      </c>
      <c r="Q567">
        <v>1</v>
      </c>
      <c r="X567">
        <v>0.11</v>
      </c>
      <c r="Y567">
        <v>30.4</v>
      </c>
      <c r="Z567">
        <v>0</v>
      </c>
      <c r="AA567">
        <v>0</v>
      </c>
      <c r="AB567">
        <v>0</v>
      </c>
      <c r="AC567">
        <v>0</v>
      </c>
      <c r="AD567">
        <v>1</v>
      </c>
      <c r="AE567">
        <v>0</v>
      </c>
      <c r="AF567" t="s">
        <v>3</v>
      </c>
      <c r="AG567">
        <v>0.11</v>
      </c>
      <c r="AH567">
        <v>2</v>
      </c>
      <c r="AI567">
        <v>68992723</v>
      </c>
      <c r="AJ567">
        <v>595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ROW(Source!A231)</f>
        <v>231</v>
      </c>
      <c r="B568">
        <v>68992734</v>
      </c>
      <c r="C568">
        <v>68992718</v>
      </c>
      <c r="D568">
        <v>64255145</v>
      </c>
      <c r="E568">
        <v>1</v>
      </c>
      <c r="F568">
        <v>1</v>
      </c>
      <c r="G568">
        <v>1</v>
      </c>
      <c r="H568">
        <v>3</v>
      </c>
      <c r="I568" t="s">
        <v>831</v>
      </c>
      <c r="J568" t="s">
        <v>832</v>
      </c>
      <c r="K568" t="s">
        <v>833</v>
      </c>
      <c r="L568">
        <v>1425</v>
      </c>
      <c r="N568">
        <v>1013</v>
      </c>
      <c r="O568" t="s">
        <v>18</v>
      </c>
      <c r="P568" t="s">
        <v>18</v>
      </c>
      <c r="Q568">
        <v>1</v>
      </c>
      <c r="X568">
        <v>1.02</v>
      </c>
      <c r="Y568">
        <v>86</v>
      </c>
      <c r="Z568">
        <v>0</v>
      </c>
      <c r="AA568">
        <v>0</v>
      </c>
      <c r="AB568">
        <v>0</v>
      </c>
      <c r="AC568">
        <v>0</v>
      </c>
      <c r="AD568">
        <v>1</v>
      </c>
      <c r="AE568">
        <v>0</v>
      </c>
      <c r="AF568" t="s">
        <v>3</v>
      </c>
      <c r="AG568">
        <v>1.02</v>
      </c>
      <c r="AH568">
        <v>2</v>
      </c>
      <c r="AI568">
        <v>68992724</v>
      </c>
      <c r="AJ568">
        <v>596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ROW(Source!A231)</f>
        <v>231</v>
      </c>
      <c r="B569">
        <v>68992735</v>
      </c>
      <c r="C569">
        <v>68992718</v>
      </c>
      <c r="D569">
        <v>64255517</v>
      </c>
      <c r="E569">
        <v>1</v>
      </c>
      <c r="F569">
        <v>1</v>
      </c>
      <c r="G569">
        <v>1</v>
      </c>
      <c r="H569">
        <v>3</v>
      </c>
      <c r="I569" t="s">
        <v>1219</v>
      </c>
      <c r="J569" t="s">
        <v>1220</v>
      </c>
      <c r="K569" t="s">
        <v>1221</v>
      </c>
      <c r="L569">
        <v>1348</v>
      </c>
      <c r="N569">
        <v>1009</v>
      </c>
      <c r="O569" t="s">
        <v>71</v>
      </c>
      <c r="P569" t="s">
        <v>71</v>
      </c>
      <c r="Q569">
        <v>1000</v>
      </c>
      <c r="X569">
        <v>1.6000000000000001E-4</v>
      </c>
      <c r="Y569">
        <v>29800</v>
      </c>
      <c r="Z569">
        <v>0</v>
      </c>
      <c r="AA569">
        <v>0</v>
      </c>
      <c r="AB569">
        <v>0</v>
      </c>
      <c r="AC569">
        <v>0</v>
      </c>
      <c r="AD569">
        <v>1</v>
      </c>
      <c r="AE569">
        <v>0</v>
      </c>
      <c r="AF569" t="s">
        <v>3</v>
      </c>
      <c r="AG569">
        <v>1.6000000000000001E-4</v>
      </c>
      <c r="AH569">
        <v>2</v>
      </c>
      <c r="AI569">
        <v>68992725</v>
      </c>
      <c r="AJ569">
        <v>597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ROW(Source!A231)</f>
        <v>231</v>
      </c>
      <c r="B570">
        <v>68992736</v>
      </c>
      <c r="C570">
        <v>68992718</v>
      </c>
      <c r="D570">
        <v>64255521</v>
      </c>
      <c r="E570">
        <v>1</v>
      </c>
      <c r="F570">
        <v>1</v>
      </c>
      <c r="G570">
        <v>1</v>
      </c>
      <c r="H570">
        <v>3</v>
      </c>
      <c r="I570" t="s">
        <v>1213</v>
      </c>
      <c r="J570" t="s">
        <v>1214</v>
      </c>
      <c r="K570" t="s">
        <v>1215</v>
      </c>
      <c r="L570">
        <v>1348</v>
      </c>
      <c r="N570">
        <v>1009</v>
      </c>
      <c r="O570" t="s">
        <v>71</v>
      </c>
      <c r="P570" t="s">
        <v>71</v>
      </c>
      <c r="Q570">
        <v>1000</v>
      </c>
      <c r="X570">
        <v>2.9999999999999997E-4</v>
      </c>
      <c r="Y570">
        <v>12430</v>
      </c>
      <c r="Z570">
        <v>0</v>
      </c>
      <c r="AA570">
        <v>0</v>
      </c>
      <c r="AB570">
        <v>0</v>
      </c>
      <c r="AC570">
        <v>0</v>
      </c>
      <c r="AD570">
        <v>1</v>
      </c>
      <c r="AE570">
        <v>0</v>
      </c>
      <c r="AF570" t="s">
        <v>3</v>
      </c>
      <c r="AG570">
        <v>2.9999999999999997E-4</v>
      </c>
      <c r="AH570">
        <v>2</v>
      </c>
      <c r="AI570">
        <v>68992726</v>
      </c>
      <c r="AJ570">
        <v>598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 x14ac:dyDescent="0.2">
      <c r="A571">
        <f>ROW(Source!A231)</f>
        <v>231</v>
      </c>
      <c r="B571">
        <v>68992737</v>
      </c>
      <c r="C571">
        <v>68992718</v>
      </c>
      <c r="D571">
        <v>64245580</v>
      </c>
      <c r="E571">
        <v>56</v>
      </c>
      <c r="F571">
        <v>1</v>
      </c>
      <c r="G571">
        <v>1</v>
      </c>
      <c r="H571">
        <v>3</v>
      </c>
      <c r="I571" t="s">
        <v>837</v>
      </c>
      <c r="J571" t="s">
        <v>3</v>
      </c>
      <c r="K571" t="s">
        <v>838</v>
      </c>
      <c r="L571">
        <v>1374</v>
      </c>
      <c r="N571">
        <v>1013</v>
      </c>
      <c r="O571" t="s">
        <v>839</v>
      </c>
      <c r="P571" t="s">
        <v>839</v>
      </c>
      <c r="Q571">
        <v>1</v>
      </c>
      <c r="X571">
        <v>6.86</v>
      </c>
      <c r="Y571">
        <v>1</v>
      </c>
      <c r="Z571">
        <v>0</v>
      </c>
      <c r="AA571">
        <v>0</v>
      </c>
      <c r="AB571">
        <v>0</v>
      </c>
      <c r="AC571">
        <v>0</v>
      </c>
      <c r="AD571">
        <v>1</v>
      </c>
      <c r="AE571">
        <v>0</v>
      </c>
      <c r="AF571" t="s">
        <v>3</v>
      </c>
      <c r="AG571">
        <v>6.86</v>
      </c>
      <c r="AH571">
        <v>2</v>
      </c>
      <c r="AI571">
        <v>68992728</v>
      </c>
      <c r="AJ571">
        <v>600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 x14ac:dyDescent="0.2">
      <c r="A572">
        <f>ROW(Source!A233)</f>
        <v>233</v>
      </c>
      <c r="B572">
        <v>68992756</v>
      </c>
      <c r="C572">
        <v>68992753</v>
      </c>
      <c r="D572">
        <v>37072767</v>
      </c>
      <c r="E572">
        <v>56</v>
      </c>
      <c r="F572">
        <v>1</v>
      </c>
      <c r="G572">
        <v>1</v>
      </c>
      <c r="H572">
        <v>1</v>
      </c>
      <c r="I572" t="s">
        <v>874</v>
      </c>
      <c r="J572" t="s">
        <v>3</v>
      </c>
      <c r="K572" t="s">
        <v>875</v>
      </c>
      <c r="L572">
        <v>1191</v>
      </c>
      <c r="N572">
        <v>1013</v>
      </c>
      <c r="O572" t="s">
        <v>818</v>
      </c>
      <c r="P572" t="s">
        <v>818</v>
      </c>
      <c r="Q572">
        <v>1</v>
      </c>
      <c r="X572">
        <v>87.63</v>
      </c>
      <c r="Y572">
        <v>0</v>
      </c>
      <c r="Z572">
        <v>0</v>
      </c>
      <c r="AA572">
        <v>0</v>
      </c>
      <c r="AB572">
        <v>9.18</v>
      </c>
      <c r="AC572">
        <v>0</v>
      </c>
      <c r="AD572">
        <v>1</v>
      </c>
      <c r="AE572">
        <v>1</v>
      </c>
      <c r="AF572" t="s">
        <v>38</v>
      </c>
      <c r="AG572">
        <v>100.77449999999999</v>
      </c>
      <c r="AH572">
        <v>2</v>
      </c>
      <c r="AI572">
        <v>68992754</v>
      </c>
      <c r="AJ572">
        <v>601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 x14ac:dyDescent="0.2">
      <c r="A573">
        <f>ROW(Source!A233)</f>
        <v>233</v>
      </c>
      <c r="B573">
        <v>68992757</v>
      </c>
      <c r="C573">
        <v>68992753</v>
      </c>
      <c r="D573">
        <v>64402923</v>
      </c>
      <c r="E573">
        <v>1</v>
      </c>
      <c r="F573">
        <v>1</v>
      </c>
      <c r="G573">
        <v>1</v>
      </c>
      <c r="H573">
        <v>2</v>
      </c>
      <c r="I573" t="s">
        <v>886</v>
      </c>
      <c r="J573" t="s">
        <v>887</v>
      </c>
      <c r="K573" t="s">
        <v>888</v>
      </c>
      <c r="L573">
        <v>1368</v>
      </c>
      <c r="N573">
        <v>1011</v>
      </c>
      <c r="O573" t="s">
        <v>824</v>
      </c>
      <c r="P573" t="s">
        <v>824</v>
      </c>
      <c r="Q573">
        <v>1</v>
      </c>
      <c r="X573">
        <v>28.42</v>
      </c>
      <c r="Y573">
        <v>0</v>
      </c>
      <c r="Z573">
        <v>48.81</v>
      </c>
      <c r="AA573">
        <v>0</v>
      </c>
      <c r="AB573">
        <v>0</v>
      </c>
      <c r="AC573">
        <v>0</v>
      </c>
      <c r="AD573">
        <v>1</v>
      </c>
      <c r="AE573">
        <v>0</v>
      </c>
      <c r="AF573" t="s">
        <v>38</v>
      </c>
      <c r="AG573">
        <v>32.683</v>
      </c>
      <c r="AH573">
        <v>2</v>
      </c>
      <c r="AI573">
        <v>68992755</v>
      </c>
      <c r="AJ573">
        <v>602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Смета 12 гр. по ФЕР</vt:lpstr>
      <vt:lpstr>Дефектная ведомость</vt:lpstr>
      <vt:lpstr>Source</vt:lpstr>
      <vt:lpstr>SourceObSm</vt:lpstr>
      <vt:lpstr>SmtRes</vt:lpstr>
      <vt:lpstr>EtalonRes</vt:lpstr>
      <vt:lpstr>'Дефектная ведомость'!Заголовки_для_печати</vt:lpstr>
      <vt:lpstr>'Смета 12 гр. по ФЕР'!Заголовки_для_печати</vt:lpstr>
      <vt:lpstr>'Дефектная ведомость'!Область_печати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Федотова Евгения Владимировна</dc:creator>
  <cp:lastModifiedBy>Федотова Евгения Владимировна</cp:lastModifiedBy>
  <dcterms:created xsi:type="dcterms:W3CDTF">2021-03-16T13:51:37Z</dcterms:created>
  <dcterms:modified xsi:type="dcterms:W3CDTF">2021-03-23T05:36:12Z</dcterms:modified>
</cp:coreProperties>
</file>