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troySoft\"/>
    </mc:Choice>
  </mc:AlternateContent>
  <bookViews>
    <workbookView xWindow="0" yWindow="0" windowWidth="24000" windowHeight="9600"/>
  </bookViews>
  <sheets>
    <sheet name="Смета базисный метод(11гр)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базисный метод(11гр)'!$21:$25</definedName>
    <definedName name="_xlnm.Print_Area" localSheetId="0">'Смета базисный метод(11гр)'!$A$1:$K$106</definedName>
  </definedNames>
  <calcPr calcId="162913"/>
</workbook>
</file>

<file path=xl/calcChain.xml><?xml version="1.0" encoding="utf-8"?>
<calcChain xmlns="http://schemas.openxmlformats.org/spreadsheetml/2006/main">
  <c r="D104" i="5" l="1"/>
  <c r="C104" i="5"/>
  <c r="D102" i="5"/>
  <c r="C102" i="5"/>
  <c r="G99" i="5"/>
  <c r="A99" i="5"/>
  <c r="G98" i="5"/>
  <c r="A98" i="5"/>
  <c r="G97" i="5"/>
  <c r="A97" i="5"/>
  <c r="G96" i="5"/>
  <c r="A96" i="5"/>
  <c r="G95" i="5"/>
  <c r="A95" i="5"/>
  <c r="G94" i="5"/>
  <c r="A94" i="5"/>
  <c r="G93" i="5"/>
  <c r="A93" i="5"/>
  <c r="G92" i="5"/>
  <c r="A92" i="5"/>
  <c r="H91" i="5"/>
  <c r="A91" i="5"/>
  <c r="I90" i="5"/>
  <c r="A90" i="5"/>
  <c r="I89" i="5"/>
  <c r="A89" i="5"/>
  <c r="G88" i="5"/>
  <c r="A88" i="5"/>
  <c r="G87" i="5"/>
  <c r="A87" i="5"/>
  <c r="A84" i="5"/>
  <c r="G82" i="5"/>
  <c r="C81" i="5"/>
  <c r="Z78" i="5"/>
  <c r="K79" i="5"/>
  <c r="Y78" i="5"/>
  <c r="K78" i="5"/>
  <c r="X78" i="5"/>
  <c r="I79" i="5"/>
  <c r="W78" i="5"/>
  <c r="I78" i="5"/>
  <c r="V78" i="5"/>
  <c r="H78" i="5"/>
  <c r="T78" i="5"/>
  <c r="G78" i="5"/>
  <c r="J79" i="5"/>
  <c r="J78" i="5"/>
  <c r="F79" i="5"/>
  <c r="F78" i="5"/>
  <c r="E79" i="5"/>
  <c r="E78" i="5"/>
  <c r="D78" i="5"/>
  <c r="C79" i="5"/>
  <c r="C78" i="5"/>
  <c r="A78" i="5"/>
  <c r="G77" i="5"/>
  <c r="C76" i="5"/>
  <c r="C74" i="5"/>
  <c r="Z72" i="5"/>
  <c r="K73" i="5"/>
  <c r="Y72" i="5"/>
  <c r="K72" i="5"/>
  <c r="X72" i="5"/>
  <c r="I73" i="5"/>
  <c r="W72" i="5"/>
  <c r="I72" i="5"/>
  <c r="V72" i="5"/>
  <c r="H72" i="5"/>
  <c r="T72" i="5"/>
  <c r="G72" i="5"/>
  <c r="J73" i="5"/>
  <c r="J72" i="5"/>
  <c r="F73" i="5"/>
  <c r="F72" i="5"/>
  <c r="E73" i="5"/>
  <c r="E72" i="5"/>
  <c r="D72" i="5"/>
  <c r="C73" i="5"/>
  <c r="C72" i="5"/>
  <c r="A72" i="5"/>
  <c r="G71" i="5"/>
  <c r="C70" i="5"/>
  <c r="Z67" i="5"/>
  <c r="K68" i="5"/>
  <c r="Y67" i="5"/>
  <c r="K67" i="5"/>
  <c r="X67" i="5"/>
  <c r="I68" i="5"/>
  <c r="W67" i="5"/>
  <c r="I67" i="5"/>
  <c r="V67" i="5"/>
  <c r="H67" i="5"/>
  <c r="T67" i="5"/>
  <c r="G67" i="5"/>
  <c r="J68" i="5"/>
  <c r="J67" i="5"/>
  <c r="F68" i="5"/>
  <c r="F67" i="5"/>
  <c r="E68" i="5"/>
  <c r="E67" i="5"/>
  <c r="D67" i="5"/>
  <c r="C68" i="5"/>
  <c r="C67" i="5"/>
  <c r="A67" i="5"/>
  <c r="G66" i="5"/>
  <c r="T64" i="5"/>
  <c r="G64" i="5"/>
  <c r="E64" i="5"/>
  <c r="D64" i="5"/>
  <c r="C65" i="5"/>
  <c r="C64" i="5"/>
  <c r="A64" i="5"/>
  <c r="C63" i="5"/>
  <c r="C61" i="5"/>
  <c r="Z59" i="5"/>
  <c r="K60" i="5"/>
  <c r="Y59" i="5"/>
  <c r="K59" i="5"/>
  <c r="X59" i="5"/>
  <c r="I60" i="5"/>
  <c r="W59" i="5"/>
  <c r="I59" i="5"/>
  <c r="V59" i="5"/>
  <c r="H59" i="5"/>
  <c r="T59" i="5"/>
  <c r="G59" i="5"/>
  <c r="J60" i="5"/>
  <c r="J59" i="5"/>
  <c r="F60" i="5"/>
  <c r="F59" i="5"/>
  <c r="E60" i="5"/>
  <c r="E59" i="5"/>
  <c r="D59" i="5"/>
  <c r="C60" i="5"/>
  <c r="C59" i="5"/>
  <c r="A59" i="5"/>
  <c r="G58" i="5"/>
  <c r="T56" i="5"/>
  <c r="G56" i="5"/>
  <c r="E56" i="5"/>
  <c r="D56" i="5"/>
  <c r="C57" i="5"/>
  <c r="C56" i="5"/>
  <c r="A56" i="5"/>
  <c r="C55" i="5"/>
  <c r="Z52" i="5"/>
  <c r="K53" i="5"/>
  <c r="Y52" i="5"/>
  <c r="K52" i="5"/>
  <c r="X52" i="5"/>
  <c r="I53" i="5"/>
  <c r="W52" i="5"/>
  <c r="I52" i="5"/>
  <c r="V52" i="5"/>
  <c r="H52" i="5"/>
  <c r="T52" i="5"/>
  <c r="G52" i="5"/>
  <c r="J53" i="5"/>
  <c r="J52" i="5"/>
  <c r="F53" i="5"/>
  <c r="F52" i="5"/>
  <c r="E53" i="5"/>
  <c r="E52" i="5"/>
  <c r="D52" i="5"/>
  <c r="C53" i="5"/>
  <c r="C52" i="5"/>
  <c r="A52" i="5"/>
  <c r="G51" i="5"/>
  <c r="C50" i="5"/>
  <c r="C48" i="5"/>
  <c r="Z46" i="5"/>
  <c r="K47" i="5"/>
  <c r="Y46" i="5"/>
  <c r="K46" i="5"/>
  <c r="X46" i="5"/>
  <c r="I47" i="5"/>
  <c r="W46" i="5"/>
  <c r="I46" i="5"/>
  <c r="V46" i="5"/>
  <c r="H46" i="5"/>
  <c r="T46" i="5"/>
  <c r="G46" i="5"/>
  <c r="J47" i="5"/>
  <c r="J46" i="5"/>
  <c r="F47" i="5"/>
  <c r="F46" i="5"/>
  <c r="E47" i="5"/>
  <c r="E46" i="5"/>
  <c r="D46" i="5"/>
  <c r="C47" i="5"/>
  <c r="C46" i="5"/>
  <c r="A46" i="5"/>
  <c r="G45" i="5"/>
  <c r="C44" i="5"/>
  <c r="Z41" i="5"/>
  <c r="K42" i="5"/>
  <c r="Y41" i="5"/>
  <c r="K41" i="5"/>
  <c r="X41" i="5"/>
  <c r="I42" i="5"/>
  <c r="W41" i="5"/>
  <c r="I41" i="5"/>
  <c r="V41" i="5"/>
  <c r="H41" i="5"/>
  <c r="T41" i="5"/>
  <c r="G41" i="5"/>
  <c r="J42" i="5"/>
  <c r="J41" i="5"/>
  <c r="F42" i="5"/>
  <c r="F41" i="5"/>
  <c r="E42" i="5"/>
  <c r="E41" i="5"/>
  <c r="D41" i="5"/>
  <c r="C42" i="5"/>
  <c r="C41" i="5"/>
  <c r="A41" i="5"/>
  <c r="G40" i="5"/>
  <c r="C39" i="5"/>
  <c r="C37" i="5"/>
  <c r="Z35" i="5"/>
  <c r="K36" i="5"/>
  <c r="Y35" i="5"/>
  <c r="K84" i="5" s="1"/>
  <c r="K35" i="5"/>
  <c r="X35" i="5"/>
  <c r="I36" i="5"/>
  <c r="W35" i="5"/>
  <c r="I35" i="5"/>
  <c r="V35" i="5"/>
  <c r="H35" i="5"/>
  <c r="T35" i="5"/>
  <c r="G84" i="5" s="1"/>
  <c r="G35" i="5"/>
  <c r="J36" i="5"/>
  <c r="J35" i="5"/>
  <c r="F36" i="5"/>
  <c r="F35" i="5"/>
  <c r="E36" i="5"/>
  <c r="E35" i="5"/>
  <c r="D35" i="5"/>
  <c r="C36" i="5"/>
  <c r="C35" i="5"/>
  <c r="A35" i="5"/>
  <c r="G34" i="5"/>
  <c r="C33" i="5"/>
  <c r="C32" i="5"/>
  <c r="C30" i="5"/>
  <c r="Z28" i="5"/>
  <c r="K85" i="5" s="1"/>
  <c r="K29" i="5"/>
  <c r="Y28" i="5"/>
  <c r="K28" i="5"/>
  <c r="X28" i="5"/>
  <c r="I85" i="5" s="1"/>
  <c r="I29" i="5"/>
  <c r="W28" i="5"/>
  <c r="I84" i="5" s="1"/>
  <c r="I28" i="5"/>
  <c r="V28" i="5"/>
  <c r="H84" i="5" s="1"/>
  <c r="H28" i="5"/>
  <c r="T28" i="5"/>
  <c r="G28" i="5"/>
  <c r="J29" i="5"/>
  <c r="J28" i="5"/>
  <c r="F29" i="5"/>
  <c r="F28" i="5"/>
  <c r="E29" i="5"/>
  <c r="E28" i="5"/>
  <c r="D28" i="5"/>
  <c r="C29" i="5"/>
  <c r="C28" i="5"/>
  <c r="A28" i="5"/>
  <c r="A27" i="5"/>
  <c r="J19" i="5"/>
  <c r="J18" i="5"/>
  <c r="J17" i="5"/>
  <c r="J16" i="5"/>
  <c r="J15" i="5"/>
  <c r="J14" i="5"/>
  <c r="A12" i="5"/>
  <c r="A10" i="5"/>
  <c r="A8" i="5"/>
  <c r="A7" i="5"/>
  <c r="H4" i="5"/>
  <c r="J2" i="5"/>
  <c r="B3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1" i="3"/>
  <c r="CY1" i="3"/>
  <c r="CZ1" i="3"/>
  <c r="DB1" i="3" s="1"/>
  <c r="DA1" i="3"/>
  <c r="DC1" i="3"/>
  <c r="A2" i="3"/>
  <c r="CY2" i="3"/>
  <c r="CZ2" i="3"/>
  <c r="DA2" i="3"/>
  <c r="DB2" i="3"/>
  <c r="DC2" i="3"/>
  <c r="A3" i="3"/>
  <c r="CX3" i="3"/>
  <c r="CY3" i="3"/>
  <c r="CZ3" i="3"/>
  <c r="DA3" i="3"/>
  <c r="DB3" i="3"/>
  <c r="DC3" i="3"/>
  <c r="A4" i="3"/>
  <c r="CX4" i="3"/>
  <c r="CY4" i="3"/>
  <c r="CZ4" i="3"/>
  <c r="DB4" i="3" s="1"/>
  <c r="DA4" i="3"/>
  <c r="DC4" i="3"/>
  <c r="A5" i="3"/>
  <c r="CY5" i="3"/>
  <c r="CZ5" i="3"/>
  <c r="DB5" i="3" s="1"/>
  <c r="DA5" i="3"/>
  <c r="DC5" i="3"/>
  <c r="A6" i="3"/>
  <c r="CY6" i="3"/>
  <c r="CZ6" i="3"/>
  <c r="DA6" i="3"/>
  <c r="DB6" i="3"/>
  <c r="DC6" i="3"/>
  <c r="A7" i="3"/>
  <c r="CX7" i="3"/>
  <c r="CY7" i="3"/>
  <c r="CZ7" i="3"/>
  <c r="DA7" i="3"/>
  <c r="DB7" i="3"/>
  <c r="DC7" i="3"/>
  <c r="A8" i="3"/>
  <c r="CX8" i="3"/>
  <c r="CY8" i="3"/>
  <c r="CZ8" i="3"/>
  <c r="DB8" i="3" s="1"/>
  <c r="DA8" i="3"/>
  <c r="DC8" i="3"/>
  <c r="A9" i="3"/>
  <c r="CX9" i="3"/>
  <c r="CY9" i="3"/>
  <c r="CZ9" i="3"/>
  <c r="DB9" i="3" s="1"/>
  <c r="DA9" i="3"/>
  <c r="DC9" i="3"/>
  <c r="A10" i="3"/>
  <c r="CX10" i="3"/>
  <c r="CY10" i="3"/>
  <c r="CZ10" i="3"/>
  <c r="DA10" i="3"/>
  <c r="DB10" i="3"/>
  <c r="DC10" i="3"/>
  <c r="A11" i="3"/>
  <c r="CX11" i="3"/>
  <c r="CY11" i="3"/>
  <c r="CZ11" i="3"/>
  <c r="DA11" i="3"/>
  <c r="DB11" i="3"/>
  <c r="DC11" i="3"/>
  <c r="A12" i="3"/>
  <c r="CX12" i="3"/>
  <c r="CY12" i="3"/>
  <c r="CZ12" i="3"/>
  <c r="DB12" i="3" s="1"/>
  <c r="DA12" i="3"/>
  <c r="DC12" i="3"/>
  <c r="A13" i="3"/>
  <c r="CY13" i="3"/>
  <c r="CZ13" i="3"/>
  <c r="DB13" i="3" s="1"/>
  <c r="DA13" i="3"/>
  <c r="DC13" i="3"/>
  <c r="A14" i="3"/>
  <c r="CY14" i="3"/>
  <c r="CZ14" i="3"/>
  <c r="DA14" i="3"/>
  <c r="DB14" i="3"/>
  <c r="DC14" i="3"/>
  <c r="A15" i="3"/>
  <c r="CY15" i="3"/>
  <c r="CZ15" i="3"/>
  <c r="DA15" i="3"/>
  <c r="DB15" i="3"/>
  <c r="DC15" i="3"/>
  <c r="A16" i="3"/>
  <c r="CY16" i="3"/>
  <c r="CZ16" i="3"/>
  <c r="DB16" i="3" s="1"/>
  <c r="DA16" i="3"/>
  <c r="DC16" i="3"/>
  <c r="A17" i="3"/>
  <c r="CY17" i="3"/>
  <c r="CZ17" i="3"/>
  <c r="DB17" i="3" s="1"/>
  <c r="DA17" i="3"/>
  <c r="DC17" i="3"/>
  <c r="A18" i="3"/>
  <c r="CY18" i="3"/>
  <c r="CZ18" i="3"/>
  <c r="DA18" i="3"/>
  <c r="DB18" i="3"/>
  <c r="DC18" i="3"/>
  <c r="A19" i="3"/>
  <c r="CY19" i="3"/>
  <c r="CZ19" i="3"/>
  <c r="DA19" i="3"/>
  <c r="DB19" i="3"/>
  <c r="DC19" i="3"/>
  <c r="A20" i="3"/>
  <c r="CY20" i="3"/>
  <c r="CZ20" i="3"/>
  <c r="DB20" i="3" s="1"/>
  <c r="DA20" i="3"/>
  <c r="DC20" i="3"/>
  <c r="A21" i="3"/>
  <c r="CY21" i="3"/>
  <c r="CZ21" i="3"/>
  <c r="DB21" i="3" s="1"/>
  <c r="DA21" i="3"/>
  <c r="DC21" i="3"/>
  <c r="A22" i="3"/>
  <c r="CY22" i="3"/>
  <c r="CZ22" i="3"/>
  <c r="DA22" i="3"/>
  <c r="DB22" i="3"/>
  <c r="DC22" i="3"/>
  <c r="A23" i="3"/>
  <c r="CY23" i="3"/>
  <c r="CZ23" i="3"/>
  <c r="DA23" i="3"/>
  <c r="DB23" i="3"/>
  <c r="DC23" i="3"/>
  <c r="A24" i="3"/>
  <c r="CY24" i="3"/>
  <c r="CZ24" i="3"/>
  <c r="DB24" i="3" s="1"/>
  <c r="DA24" i="3"/>
  <c r="DC24" i="3"/>
  <c r="A25" i="3"/>
  <c r="CY25" i="3"/>
  <c r="CZ25" i="3"/>
  <c r="DB25" i="3" s="1"/>
  <c r="DA25" i="3"/>
  <c r="DC25" i="3"/>
  <c r="A26" i="3"/>
  <c r="CX26" i="3"/>
  <c r="CY26" i="3"/>
  <c r="CZ26" i="3"/>
  <c r="DA26" i="3"/>
  <c r="DB26" i="3"/>
  <c r="DC26" i="3"/>
  <c r="A27" i="3"/>
  <c r="CX27" i="3"/>
  <c r="CY27" i="3"/>
  <c r="CZ27" i="3"/>
  <c r="DA27" i="3"/>
  <c r="DB27" i="3"/>
  <c r="DC27" i="3"/>
  <c r="A28" i="3"/>
  <c r="CY28" i="3"/>
  <c r="CZ28" i="3"/>
  <c r="DB28" i="3" s="1"/>
  <c r="DA28" i="3"/>
  <c r="DC28" i="3"/>
  <c r="A29" i="3"/>
  <c r="CY29" i="3"/>
  <c r="CZ29" i="3"/>
  <c r="DB29" i="3" s="1"/>
  <c r="DA29" i="3"/>
  <c r="DC29" i="3"/>
  <c r="A30" i="3"/>
  <c r="CX30" i="3"/>
  <c r="CY30" i="3"/>
  <c r="CZ30" i="3"/>
  <c r="DA30" i="3"/>
  <c r="DB30" i="3"/>
  <c r="DC30" i="3"/>
  <c r="A31" i="3"/>
  <c r="CX31" i="3"/>
  <c r="CY31" i="3"/>
  <c r="CZ31" i="3"/>
  <c r="DA31" i="3"/>
  <c r="DB31" i="3"/>
  <c r="DC31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B26" i="1"/>
  <c r="E26" i="1"/>
  <c r="Z26" i="1"/>
  <c r="AA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CX1" i="3" s="1"/>
  <c r="U28" i="1"/>
  <c r="AC28" i="1"/>
  <c r="AE28" i="1"/>
  <c r="AD28" i="1" s="1"/>
  <c r="AB28" i="1" s="1"/>
  <c r="AF28" i="1"/>
  <c r="CT28" i="1" s="1"/>
  <c r="AG28" i="1"/>
  <c r="AH28" i="1"/>
  <c r="AI28" i="1"/>
  <c r="AJ28" i="1"/>
  <c r="CX28" i="1" s="1"/>
  <c r="CQ28" i="1"/>
  <c r="CR28" i="1"/>
  <c r="Q28" i="1" s="1"/>
  <c r="CS28" i="1"/>
  <c r="R28" i="1" s="1"/>
  <c r="CU28" i="1"/>
  <c r="CV28" i="1"/>
  <c r="CW28" i="1"/>
  <c r="V28" i="1" s="1"/>
  <c r="FR28" i="1"/>
  <c r="GL28" i="1"/>
  <c r="GO28" i="1"/>
  <c r="GP28" i="1"/>
  <c r="GV28" i="1"/>
  <c r="GX28" i="1"/>
  <c r="HC28" i="1"/>
  <c r="C29" i="1"/>
  <c r="D29" i="1"/>
  <c r="I29" i="1"/>
  <c r="CX2" i="3" s="1"/>
  <c r="V29" i="1"/>
  <c r="AC29" i="1"/>
  <c r="CQ29" i="1" s="1"/>
  <c r="AE29" i="1"/>
  <c r="AD29" i="1" s="1"/>
  <c r="CR29" i="1" s="1"/>
  <c r="Q29" i="1" s="1"/>
  <c r="AF29" i="1"/>
  <c r="AG29" i="1"/>
  <c r="CU29" i="1" s="1"/>
  <c r="AH29" i="1"/>
  <c r="AI29" i="1"/>
  <c r="AJ29" i="1"/>
  <c r="CX29" i="1" s="1"/>
  <c r="W29" i="1" s="1"/>
  <c r="CS29" i="1"/>
  <c r="CT29" i="1"/>
  <c r="S29" i="1" s="1"/>
  <c r="CV29" i="1"/>
  <c r="CW29" i="1"/>
  <c r="FR29" i="1"/>
  <c r="GL29" i="1"/>
  <c r="GO29" i="1"/>
  <c r="GP29" i="1"/>
  <c r="GV29" i="1"/>
  <c r="HC29" i="1"/>
  <c r="C30" i="1"/>
  <c r="D30" i="1"/>
  <c r="P30" i="1"/>
  <c r="AC30" i="1"/>
  <c r="AE30" i="1"/>
  <c r="CS30" i="1" s="1"/>
  <c r="R30" i="1" s="1"/>
  <c r="AF30" i="1"/>
  <c r="AG30" i="1"/>
  <c r="AH30" i="1"/>
  <c r="AI30" i="1"/>
  <c r="CW30" i="1" s="1"/>
  <c r="V30" i="1" s="1"/>
  <c r="AJ30" i="1"/>
  <c r="CQ30" i="1"/>
  <c r="CT30" i="1"/>
  <c r="S30" i="1" s="1"/>
  <c r="CZ30" i="1" s="1"/>
  <c r="Y30" i="1" s="1"/>
  <c r="CU30" i="1"/>
  <c r="T30" i="1" s="1"/>
  <c r="CV30" i="1"/>
  <c r="U30" i="1" s="1"/>
  <c r="CX30" i="1"/>
  <c r="W30" i="1" s="1"/>
  <c r="CY30" i="1"/>
  <c r="X30" i="1" s="1"/>
  <c r="FR30" i="1"/>
  <c r="GL30" i="1"/>
  <c r="GN30" i="1"/>
  <c r="GO30" i="1"/>
  <c r="GV30" i="1"/>
  <c r="HC30" i="1" s="1"/>
  <c r="GX30" i="1"/>
  <c r="C31" i="1"/>
  <c r="D31" i="1"/>
  <c r="I31" i="1"/>
  <c r="Q31" i="1"/>
  <c r="R31" i="1"/>
  <c r="AC31" i="1"/>
  <c r="AE31" i="1"/>
  <c r="AD31" i="1" s="1"/>
  <c r="AF31" i="1"/>
  <c r="CT31" i="1" s="1"/>
  <c r="S31" i="1" s="1"/>
  <c r="CY31" i="1" s="1"/>
  <c r="X31" i="1" s="1"/>
  <c r="AG31" i="1"/>
  <c r="AH31" i="1"/>
  <c r="AI31" i="1"/>
  <c r="AJ31" i="1"/>
  <c r="CX31" i="1" s="1"/>
  <c r="W31" i="1" s="1"/>
  <c r="CQ31" i="1"/>
  <c r="P31" i="1" s="1"/>
  <c r="CR31" i="1"/>
  <c r="CS31" i="1"/>
  <c r="CU31" i="1"/>
  <c r="T31" i="1" s="1"/>
  <c r="CV31" i="1"/>
  <c r="U31" i="1" s="1"/>
  <c r="CW31" i="1"/>
  <c r="V31" i="1" s="1"/>
  <c r="FR31" i="1"/>
  <c r="GL31" i="1"/>
  <c r="GN31" i="1"/>
  <c r="GO31" i="1"/>
  <c r="GV31" i="1"/>
  <c r="GX31" i="1"/>
  <c r="HC31" i="1"/>
  <c r="C32" i="1"/>
  <c r="D32" i="1"/>
  <c r="T32" i="1"/>
  <c r="AC32" i="1"/>
  <c r="AD32" i="1"/>
  <c r="CR32" i="1" s="1"/>
  <c r="Q32" i="1" s="1"/>
  <c r="AE32" i="1"/>
  <c r="AF32" i="1"/>
  <c r="AG32" i="1"/>
  <c r="AH32" i="1"/>
  <c r="CV32" i="1" s="1"/>
  <c r="U32" i="1" s="1"/>
  <c r="AI32" i="1"/>
  <c r="AJ32" i="1"/>
  <c r="CQ32" i="1"/>
  <c r="P32" i="1" s="1"/>
  <c r="CS32" i="1"/>
  <c r="R32" i="1" s="1"/>
  <c r="CT32" i="1"/>
  <c r="S32" i="1" s="1"/>
  <c r="CU32" i="1"/>
  <c r="CW32" i="1"/>
  <c r="V32" i="1" s="1"/>
  <c r="CX32" i="1"/>
  <c r="W32" i="1" s="1"/>
  <c r="FR32" i="1"/>
  <c r="GL32" i="1"/>
  <c r="GN32" i="1"/>
  <c r="GP32" i="1"/>
  <c r="GV32" i="1"/>
  <c r="HC32" i="1" s="1"/>
  <c r="GX32" i="1" s="1"/>
  <c r="I33" i="1"/>
  <c r="U33" i="1"/>
  <c r="V33" i="1"/>
  <c r="W33" i="1"/>
  <c r="AB33" i="1"/>
  <c r="AC33" i="1"/>
  <c r="CQ33" i="1" s="1"/>
  <c r="P33" i="1" s="1"/>
  <c r="AE33" i="1"/>
  <c r="AD33" i="1" s="1"/>
  <c r="AF33" i="1"/>
  <c r="AG33" i="1"/>
  <c r="AH33" i="1"/>
  <c r="AI33" i="1"/>
  <c r="AJ33" i="1"/>
  <c r="CR33" i="1"/>
  <c r="Q33" i="1" s="1"/>
  <c r="CP33" i="1" s="1"/>
  <c r="O33" i="1" s="1"/>
  <c r="CS33" i="1"/>
  <c r="R33" i="1" s="1"/>
  <c r="CT33" i="1"/>
  <c r="S33" i="1" s="1"/>
  <c r="CY33" i="1" s="1"/>
  <c r="X33" i="1" s="1"/>
  <c r="CU33" i="1"/>
  <c r="T33" i="1" s="1"/>
  <c r="CV33" i="1"/>
  <c r="CW33" i="1"/>
  <c r="CX33" i="1"/>
  <c r="FR33" i="1"/>
  <c r="GL33" i="1"/>
  <c r="GN33" i="1"/>
  <c r="GP33" i="1"/>
  <c r="GV33" i="1"/>
  <c r="HC33" i="1" s="1"/>
  <c r="GX33" i="1" s="1"/>
  <c r="C34" i="1"/>
  <c r="D34" i="1"/>
  <c r="I34" i="1"/>
  <c r="AC34" i="1"/>
  <c r="CQ34" i="1" s="1"/>
  <c r="P34" i="1" s="1"/>
  <c r="AE34" i="1"/>
  <c r="AF34" i="1"/>
  <c r="CT34" i="1" s="1"/>
  <c r="S34" i="1" s="1"/>
  <c r="AG34" i="1"/>
  <c r="CU34" i="1" s="1"/>
  <c r="T34" i="1" s="1"/>
  <c r="AH34" i="1"/>
  <c r="AI34" i="1"/>
  <c r="CW34" i="1" s="1"/>
  <c r="V34" i="1" s="1"/>
  <c r="AJ34" i="1"/>
  <c r="CX34" i="1" s="1"/>
  <c r="W34" i="1" s="1"/>
  <c r="CV34" i="1"/>
  <c r="U34" i="1" s="1"/>
  <c r="FR34" i="1"/>
  <c r="GL34" i="1"/>
  <c r="GN34" i="1"/>
  <c r="GP34" i="1"/>
  <c r="GV34" i="1"/>
  <c r="GX34" i="1"/>
  <c r="HC34" i="1"/>
  <c r="AC35" i="1"/>
  <c r="AD35" i="1"/>
  <c r="AE35" i="1"/>
  <c r="CS35" i="1" s="1"/>
  <c r="AF35" i="1"/>
  <c r="CT35" i="1" s="1"/>
  <c r="AG35" i="1"/>
  <c r="AH35" i="1"/>
  <c r="CV35" i="1" s="1"/>
  <c r="AI35" i="1"/>
  <c r="CW35" i="1" s="1"/>
  <c r="AJ35" i="1"/>
  <c r="CX35" i="1" s="1"/>
  <c r="CQ35" i="1"/>
  <c r="CU35" i="1"/>
  <c r="FR35" i="1"/>
  <c r="GL35" i="1"/>
  <c r="GN35" i="1"/>
  <c r="GP35" i="1"/>
  <c r="GV35" i="1"/>
  <c r="HC35" i="1" s="1"/>
  <c r="C36" i="1"/>
  <c r="D36" i="1"/>
  <c r="V36" i="1"/>
  <c r="AC36" i="1"/>
  <c r="CQ36" i="1" s="1"/>
  <c r="P36" i="1" s="1"/>
  <c r="AD36" i="1"/>
  <c r="CR36" i="1" s="1"/>
  <c r="Q36" i="1" s="1"/>
  <c r="AE36" i="1"/>
  <c r="AF36" i="1"/>
  <c r="CT36" i="1" s="1"/>
  <c r="S36" i="1" s="1"/>
  <c r="AG36" i="1"/>
  <c r="CU36" i="1" s="1"/>
  <c r="T36" i="1" s="1"/>
  <c r="AH36" i="1"/>
  <c r="CV36" i="1" s="1"/>
  <c r="U36" i="1" s="1"/>
  <c r="AI36" i="1"/>
  <c r="AJ36" i="1"/>
  <c r="CX36" i="1" s="1"/>
  <c r="W36" i="1" s="1"/>
  <c r="CS36" i="1"/>
  <c r="R36" i="1" s="1"/>
  <c r="CW36" i="1"/>
  <c r="FR36" i="1"/>
  <c r="GL36" i="1"/>
  <c r="GN36" i="1"/>
  <c r="GO36" i="1"/>
  <c r="GV36" i="1"/>
  <c r="HC36" i="1"/>
  <c r="GX36" i="1" s="1"/>
  <c r="C37" i="1"/>
  <c r="D37" i="1"/>
  <c r="I37" i="1"/>
  <c r="AC37" i="1"/>
  <c r="AD37" i="1"/>
  <c r="CR37" i="1" s="1"/>
  <c r="Q37" i="1" s="1"/>
  <c r="AE37" i="1"/>
  <c r="CS37" i="1" s="1"/>
  <c r="R37" i="1" s="1"/>
  <c r="AF37" i="1"/>
  <c r="AG37" i="1"/>
  <c r="CU37" i="1" s="1"/>
  <c r="T37" i="1" s="1"/>
  <c r="AH37" i="1"/>
  <c r="CV37" i="1" s="1"/>
  <c r="U37" i="1" s="1"/>
  <c r="AI37" i="1"/>
  <c r="CW37" i="1" s="1"/>
  <c r="V37" i="1" s="1"/>
  <c r="AJ37" i="1"/>
  <c r="CT37" i="1"/>
  <c r="S37" i="1" s="1"/>
  <c r="CX37" i="1"/>
  <c r="W37" i="1" s="1"/>
  <c r="FR37" i="1"/>
  <c r="GL37" i="1"/>
  <c r="GN37" i="1"/>
  <c r="GO37" i="1"/>
  <c r="GV37" i="1"/>
  <c r="HC37" i="1" s="1"/>
  <c r="GX37" i="1" s="1"/>
  <c r="C38" i="1"/>
  <c r="D38" i="1"/>
  <c r="U38" i="1"/>
  <c r="AC38" i="1"/>
  <c r="CQ38" i="1" s="1"/>
  <c r="P38" i="1" s="1"/>
  <c r="AE38" i="1"/>
  <c r="AF38" i="1"/>
  <c r="CT38" i="1" s="1"/>
  <c r="S38" i="1" s="1"/>
  <c r="AG38" i="1"/>
  <c r="CU38" i="1" s="1"/>
  <c r="T38" i="1" s="1"/>
  <c r="AH38" i="1"/>
  <c r="AI38" i="1"/>
  <c r="CW38" i="1" s="1"/>
  <c r="V38" i="1" s="1"/>
  <c r="AJ38" i="1"/>
  <c r="CX38" i="1" s="1"/>
  <c r="W38" i="1" s="1"/>
  <c r="CV38" i="1"/>
  <c r="FR38" i="1"/>
  <c r="GL38" i="1"/>
  <c r="GN38" i="1"/>
  <c r="GO38" i="1"/>
  <c r="GV38" i="1"/>
  <c r="GX38" i="1"/>
  <c r="HC38" i="1"/>
  <c r="B40" i="1"/>
  <c r="C40" i="1"/>
  <c r="C26" i="1" s="1"/>
  <c r="D40" i="1"/>
  <c r="D26" i="1" s="1"/>
  <c r="F40" i="1"/>
  <c r="F26" i="1" s="1"/>
  <c r="G40" i="1"/>
  <c r="G26" i="1" s="1"/>
  <c r="BX40" i="1"/>
  <c r="BX26" i="1" s="1"/>
  <c r="CK40" i="1"/>
  <c r="BB40" i="1" s="1"/>
  <c r="F53" i="1" s="1"/>
  <c r="CL40" i="1"/>
  <c r="CL26" i="1" s="1"/>
  <c r="CM40" i="1"/>
  <c r="CM26" i="1" s="1"/>
  <c r="F69" i="1"/>
  <c r="F72" i="1"/>
  <c r="F73" i="1"/>
  <c r="F74" i="1" s="1"/>
  <c r="F75" i="1"/>
  <c r="F76" i="1" s="1"/>
  <c r="F77" i="1" s="1"/>
  <c r="B82" i="1"/>
  <c r="B22" i="1" s="1"/>
  <c r="C82" i="1"/>
  <c r="C22" i="1" s="1"/>
  <c r="D82" i="1"/>
  <c r="D22" i="1" s="1"/>
  <c r="F82" i="1"/>
  <c r="F22" i="1" s="1"/>
  <c r="G82" i="1"/>
  <c r="G22" i="1" s="1"/>
  <c r="F111" i="1"/>
  <c r="F112" i="1"/>
  <c r="F113" i="1"/>
  <c r="F114" i="1"/>
  <c r="F115" i="1" s="1"/>
  <c r="F116" i="1" s="1"/>
  <c r="F117" i="1"/>
  <c r="B124" i="1"/>
  <c r="B18" i="1" s="1"/>
  <c r="C124" i="1"/>
  <c r="C18" i="1" s="1"/>
  <c r="D124" i="1"/>
  <c r="D18" i="1" s="1"/>
  <c r="F124" i="1"/>
  <c r="F18" i="1" s="1"/>
  <c r="G124" i="1"/>
  <c r="G18" i="1" s="1"/>
  <c r="F153" i="1"/>
  <c r="F154" i="1" s="1"/>
  <c r="F155" i="1"/>
  <c r="F156" i="1"/>
  <c r="F157" i="1" s="1"/>
  <c r="F158" i="1" s="1"/>
  <c r="F159" i="1"/>
  <c r="B20" i="2"/>
  <c r="B21" i="2"/>
  <c r="B27" i="2"/>
  <c r="B30" i="2"/>
  <c r="B32" i="2"/>
  <c r="B33" i="2"/>
  <c r="B44" i="2"/>
  <c r="B45" i="2"/>
  <c r="B46" i="2"/>
  <c r="B47" i="2"/>
  <c r="B48" i="2"/>
  <c r="B49" i="2"/>
  <c r="B50" i="2"/>
  <c r="B51" i="2"/>
  <c r="B52" i="2"/>
  <c r="B53" i="2"/>
  <c r="B54" i="2"/>
  <c r="B55" i="2"/>
  <c r="B57" i="2"/>
  <c r="B58" i="2"/>
  <c r="P35" i="1" l="1"/>
  <c r="GO33" i="1"/>
  <c r="CZ37" i="1"/>
  <c r="Y37" i="1" s="1"/>
  <c r="CY37" i="1"/>
  <c r="X37" i="1" s="1"/>
  <c r="T35" i="1"/>
  <c r="AB37" i="1"/>
  <c r="CQ37" i="1"/>
  <c r="P37" i="1" s="1"/>
  <c r="CP37" i="1" s="1"/>
  <c r="O37" i="1" s="1"/>
  <c r="GX35" i="1"/>
  <c r="F71" i="1"/>
  <c r="F70" i="1"/>
  <c r="AD38" i="1"/>
  <c r="CS38" i="1"/>
  <c r="R38" i="1" s="1"/>
  <c r="CY38" i="1" s="1"/>
  <c r="X38" i="1" s="1"/>
  <c r="W35" i="1"/>
  <c r="CP32" i="1"/>
  <c r="O32" i="1" s="1"/>
  <c r="BY40" i="1"/>
  <c r="CY29" i="1"/>
  <c r="X29" i="1" s="1"/>
  <c r="BB26" i="1"/>
  <c r="BB82" i="1"/>
  <c r="CP36" i="1"/>
  <c r="O36" i="1" s="1"/>
  <c r="R35" i="1"/>
  <c r="CY34" i="1"/>
  <c r="X34" i="1" s="1"/>
  <c r="CZ33" i="1"/>
  <c r="Y33" i="1" s="1"/>
  <c r="GM33" i="1" s="1"/>
  <c r="BZ40" i="1"/>
  <c r="BD40" i="1"/>
  <c r="CY36" i="1"/>
  <c r="X36" i="1" s="1"/>
  <c r="CZ36" i="1"/>
  <c r="Y36" i="1" s="1"/>
  <c r="AB36" i="1"/>
  <c r="U35" i="1"/>
  <c r="AB35" i="1"/>
  <c r="CR35" i="1"/>
  <c r="AD34" i="1"/>
  <c r="CS34" i="1"/>
  <c r="R34" i="1" s="1"/>
  <c r="CZ34" i="1" s="1"/>
  <c r="Y34" i="1" s="1"/>
  <c r="CZ32" i="1"/>
  <c r="Y32" i="1" s="1"/>
  <c r="CY32" i="1"/>
  <c r="X32" i="1" s="1"/>
  <c r="AO40" i="1"/>
  <c r="CX15" i="3"/>
  <c r="CX19" i="3"/>
  <c r="CX23" i="3"/>
  <c r="CX14" i="3"/>
  <c r="CX18" i="3"/>
  <c r="CX22" i="3"/>
  <c r="CX13" i="3"/>
  <c r="CX17" i="3"/>
  <c r="CX21" i="3"/>
  <c r="CX25" i="3"/>
  <c r="CX16" i="3"/>
  <c r="CX20" i="3"/>
  <c r="CX24" i="3"/>
  <c r="CP31" i="1"/>
  <c r="O31" i="1" s="1"/>
  <c r="AB31" i="1"/>
  <c r="GX29" i="1"/>
  <c r="CJ40" i="1" s="1"/>
  <c r="U29" i="1"/>
  <c r="AH40" i="1" s="1"/>
  <c r="BC40" i="1"/>
  <c r="CX29" i="3"/>
  <c r="CX28" i="3"/>
  <c r="AB32" i="1"/>
  <c r="CZ31" i="1"/>
  <c r="Y31" i="1" s="1"/>
  <c r="CX6" i="3"/>
  <c r="CX5" i="3"/>
  <c r="AD30" i="1"/>
  <c r="CR30" i="1" s="1"/>
  <c r="Q30" i="1" s="1"/>
  <c r="P29" i="1"/>
  <c r="CP29" i="1" s="1"/>
  <c r="O29" i="1" s="1"/>
  <c r="P28" i="1"/>
  <c r="CK26" i="1"/>
  <c r="I35" i="1"/>
  <c r="S35" i="1" s="1"/>
  <c r="AB30" i="1"/>
  <c r="T29" i="1"/>
  <c r="AB29" i="1"/>
  <c r="R29" i="1"/>
  <c r="CZ29" i="1" s="1"/>
  <c r="Y29" i="1" s="1"/>
  <c r="T28" i="1"/>
  <c r="W28" i="1"/>
  <c r="AJ40" i="1" s="1"/>
  <c r="S28" i="1"/>
  <c r="AD40" i="1" l="1"/>
  <c r="CZ35" i="1"/>
  <c r="Y35" i="1" s="1"/>
  <c r="CY35" i="1"/>
  <c r="X35" i="1" s="1"/>
  <c r="AJ26" i="1"/>
  <c r="W40" i="1"/>
  <c r="CP28" i="1"/>
  <c r="O28" i="1" s="1"/>
  <c r="AC40" i="1"/>
  <c r="BD26" i="1"/>
  <c r="BD82" i="1"/>
  <c r="F65" i="1"/>
  <c r="BB22" i="1"/>
  <c r="F95" i="1"/>
  <c r="BB124" i="1"/>
  <c r="GM37" i="1"/>
  <c r="GP37" i="1"/>
  <c r="CP35" i="1"/>
  <c r="O35" i="1" s="1"/>
  <c r="BC26" i="1"/>
  <c r="F56" i="1"/>
  <c r="BC82" i="1"/>
  <c r="AE40" i="1"/>
  <c r="AB34" i="1"/>
  <c r="CR34" i="1"/>
  <c r="Q34" i="1" s="1"/>
  <c r="CP34" i="1" s="1"/>
  <c r="O34" i="1" s="1"/>
  <c r="BZ26" i="1"/>
  <c r="CG40" i="1"/>
  <c r="AQ40" i="1"/>
  <c r="V35" i="1"/>
  <c r="AI40" i="1" s="1"/>
  <c r="GO32" i="1"/>
  <c r="GM32" i="1"/>
  <c r="AB38" i="1"/>
  <c r="CR38" i="1"/>
  <c r="Q38" i="1" s="1"/>
  <c r="CP38" i="1" s="1"/>
  <c r="O38" i="1" s="1"/>
  <c r="AH26" i="1"/>
  <c r="U40" i="1"/>
  <c r="CJ26" i="1"/>
  <c r="BA40" i="1"/>
  <c r="F44" i="1"/>
  <c r="AO26" i="1"/>
  <c r="AO82" i="1"/>
  <c r="AP40" i="1"/>
  <c r="BY26" i="1"/>
  <c r="CI40" i="1"/>
  <c r="AG40" i="1"/>
  <c r="GM29" i="1"/>
  <c r="GN29" i="1"/>
  <c r="CP30" i="1"/>
  <c r="O30" i="1" s="1"/>
  <c r="GP31" i="1"/>
  <c r="GM31" i="1"/>
  <c r="Q35" i="1"/>
  <c r="GM36" i="1"/>
  <c r="GP36" i="1"/>
  <c r="CZ38" i="1"/>
  <c r="Y38" i="1" s="1"/>
  <c r="CY28" i="1"/>
  <c r="X28" i="1" s="1"/>
  <c r="AK40" i="1" s="1"/>
  <c r="AF40" i="1"/>
  <c r="CZ28" i="1"/>
  <c r="Y28" i="1" s="1"/>
  <c r="AL40" i="1" s="1"/>
  <c r="AG26" i="1" l="1"/>
  <c r="T40" i="1"/>
  <c r="AQ26" i="1"/>
  <c r="AQ82" i="1"/>
  <c r="F50" i="1"/>
  <c r="CI26" i="1"/>
  <c r="AZ40" i="1"/>
  <c r="U82" i="1"/>
  <c r="U26" i="1"/>
  <c r="F62" i="1"/>
  <c r="CG26" i="1"/>
  <c r="AX40" i="1"/>
  <c r="GO35" i="1"/>
  <c r="GM35" i="1"/>
  <c r="AK26" i="1"/>
  <c r="X40" i="1"/>
  <c r="BC22" i="1"/>
  <c r="BC124" i="1"/>
  <c r="F98" i="1"/>
  <c r="CH40" i="1"/>
  <c r="AC26" i="1"/>
  <c r="CF40" i="1"/>
  <c r="P40" i="1"/>
  <c r="CE40" i="1"/>
  <c r="AL26" i="1"/>
  <c r="Y40" i="1"/>
  <c r="AF26" i="1"/>
  <c r="S40" i="1"/>
  <c r="GP30" i="1"/>
  <c r="GM30" i="1"/>
  <c r="AE26" i="1"/>
  <c r="R40" i="1"/>
  <c r="AP26" i="1"/>
  <c r="AP82" i="1"/>
  <c r="F49" i="1"/>
  <c r="F60" i="1"/>
  <c r="BA26" i="1"/>
  <c r="BA82" i="1"/>
  <c r="GP38" i="1"/>
  <c r="GM38" i="1"/>
  <c r="AI26" i="1"/>
  <c r="V40" i="1"/>
  <c r="GM34" i="1"/>
  <c r="GO34" i="1"/>
  <c r="CC40" i="1" s="1"/>
  <c r="GM28" i="1"/>
  <c r="AB40" i="1"/>
  <c r="GN28" i="1"/>
  <c r="CB40" i="1" s="1"/>
  <c r="AO22" i="1"/>
  <c r="F86" i="1"/>
  <c r="AO124" i="1"/>
  <c r="BB18" i="1"/>
  <c r="F137" i="1"/>
  <c r="BD22" i="1"/>
  <c r="BD124" i="1"/>
  <c r="F107" i="1"/>
  <c r="W26" i="1"/>
  <c r="F64" i="1"/>
  <c r="W82" i="1"/>
  <c r="AD26" i="1"/>
  <c r="Q40" i="1"/>
  <c r="AT40" i="1" l="1"/>
  <c r="CC26" i="1"/>
  <c r="CB26" i="1"/>
  <c r="AS40" i="1"/>
  <c r="AX26" i="1"/>
  <c r="F47" i="1"/>
  <c r="AX82" i="1"/>
  <c r="AQ22" i="1"/>
  <c r="AQ124" i="1"/>
  <c r="F92" i="1"/>
  <c r="W22" i="1"/>
  <c r="W124" i="1"/>
  <c r="F106" i="1"/>
  <c r="BD18" i="1"/>
  <c r="F149" i="1"/>
  <c r="AO18" i="1"/>
  <c r="F128" i="1"/>
  <c r="AB26" i="1"/>
  <c r="O40" i="1"/>
  <c r="V26" i="1"/>
  <c r="F63" i="1"/>
  <c r="V82" i="1"/>
  <c r="BA22" i="1"/>
  <c r="F102" i="1"/>
  <c r="BA124" i="1"/>
  <c r="AP22" i="1"/>
  <c r="F91" i="1"/>
  <c r="G16" i="2" s="1"/>
  <c r="G18" i="2" s="1"/>
  <c r="AP124" i="1"/>
  <c r="F67" i="1"/>
  <c r="Y26" i="1"/>
  <c r="Y82" i="1"/>
  <c r="CF26" i="1"/>
  <c r="AW40" i="1"/>
  <c r="BC18" i="1"/>
  <c r="F140" i="1"/>
  <c r="AZ26" i="1"/>
  <c r="F51" i="1"/>
  <c r="AZ82" i="1"/>
  <c r="P26" i="1"/>
  <c r="F43" i="1"/>
  <c r="P82" i="1"/>
  <c r="U22" i="1"/>
  <c r="F104" i="1"/>
  <c r="U124" i="1"/>
  <c r="CA40" i="1"/>
  <c r="CD40" i="1"/>
  <c r="T26" i="1"/>
  <c r="T82" i="1"/>
  <c r="F61" i="1"/>
  <c r="X26" i="1"/>
  <c r="X82" i="1"/>
  <c r="F66" i="1"/>
  <c r="Q26" i="1"/>
  <c r="F52" i="1"/>
  <c r="Q82" i="1"/>
  <c r="R26" i="1"/>
  <c r="F54" i="1"/>
  <c r="R82" i="1"/>
  <c r="S26" i="1"/>
  <c r="F55" i="1"/>
  <c r="S82" i="1"/>
  <c r="CE26" i="1"/>
  <c r="AV40" i="1"/>
  <c r="CH26" i="1"/>
  <c r="AY40" i="1"/>
  <c r="P22" i="1" l="1"/>
  <c r="F85" i="1"/>
  <c r="P124" i="1"/>
  <c r="BA18" i="1"/>
  <c r="F144" i="1"/>
  <c r="AP18" i="1"/>
  <c r="F133" i="1"/>
  <c r="W18" i="1"/>
  <c r="F148" i="1"/>
  <c r="AS26" i="1"/>
  <c r="AS82" i="1"/>
  <c r="F57" i="1"/>
  <c r="AV26" i="1"/>
  <c r="F45" i="1"/>
  <c r="AV82" i="1"/>
  <c r="Q22" i="1"/>
  <c r="F94" i="1"/>
  <c r="Q124" i="1"/>
  <c r="X22" i="1"/>
  <c r="X124" i="1"/>
  <c r="F108" i="1"/>
  <c r="Y22" i="1"/>
  <c r="F109" i="1"/>
  <c r="Y124" i="1"/>
  <c r="O26" i="1"/>
  <c r="F42" i="1"/>
  <c r="O82" i="1"/>
  <c r="AX22" i="1"/>
  <c r="F89" i="1"/>
  <c r="AX124" i="1"/>
  <c r="AY26" i="1"/>
  <c r="F48" i="1"/>
  <c r="AY82" i="1"/>
  <c r="CA26" i="1"/>
  <c r="AR40" i="1"/>
  <c r="AW26" i="1"/>
  <c r="F46" i="1"/>
  <c r="AW82" i="1"/>
  <c r="T22" i="1"/>
  <c r="T124" i="1"/>
  <c r="F103" i="1"/>
  <c r="U18" i="1"/>
  <c r="F146" i="1"/>
  <c r="R22" i="1"/>
  <c r="R124" i="1"/>
  <c r="F96" i="1"/>
  <c r="CD26" i="1"/>
  <c r="AU40" i="1"/>
  <c r="AZ22" i="1"/>
  <c r="F93" i="1"/>
  <c r="AZ124" i="1"/>
  <c r="V22" i="1"/>
  <c r="F105" i="1"/>
  <c r="V124" i="1"/>
  <c r="S22" i="1"/>
  <c r="F97" i="1"/>
  <c r="J16" i="2" s="1"/>
  <c r="J18" i="2" s="1"/>
  <c r="S124" i="1"/>
  <c r="AQ18" i="1"/>
  <c r="F134" i="1"/>
  <c r="AT26" i="1"/>
  <c r="F58" i="1"/>
  <c r="AT82" i="1"/>
  <c r="AU26" i="1" l="1"/>
  <c r="F59" i="1"/>
  <c r="AU82" i="1"/>
  <c r="Y18" i="1"/>
  <c r="F151" i="1"/>
  <c r="AZ18" i="1"/>
  <c r="F135" i="1"/>
  <c r="AR26" i="1"/>
  <c r="F68" i="1"/>
  <c r="F78" i="1" s="1"/>
  <c r="AR82" i="1"/>
  <c r="O22" i="1"/>
  <c r="O124" i="1"/>
  <c r="F84" i="1"/>
  <c r="AV22" i="1"/>
  <c r="F87" i="1"/>
  <c r="AV124" i="1"/>
  <c r="AS22" i="1"/>
  <c r="F99" i="1"/>
  <c r="E16" i="2" s="1"/>
  <c r="AS124" i="1"/>
  <c r="P18" i="1"/>
  <c r="F127" i="1"/>
  <c r="X18" i="1"/>
  <c r="F150" i="1"/>
  <c r="AT22" i="1"/>
  <c r="F100" i="1"/>
  <c r="F16" i="2" s="1"/>
  <c r="F18" i="2" s="1"/>
  <c r="AT124" i="1"/>
  <c r="V18" i="1"/>
  <c r="F147" i="1"/>
  <c r="AW22" i="1"/>
  <c r="F88" i="1"/>
  <c r="AW124" i="1"/>
  <c r="AX18" i="1"/>
  <c r="F131" i="1"/>
  <c r="Q18" i="1"/>
  <c r="F136" i="1"/>
  <c r="T18" i="1"/>
  <c r="F145" i="1"/>
  <c r="S18" i="1"/>
  <c r="F139" i="1"/>
  <c r="R18" i="1"/>
  <c r="F138" i="1"/>
  <c r="AY22" i="1"/>
  <c r="AY124" i="1"/>
  <c r="F90" i="1"/>
  <c r="AY18" i="1" l="1"/>
  <c r="F132" i="1"/>
  <c r="AW18" i="1"/>
  <c r="F130" i="1"/>
  <c r="AS18" i="1"/>
  <c r="F141" i="1"/>
  <c r="AU22" i="1"/>
  <c r="F101" i="1"/>
  <c r="H16" i="2" s="1"/>
  <c r="H18" i="2" s="1"/>
  <c r="AU124" i="1"/>
  <c r="O18" i="1"/>
  <c r="F126" i="1"/>
  <c r="AT18" i="1"/>
  <c r="F142" i="1"/>
  <c r="E18" i="2"/>
  <c r="AR22" i="1"/>
  <c r="F110" i="1"/>
  <c r="AR124" i="1"/>
  <c r="AV18" i="1"/>
  <c r="F129" i="1"/>
  <c r="F79" i="1"/>
  <c r="F80" i="1" s="1"/>
  <c r="F120" i="1" l="1"/>
  <c r="F118" i="1"/>
  <c r="F119" i="1" s="1"/>
  <c r="AU18" i="1"/>
  <c r="F143" i="1"/>
  <c r="AR18" i="1"/>
  <c r="F152" i="1"/>
  <c r="I16" i="2"/>
  <c r="I18" i="2" s="1"/>
  <c r="F121" i="1" l="1"/>
  <c r="F122" i="1" s="1"/>
  <c r="F160" i="1"/>
  <c r="F161" i="1" s="1"/>
  <c r="F162" i="1" l="1"/>
  <c r="F163" i="1" l="1"/>
  <c r="F164" i="1" s="1"/>
</calcChain>
</file>

<file path=xl/sharedStrings.xml><?xml version="1.0" encoding="utf-8"?>
<sst xmlns="http://schemas.openxmlformats.org/spreadsheetml/2006/main" count="1639" uniqueCount="339">
  <si>
    <t>Smeta.RU  (495) 974-1589</t>
  </si>
  <si>
    <t>_PS_</t>
  </si>
  <si>
    <t>Smeta.RU</t>
  </si>
  <si>
    <t/>
  </si>
  <si>
    <t>Новый объект_(Копия)_(Копия)_(Копия)_(Копия)_(Копия)_(Копия)</t>
  </si>
  <si>
    <t>Смета №2 факт последнее</t>
  </si>
  <si>
    <t>Сметные нормы списания</t>
  </si>
  <si>
    <t>Коды ценников</t>
  </si>
  <si>
    <t>Построчная индексация</t>
  </si>
  <si>
    <t>ТР для Версии 11: Центральные регионы (с уч. п-ма 2536-ИП/12/ГС от 27.11.12, 01/57049-ЮЛ от 27.04.2018) от 27.04.2020 г</t>
  </si>
  <si>
    <t>Ульяновская область (редакция 2014 года)</t>
  </si>
  <si>
    <t>Поправки  для НБ 2014 года от 28.12.2015</t>
  </si>
  <si>
    <t>Новая локальная смета</t>
  </si>
  <si>
    <t>Новый раздел</t>
  </si>
  <si>
    <t>Ремонт кабельных линий</t>
  </si>
  <si>
    <t>1</t>
  </si>
  <si>
    <t>01-02-055-2</t>
  </si>
  <si>
    <t>Разработка грунта вручную с креплениями в траншеях шириной до 2 м, глубиной до 2 м, группа грунтов 2</t>
  </si>
  <si>
    <t>100 м3 грунта</t>
  </si>
  <si>
    <t>ТЕР Ульяновской обл. в ред. 2014 г.,сб.01,гл.02,табл.055,поз.2</t>
  </si>
  <si>
    <t>)*1,15</t>
  </si>
  <si>
    <t>Общестроительные работы</t>
  </si>
  <si>
    <t>Земляные работы, выполняемые  ручным способом</t>
  </si>
  <si>
    <t>ФЕР-01</t>
  </si>
  <si>
    <t>Поправка: МДС 81-35.2004, прил.1, т.1, п.4</t>
  </si>
  <si>
    <t>*0,9</t>
  </si>
  <si>
    <t>*0,85</t>
  </si>
  <si>
    <t>*0,8</t>
  </si>
  <si>
    <t>2</t>
  </si>
  <si>
    <t>01-02-061-2</t>
  </si>
  <si>
    <t>Засыпка вручную траншей, пазух котлованов и ям, группа грунтов 2</t>
  </si>
  <si>
    <t>ТЕР Ульяновской обл. в ред. 2014 г.,сб.01,гл.02,табл.061,поз.2</t>
  </si>
  <si>
    <t>3</t>
  </si>
  <si>
    <t>п01-11-001-2</t>
  </si>
  <si>
    <t>Поиск и определение места повреждения кабеля с прожигом, длина кабеля до 1000 м</t>
  </si>
  <si>
    <t>1 кабель</t>
  </si>
  <si>
    <t>ТЕРп Ульяновской обл. в ред. 2014 г.,сб.01,гл.11,табл.001,поз.2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</si>
  <si>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</si>
  <si>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</si>
  <si>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</si>
  <si>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4</t>
  </si>
  <si>
    <t>п01-11-001-3</t>
  </si>
  <si>
    <t>Поиск и определение места повреждения кабеля с прожигом, длина кабеля за каждые последующие 500 м добавлять к расценке 01-11-001-02</t>
  </si>
  <si>
    <t>500 м кабеля</t>
  </si>
  <si>
    <t>ТЕРп Ульяновской обл. в ред. 2014 г.,сб.01,гл.11,табл.001,поз.3</t>
  </si>
  <si>
    <t>5</t>
  </si>
  <si>
    <t>м08-02-170-2</t>
  </si>
  <si>
    <t>Муфта концевая из пластмассового корпуса с заливкой эпоксидным компаундом для 3-жильного кабеля напряжением до 35 кВ, сечение жил до 120 мм2</t>
  </si>
  <si>
    <t>1 оконцевание (3 муфты)</t>
  </si>
  <si>
    <t>ТЕРм Ульяновской обл. в ред. 2014 г.,сб.08,гл.02,табл.170,поз.2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</si>
  <si>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</si>
  <si>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</si>
  <si>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</si>
  <si>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5,1</t>
  </si>
  <si>
    <t>502-0769</t>
  </si>
  <si>
    <t>Муфта термоусаживаемая соединительная для кабеля с полиэтиленовой или бумажной изоляцией на напряжение до 10 кВ, марки СТп-10-3х(70-120) мм2</t>
  </si>
  <si>
    <t>шт.</t>
  </si>
  <si>
    <t>ТССЦ Ульяновской обл. в ред. 2014 г., сб.&lt;I&gt;, поз.0769</t>
  </si>
  <si>
    <t>Материалы монтажные</t>
  </si>
  <si>
    <t>Материалы и конструкции ( монтажные )  по ценникам и каталогам</t>
  </si>
  <si>
    <t>ФССЦм</t>
  </si>
  <si>
    <t>6</t>
  </si>
  <si>
    <t>м08-02-141-4</t>
  </si>
  <si>
    <t>Кабель до 35 кВ в готовых траншеях без покрытий, масса 1 м до 6 кг</t>
  </si>
  <si>
    <t>100 м кабеля</t>
  </si>
  <si>
    <t>ТЕРм Ульяновской обл. в ред. 2014 г.,сб.08,гл.02,табл.141,поз.4</t>
  </si>
  <si>
    <t>6,1</t>
  </si>
  <si>
    <t>501-0454</t>
  </si>
  <si>
    <t>Кабели силовые на напряжение 6000 В для прокладке в земле с алюминиевыми жилами с двумя слоями пластмассовых лент марки:АСБ2лУ, с числом жил - 3 и сечением 95 мм2</t>
  </si>
  <si>
    <t>1000 м</t>
  </si>
  <si>
    <t>ТССЦ Ульяновской обл. в ред. 2014 г., сб.&lt;I&gt;, поз.0454</t>
  </si>
  <si>
    <t>1000 М</t>
  </si>
  <si>
    <t>7</t>
  </si>
  <si>
    <t>п01-12-027-1</t>
  </si>
  <si>
    <t>Испытание кабеля силового длиной до 500 м напряжением до 10 кВ</t>
  </si>
  <si>
    <t>1 испытание</t>
  </si>
  <si>
    <t>ТЕРп Ульяновской обл. в ред. 2014 г.,сб.01,гл.12,табл.027,поз.1</t>
  </si>
  <si>
    <t>8</t>
  </si>
  <si>
    <t>п01-12-027-4</t>
  </si>
  <si>
    <t>За каждые последующие 500 м испытания силового кабеля напряжением до 10 кВ добавлять к расценке 01-12-027-01</t>
  </si>
  <si>
    <t>ТЕРп Ульяновской обл. в ред. 2014 г.,сб.01,гл.12,табл.027,поз.4</t>
  </si>
  <si>
    <t>9</t>
  </si>
  <si>
    <t>п01-11-024-2</t>
  </si>
  <si>
    <t>Фазировка электрической линии или трансформатора с сетью напряжением свыше 1 кВ</t>
  </si>
  <si>
    <t>1 фазировка</t>
  </si>
  <si>
    <t>ТЕРп Ульяновской обл. в ред. 2014 г.,сб.01,гл.11,табл.024,поз.2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</si>
  <si>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</si>
  <si>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</si>
  <si>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</si>
  <si>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</si>
  <si>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</si>
  <si>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</si>
  <si>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</si>
  <si>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</si>
  <si>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</si>
  <si>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</si>
  <si>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</si>
  <si>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</si>
  <si>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</si>
  <si>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</si>
  <si>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</si>
  <si>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</si>
  <si>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</si>
  <si>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</si>
  <si>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</si>
  <si>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</si>
  <si>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</si>
  <si>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</si>
  <si>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</si>
  <si>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</si>
  <si>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</si>
  <si>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</si>
  <si>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</si>
  <si>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</si>
  <si>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</si>
  <si>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</si>
  <si>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</si>
  <si>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</si>
  <si>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</si>
  <si>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</si>
  <si>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</si>
  <si>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</si>
  <si>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</si>
  <si>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</si>
  <si>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</si>
  <si>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</si>
  <si>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</si>
  <si>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</si>
  <si>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</si>
  <si>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</si>
  <si>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</si>
  <si>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</si>
  <si>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</si>
  <si>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</si>
  <si>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</si>
  <si>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</si>
  <si>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</si>
  <si>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</si>
  <si>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</si>
  <si>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</si>
  <si>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х1 %</t>
  </si>
  <si>
    <t>Временные здания и сооружения %</t>
  </si>
  <si>
    <t>х1 руб</t>
  </si>
  <si>
    <t>Временные здания и сооружения руб</t>
  </si>
  <si>
    <t>х1 итог</t>
  </si>
  <si>
    <t>Итого с временными зданиями и сооружениями</t>
  </si>
  <si>
    <t>х2 %</t>
  </si>
  <si>
    <t>Зимнее удорожание  %</t>
  </si>
  <si>
    <t>х2 руб</t>
  </si>
  <si>
    <t>Зимнее удорожание руб.</t>
  </si>
  <si>
    <t>х2 итог</t>
  </si>
  <si>
    <t>ИТОГ с зимним удорожанием</t>
  </si>
  <si>
    <t>х3 %</t>
  </si>
  <si>
    <t>Непредвиденные расходы  %</t>
  </si>
  <si>
    <t>х3 руб</t>
  </si>
  <si>
    <t>Непредвиденные расходы руб.</t>
  </si>
  <si>
    <t>х3 итог</t>
  </si>
  <si>
    <t>ИТОГ с непредвиденными расходами</t>
  </si>
  <si>
    <t>Итого с накрут</t>
  </si>
  <si>
    <t>Итого со всеми накрутками</t>
  </si>
  <si>
    <t>Л12</t>
  </si>
  <si>
    <t>НДС 20%</t>
  </si>
  <si>
    <t>Л13</t>
  </si>
  <si>
    <t>ИТОГО с НДС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</si>
  <si>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</si>
  <si>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</si>
  <si>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</si>
  <si>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</si>
  <si>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</si>
  <si>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</si>
  <si>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</si>
  <si>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</si>
  <si>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</si>
  <si>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</si>
  <si>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</si>
  <si>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</si>
  <si>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</si>
  <si>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</si>
  <si>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</si>
  <si>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</si>
  <si>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</si>
  <si>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</si>
  <si>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</si>
  <si>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</si>
  <si>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</si>
  <si>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</si>
  <si>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</si>
  <si>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</si>
  <si>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</si>
  <si>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</si>
  <si>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</si>
  <si>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</si>
  <si>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</si>
  <si>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</si>
  <si>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</si>
  <si>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</si>
  <si>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</si>
  <si>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</si>
  <si>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</si>
  <si>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</si>
  <si>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</si>
  <si>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</si>
  <si>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</si>
  <si>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</si>
  <si>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</si>
  <si>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</si>
  <si>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</si>
  <si>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</si>
  <si>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</si>
  <si>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</si>
  <si>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</si>
  <si>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</si>
  <si>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</si>
  <si>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</si>
  <si>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</si>
  <si>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</si>
  <si>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</si>
  <si>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</si>
  <si>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</si>
  <si>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</si>
  <si>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</si>
  <si>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</si>
  <si>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</si>
  <si>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</si>
  <si>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</si>
  <si>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</si>
  <si>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Сборник индексов</t>
  </si>
  <si>
    <t>ульяновск</t>
  </si>
  <si>
    <t>_OBSM_</t>
  </si>
  <si>
    <t>1-1028-73</t>
  </si>
  <si>
    <t>Рабочий строитель среднего разряда 2,8</t>
  </si>
  <si>
    <t>чел.ч</t>
  </si>
  <si>
    <t>ЧЕЛ.Ч</t>
  </si>
  <si>
    <t>1-1015-73</t>
  </si>
  <si>
    <t>Рабочий строитель среднего разряда 1,5</t>
  </si>
  <si>
    <t>0-3306-73</t>
  </si>
  <si>
    <t>Электромонтажник-наладчик 6 разряда</t>
  </si>
  <si>
    <t>чел.-ч</t>
  </si>
  <si>
    <t>2-0023-73</t>
  </si>
  <si>
    <t>Инженер по наладке и испытаниям III категории</t>
  </si>
  <si>
    <t>1-2040-73</t>
  </si>
  <si>
    <t>Рабочий монтажник среднего разряда 4</t>
  </si>
  <si>
    <t>101-0069</t>
  </si>
  <si>
    <t>ТССЦ Ульяновской обл. в ред. 2014 г., сб.&lt;I&gt;, поз.0069</t>
  </si>
  <si>
    <t>Бензин авиационный Б-70</t>
  </si>
  <si>
    <t>т</t>
  </si>
  <si>
    <t>101-2478</t>
  </si>
  <si>
    <t>ТССЦ Ульяновской обл. в ред. 2014 г., сб.&lt;I&gt;, поз.2478</t>
  </si>
  <si>
    <t>Лента К226</t>
  </si>
  <si>
    <t>100 м</t>
  </si>
  <si>
    <t>509-1206</t>
  </si>
  <si>
    <t>ТССЦ Ульяновской обл. в ред. 2014 г., сб.&lt;I&gt;, поз.1206</t>
  </si>
  <si>
    <t>Парафины нефтяные твердые марки Т-1</t>
  </si>
  <si>
    <t>999-9950</t>
  </si>
  <si>
    <t>ТССЦ Ульяновской обл. в ред. 2014 г., сб.&lt;I&gt;, поз.1244</t>
  </si>
  <si>
    <t>Вспомогательные ненормируемые материалы (2% от ОЗП)</t>
  </si>
  <si>
    <t>РУБ</t>
  </si>
  <si>
    <t>Затраты труда машинистов</t>
  </si>
  <si>
    <t>чел.час</t>
  </si>
  <si>
    <t>021102</t>
  </si>
  <si>
    <t>ЦЭМ Ульяновской обл. в ред. 2014 г.сб.02,поз.1102</t>
  </si>
  <si>
    <t>Краны на автомобильном ходу при работе на монтаже технологического оборудования 10 т</t>
  </si>
  <si>
    <t>маш.-ч</t>
  </si>
  <si>
    <t>030203</t>
  </si>
  <si>
    <t>ЦЭМ Ульяновской обл. в ред. 2014 г.сб.03,поз.0203</t>
  </si>
  <si>
    <t>Домкраты гидравлические грузоподъемностью 63-100 т</t>
  </si>
  <si>
    <t>030404</t>
  </si>
  <si>
    <t>ЦЭМ Ульяновской обл. в ред. 2014 г.сб.03,поз.0404</t>
  </si>
  <si>
    <t>Лебедки электрические тяговым усилием до 31,39 кН (3,2 т)</t>
  </si>
  <si>
    <t>400001</t>
  </si>
  <si>
    <t>ЦЭМ Ульяновской обл. в ред. 2014 г.сб.40,поз.0001</t>
  </si>
  <si>
    <t>Автомобили бортовые, грузоподъемность до 5 т</t>
  </si>
  <si>
    <t>101-1641</t>
  </si>
  <si>
    <t>ТССЦ Ульяновской обл. в ред. 2014 г., сб.&lt;I&gt;, поз.1641</t>
  </si>
  <si>
    <t>Сталь угловая равнополочная, марка стали: ВСт3кп2, размером 50x50x5 мм</t>
  </si>
  <si>
    <t>101-1755</t>
  </si>
  <si>
    <t>ТССЦ Ульяновской обл. в ред. 2014 г., сб.&lt;I&gt;, поз.1755</t>
  </si>
  <si>
    <t>Сталь полосовая, марка стали: Ст3сп шириной 50-200 мм толщиной 4-5 мм</t>
  </si>
  <si>
    <t>101-2143</t>
  </si>
  <si>
    <t>ТССЦ Ульяновской обл. в ред. 2014 г., сб.&lt;I&gt;, поз.2143</t>
  </si>
  <si>
    <t>Краска</t>
  </si>
  <si>
    <t>кг</t>
  </si>
  <si>
    <t>113-1786</t>
  </si>
  <si>
    <t>ТССЦ Ульяновской обл. в ред. 2014 г., сб.&lt;I&gt;, поз.1786</t>
  </si>
  <si>
    <t>Лак битумный: БТ-123</t>
  </si>
  <si>
    <t>0-3304-73</t>
  </si>
  <si>
    <t>Электромонтажник-наладчик 4 разряда</t>
  </si>
  <si>
    <t>Поправка: МДС 81-35.2004, прил.1, т.1, п.4  Наименование: Производство строительных и других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</t>
  </si>
  <si>
    <t>Согласовано</t>
  </si>
  <si>
    <t>"_____" __________________  2020 г.</t>
  </si>
  <si>
    <t>Утверждаю</t>
  </si>
  <si>
    <t>Смету в сумме</t>
  </si>
  <si>
    <t>тыс. руб.</t>
  </si>
  <si>
    <t xml:space="preserve">Сметная стоимость </t>
  </si>
  <si>
    <t xml:space="preserve">Строительные работы </t>
  </si>
  <si>
    <t xml:space="preserve">Монтажные работы </t>
  </si>
  <si>
    <t xml:space="preserve">Оборудование </t>
  </si>
  <si>
    <t xml:space="preserve">Прочие работы </t>
  </si>
  <si>
    <t xml:space="preserve">Нормативная трудоемкость </t>
  </si>
  <si>
    <t>чел.-ч.</t>
  </si>
  <si>
    <t xml:space="preserve">Средства на оплату труда </t>
  </si>
  <si>
    <t>Составлена в ценах ульяновск январь 2020 года</t>
  </si>
  <si>
    <t>№ п/п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</si>
  <si>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</si>
  <si>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</si>
  <si>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</si>
  <si>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ед., руб.</t>
  </si>
  <si>
    <t>Общая стоимость, руб.</t>
  </si>
  <si>
    <t>Затраты труда, чел.-ч</t>
  </si>
  <si>
    <t>Экспл. машин</t>
  </si>
  <si>
    <t>Основная зарплата</t>
  </si>
  <si>
    <t>основных рабочих</t>
  </si>
  <si>
    <t>машинистов</t>
  </si>
  <si>
    <t>в т.ч. зарплата</t>
  </si>
  <si>
    <t>на единицу</t>
  </si>
  <si>
    <t>всего</t>
  </si>
  <si>
    <t>ИНДЕКСЫ ПЕРЕСЧЕТА: ОЗП 47,3437; ЭММ 2,58; МР 2,33; ЗПМ 37,0364</t>
  </si>
  <si>
    <r>
      <t>ТЕР 01-02-055-2</t>
    </r>
    <r>
      <rPr>
        <i/>
        <sz val="10"/>
        <rFont val="Times New Roman"/>
        <family val="1"/>
        <charset val="204"/>
      </rPr>
      <t xml:space="preserve">
К=(ЭММ, ЗПМ, ОЗП, ТЗ, ТЗМ))*1,15</t>
    </r>
  </si>
  <si>
    <t>Итого с НР и СП</t>
  </si>
  <si>
    <t>ТЕР 01-02-061-2</t>
  </si>
  <si>
    <t>ИНДЕКСЫ ПЕРЕСЧЕТА: ОЗП 43,1509; ЭММ 2,72; МР 2,52; ЗПМ 46,4702</t>
  </si>
  <si>
    <t>ТЕРп 01-11-001-2</t>
  </si>
  <si>
    <t>ИНДЕКСЫ ПЕРЕСЧЕТА: ОЗП 45,0726; ЭММ 2,85; МР 2,13; ЗПМ 2,66</t>
  </si>
  <si>
    <t>ТЕРп 01-11-001-3</t>
  </si>
  <si>
    <t>ИНДЕКСЫ ПЕРЕСЧЕТА: ОЗП 36,8617; ЭММ 2,22; МР 2,34; ЗПМ 2,19</t>
  </si>
  <si>
    <t>ТЕРм 08-02-170-2</t>
  </si>
  <si>
    <t>ИНДЕКСЫ ПЕРЕСЧЕТА: ОЗП 50,4883; ЭММ 2,64; МР 17,658; ЗПМ 48,7413</t>
  </si>
  <si>
    <t>ТССЦ 502-0769</t>
  </si>
  <si>
    <t>ТЕРм 08-02-141-4</t>
  </si>
  <si>
    <t>ИНДЕКСЫ ПЕРЕСЧЕТА: ОЗП 48,7413; ЭММ 16,5422; МР 21,7035; ЗПМ 42,9762</t>
  </si>
  <si>
    <t>ТССЦ 501-0454</t>
  </si>
  <si>
    <t>ТЕРп 01-12-027-1</t>
  </si>
  <si>
    <t>ИНДЕКСЫ ПЕРЕСЧЕТА: ОЗП 38,9581; ЭММ 2,39; МР 2,51; ЗПМ 2,4</t>
  </si>
  <si>
    <t>ТЕРп 01-12-027-4</t>
  </si>
  <si>
    <t>ИНДЕКСЫ ПЕРЕСЧЕТА: ОЗП 43,675; ЭММ 2,47; МР 2,19; ЗПМ 2,3</t>
  </si>
  <si>
    <t>ТЕРп 01-11-024-2</t>
  </si>
  <si>
    <t>ИНДЕКСЫ ПЕРЕСЧЕТА: ОЗП 48,2172; ЭММ 2,1; МР 2,3; ЗПМ 2,47</t>
  </si>
  <si>
    <t xml:space="preserve">Исполнил   </t>
  </si>
  <si>
    <t xml:space="preserve">Проверил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</si>
</sst>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\ #,##0.00"/>
    <numFmt numFmtId="165" formatCode="#,##0.00####;[Red]\-\ #,##0.00####"/>
    <numFmt numFmtId="166" formatCode="#,##0.00############;[Red]\-\ #,##0.00############"/>
  </numFmts>
  <fonts count="18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rgb="FF008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wrapText="1"/>
    </xf>
    <xf numFmtId="164" fontId="11" fillId="0" borderId="0" xfId="0" applyNumberFormat="1" applyFont="1" applyAlignment="1">
      <alignment horizontal="left" shrinkToFit="1"/>
    </xf>
    <xf numFmtId="0" fontId="10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right" shrinkToFit="1"/>
    </xf>
    <xf numFmtId="164" fontId="13" fillId="0" borderId="0" xfId="0" applyNumberFormat="1" applyFont="1" applyAlignment="1">
      <alignment horizontal="right" shrinkToFit="1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 wrapText="1"/>
    </xf>
    <xf numFmtId="164" fontId="10" fillId="0" borderId="0" xfId="0" applyNumberFormat="1" applyFont="1" applyAlignment="1">
      <alignment horizontal="right" shrinkToFit="1"/>
    </xf>
    <xf numFmtId="0" fontId="12" fillId="0" borderId="14" xfId="0" applyFont="1" applyBorder="1" applyAlignment="1">
      <alignment horizontal="center" wrapText="1"/>
    </xf>
    <xf numFmtId="0" fontId="10" fillId="0" borderId="12" xfId="0" applyFont="1" applyBorder="1" applyAlignment="1">
      <alignment horizontal="left" vertical="top" wrapText="1"/>
    </xf>
    <xf numFmtId="165" fontId="10" fillId="0" borderId="12" xfId="0" applyNumberFormat="1" applyFont="1" applyBorder="1" applyAlignment="1">
      <alignment horizontal="right" shrinkToFit="1"/>
    </xf>
    <xf numFmtId="164" fontId="10" fillId="0" borderId="12" xfId="0" applyNumberFormat="1" applyFont="1" applyBorder="1" applyAlignment="1">
      <alignment horizontal="right" shrinkToFit="1"/>
    </xf>
    <xf numFmtId="0" fontId="10" fillId="0" borderId="14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right" shrinkToFit="1"/>
    </xf>
    <xf numFmtId="165" fontId="10" fillId="0" borderId="14" xfId="0" applyNumberFormat="1" applyFont="1" applyBorder="1" applyAlignment="1">
      <alignment horizontal="right" shrinkToFit="1"/>
    </xf>
    <xf numFmtId="164" fontId="10" fillId="0" borderId="14" xfId="0" applyNumberFormat="1" applyFont="1" applyBorder="1" applyAlignment="1">
      <alignment horizontal="right" shrinkToFit="1"/>
    </xf>
    <xf numFmtId="0" fontId="14" fillId="0" borderId="12" xfId="0" applyFont="1" applyBorder="1" applyAlignment="1">
      <alignment horizontal="right" vertical="top" wrapText="1"/>
    </xf>
    <xf numFmtId="0" fontId="10" fillId="0" borderId="12" xfId="0" applyFont="1" applyBorder="1" applyAlignment="1">
      <alignment horizontal="right"/>
    </xf>
    <xf numFmtId="0" fontId="9" fillId="0" borderId="0" xfId="0" applyFont="1" applyAlignment="1">
      <alignment wrapText="1"/>
    </xf>
    <xf numFmtId="0" fontId="15" fillId="0" borderId="14" xfId="0" applyFont="1" applyBorder="1" applyAlignment="1">
      <alignment wrapText="1"/>
    </xf>
    <xf numFmtId="0" fontId="9" fillId="0" borderId="12" xfId="0" applyFont="1" applyBorder="1"/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10" fillId="0" borderId="9" xfId="0" applyFont="1" applyBorder="1" applyAlignment="1">
      <alignment horizontal="left" vertical="top"/>
    </xf>
    <xf numFmtId="0" fontId="10" fillId="0" borderId="15" xfId="0" applyFont="1" applyBorder="1" applyAlignment="1">
      <alignment horizontal="left" vertical="top"/>
    </xf>
    <xf numFmtId="0" fontId="11" fillId="0" borderId="12" xfId="0" applyFont="1" applyBorder="1" applyAlignment="1">
      <alignment horizontal="left" vertical="top"/>
    </xf>
    <xf numFmtId="0" fontId="11" fillId="0" borderId="12" xfId="0" applyFont="1" applyBorder="1" applyAlignment="1">
      <alignment horizontal="right" vertical="top"/>
    </xf>
    <xf numFmtId="164" fontId="11" fillId="0" borderId="12" xfId="0" applyNumberFormat="1" applyFont="1" applyBorder="1" applyAlignment="1">
      <alignment horizontal="right" vertical="top" shrinkToFit="1"/>
    </xf>
    <xf numFmtId="0" fontId="11" fillId="0" borderId="14" xfId="0" applyFont="1" applyBorder="1" applyAlignment="1">
      <alignment horizontal="left" vertical="top"/>
    </xf>
    <xf numFmtId="0" fontId="11" fillId="0" borderId="14" xfId="0" applyFont="1" applyBorder="1" applyAlignment="1">
      <alignment horizontal="right" vertical="top"/>
    </xf>
    <xf numFmtId="164" fontId="11" fillId="0" borderId="14" xfId="0" applyNumberFormat="1" applyFont="1" applyBorder="1" applyAlignment="1">
      <alignment horizontal="right" vertical="top" shrinkToFit="1"/>
    </xf>
    <xf numFmtId="0" fontId="16" fillId="0" borderId="16" xfId="0" applyFont="1" applyBorder="1" applyAlignment="1">
      <alignment horizontal="right" wrapText="1"/>
    </xf>
    <xf numFmtId="0" fontId="16" fillId="0" borderId="17" xfId="0" applyFont="1" applyBorder="1" applyAlignment="1">
      <alignment horizontal="right" wrapText="1"/>
    </xf>
    <xf numFmtId="0" fontId="16" fillId="0" borderId="18" xfId="0" applyFont="1" applyBorder="1" applyAlignment="1">
      <alignment horizontal="right" wrapText="1"/>
    </xf>
    <xf numFmtId="0" fontId="16" fillId="0" borderId="17" xfId="0" applyFont="1" applyBorder="1" applyAlignment="1">
      <alignment horizontal="left" wrapText="1"/>
    </xf>
    <xf numFmtId="0" fontId="16" fillId="0" borderId="17" xfId="0" applyFont="1" applyBorder="1" applyAlignment="1">
      <alignment horizontal="right" shrinkToFit="1"/>
    </xf>
    <xf numFmtId="165" fontId="16" fillId="0" borderId="17" xfId="0" applyNumberFormat="1" applyFont="1" applyBorder="1" applyAlignment="1">
      <alignment horizontal="right" shrinkToFit="1"/>
    </xf>
    <xf numFmtId="164" fontId="16" fillId="0" borderId="17" xfId="0" applyNumberFormat="1" applyFont="1" applyBorder="1" applyAlignment="1">
      <alignment horizontal="right" shrinkToFit="1"/>
    </xf>
    <xf numFmtId="164" fontId="0" fillId="0" borderId="0" xfId="0" applyNumberFormat="1"/>
    <xf numFmtId="0" fontId="16" fillId="0" borderId="19" xfId="0" applyFont="1" applyBorder="1" applyAlignment="1">
      <alignment horizontal="right" wrapText="1"/>
    </xf>
    <xf numFmtId="0" fontId="16" fillId="0" borderId="20" xfId="0" applyFont="1" applyBorder="1" applyAlignment="1">
      <alignment horizontal="right" wrapText="1"/>
    </xf>
    <xf numFmtId="0" fontId="16" fillId="0" borderId="21" xfId="0" applyFont="1" applyBorder="1" applyAlignment="1">
      <alignment horizontal="right" wrapText="1"/>
    </xf>
    <xf numFmtId="0" fontId="11" fillId="0" borderId="12" xfId="0" applyFont="1" applyBorder="1" applyAlignment="1">
      <alignment horizontal="left" vertical="center" wrapText="1"/>
    </xf>
    <xf numFmtId="164" fontId="11" fillId="0" borderId="12" xfId="0" applyNumberFormat="1" applyFont="1" applyBorder="1" applyAlignment="1">
      <alignment horizontal="right" shrinkToFit="1"/>
    </xf>
    <xf numFmtId="0" fontId="11" fillId="0" borderId="12" xfId="0" applyFont="1" applyBorder="1" applyAlignment="1">
      <alignment horizontal="right"/>
    </xf>
    <xf numFmtId="0" fontId="11" fillId="0" borderId="14" xfId="0" applyFont="1" applyBorder="1" applyAlignment="1">
      <alignment horizontal="left" vertical="center" wrapText="1"/>
    </xf>
    <xf numFmtId="164" fontId="11" fillId="0" borderId="14" xfId="0" applyNumberFormat="1" applyFont="1" applyBorder="1" applyAlignment="1">
      <alignment horizontal="right" shrinkToFit="1"/>
    </xf>
    <xf numFmtId="0" fontId="11" fillId="0" borderId="14" xfId="0" applyFont="1" applyBorder="1" applyAlignment="1">
      <alignment horizontal="right"/>
    </xf>
    <xf numFmtId="0" fontId="10" fillId="0" borderId="12" xfId="0" applyFont="1" applyBorder="1" applyAlignment="1">
      <alignment horizontal="left" wrapText="1"/>
    </xf>
    <xf numFmtId="166" fontId="10" fillId="0" borderId="12" xfId="0" applyNumberFormat="1" applyFont="1" applyBorder="1" applyAlignment="1">
      <alignment horizontal="right" shrinkToFit="1"/>
    </xf>
    <xf numFmtId="0" fontId="10" fillId="0" borderId="22" xfId="0" applyFont="1" applyBorder="1" applyAlignment="1">
      <alignment horizontal="right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9" fillId="0" borderId="14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6"/>
  <sheetViews>
    <sheetView tabSelected="1" zoomScaleNormal="100" workbookViewId="0"/>
  </sheetViews>
  <sheetFormatPr defaultRowHeight="12.75" x14ac:dyDescent="0.2"/>
  <cols>
    <col min="1" max="1" width="6.28515625" customWidth="1"/>
    <col min="2" max="2" width="15.7109375" customWidth="1"/>
    <col min="3" max="3" width="40.7109375" customWidth="1"/>
    <col min="4" max="11" width="12.7109375" customWidth="1"/>
    <col min="20" max="36" width="0" hidden="1" customWidth="1"/>
  </cols>
  <sheetData>
    <row r="1" spans="1:11" ht="14.25" x14ac:dyDescent="0.2">
      <c r="A1" s="9"/>
      <c r="B1" s="11" t="s">
        <v>288</v>
      </c>
      <c r="C1" s="11"/>
      <c r="D1" s="11"/>
      <c r="E1" s="11"/>
      <c r="F1" s="9"/>
      <c r="G1" s="9"/>
      <c r="H1" s="11" t="s">
        <v>290</v>
      </c>
      <c r="I1" s="11"/>
      <c r="J1" s="11"/>
      <c r="K1" s="11"/>
    </row>
    <row r="2" spans="1:11" ht="14.25" x14ac:dyDescent="0.2">
      <c r="A2" s="9"/>
      <c r="B2" s="11"/>
      <c r="C2" s="11"/>
      <c r="D2" s="11"/>
      <c r="E2" s="11"/>
      <c r="F2" s="9"/>
      <c r="G2" s="9"/>
      <c r="H2" s="11" t="s">
        <v>291</v>
      </c>
      <c r="I2" s="11"/>
      <c r="J2" s="13">
        <f>(Source!F122/1000)</f>
        <v>1103.9468300000001</v>
      </c>
      <c r="K2" s="12" t="s">
        <v>292</v>
      </c>
    </row>
    <row r="3" spans="1:11" ht="14.25" x14ac:dyDescent="0.2">
      <c r="A3" s="9"/>
      <c r="B3" s="11" t="str">
        <f>CONCATENATE(IF(Source!AL12&lt;&gt;"", Source!AL12," "), "__________")</f>
        <v xml:space="preserve"> __________</v>
      </c>
      <c r="C3" s="11"/>
      <c r="D3" s="11"/>
      <c r="E3" s="11"/>
      <c r="F3" s="9"/>
      <c r="G3" s="9"/>
      <c r="H3" s="11"/>
      <c r="I3" s="11"/>
      <c r="J3" s="11"/>
      <c r="K3" s="11"/>
    </row>
    <row r="4" spans="1:11" ht="14.25" x14ac:dyDescent="0.2">
      <c r="A4" s="9"/>
      <c r="B4" s="11" t="s">
        <v>289</v>
      </c>
      <c r="C4" s="11"/>
      <c r="D4" s="11"/>
      <c r="E4" s="11"/>
      <c r="F4" s="9"/>
      <c r="G4" s="9"/>
      <c r="H4" s="11" t="str">
        <f>CONCATENATE(IF(Source!AH12&lt;&gt;"", Source!AH12," "), "__________")</f>
        <v xml:space="preserve"> __________</v>
      </c>
      <c r="I4" s="11"/>
      <c r="J4" s="11"/>
      <c r="K4" s="11"/>
    </row>
    <row r="5" spans="1:11" ht="14.25" x14ac:dyDescent="0.2">
      <c r="A5" s="9"/>
      <c r="B5" s="9"/>
      <c r="C5" s="9"/>
      <c r="D5" s="9"/>
      <c r="E5" s="9"/>
      <c r="F5" s="9"/>
      <c r="G5" s="9"/>
      <c r="H5" s="11" t="s">
        <v>289</v>
      </c>
      <c r="I5" s="11"/>
      <c r="J5" s="11"/>
      <c r="K5" s="11"/>
    </row>
    <row r="6" spans="1:11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15" x14ac:dyDescent="0.25">
      <c r="A7" s="14" t="str">
        <f>CONCATENATE("Заказчик: ", IF(Source!AJ12&lt;&gt;"", Source!AJ12," "))</f>
        <v xml:space="preserve">Заказчик:  </v>
      </c>
      <c r="B7" s="14"/>
      <c r="C7" s="14"/>
      <c r="D7" s="14"/>
      <c r="E7" s="14"/>
      <c r="F7" s="14"/>
      <c r="G7" s="9"/>
      <c r="H7" s="9"/>
      <c r="I7" s="9"/>
      <c r="J7" s="9"/>
      <c r="K7" s="9"/>
    </row>
    <row r="8" spans="1:11" ht="15" x14ac:dyDescent="0.25">
      <c r="A8" s="14" t="str">
        <f>CONCATENATE("Подрядчик: ", IF(Source!AN12&lt;&gt;"", Source!AN12," "))</f>
        <v xml:space="preserve">Подрядчик:  </v>
      </c>
      <c r="B8" s="14"/>
      <c r="C8" s="14"/>
      <c r="D8" s="14"/>
      <c r="E8" s="14"/>
      <c r="F8" s="14"/>
      <c r="G8" s="9"/>
      <c r="H8" s="9"/>
      <c r="I8" s="9"/>
      <c r="J8" s="9"/>
      <c r="K8" s="9"/>
    </row>
    <row r="9" spans="1:1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ht="15" x14ac:dyDescent="0.25">
      <c r="A10" s="14" t="str">
        <f>CONCATENATE("Наименование объекта: ", IF(Source!G12&lt;&gt;"Новый объект", Source!G12, ""))</f>
        <v>Наименование объекта: Смета №2 факт последнее</v>
      </c>
      <c r="B10" s="14"/>
      <c r="C10" s="14"/>
      <c r="D10" s="14"/>
      <c r="E10" s="14"/>
      <c r="F10" s="14"/>
      <c r="G10" s="9"/>
      <c r="H10" s="9"/>
      <c r="I10" s="9"/>
      <c r="J10" s="9"/>
      <c r="K10" s="9"/>
    </row>
    <row r="11" spans="1:1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ht="16.5" x14ac:dyDescent="0.25">
      <c r="A12" s="15" t="str">
        <f>CONCATENATE("Л О К А Л Ь Н А Я   С М Е Т А   №  ", IF(Source!F20&lt;&gt;"Новая локальная смета", Source!F20, ""))</f>
        <v xml:space="preserve">Л О К А Л Ь Н А Я   С М Е Т А   №  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1" ht="15" x14ac:dyDescent="0.25">
      <c r="A13" s="16" t="s">
        <v>293</v>
      </c>
      <c r="B13" s="16"/>
      <c r="C13" s="16"/>
      <c r="D13" s="16"/>
      <c r="E13" s="16"/>
      <c r="F13" s="16"/>
      <c r="G13" s="16"/>
      <c r="H13" s="16"/>
      <c r="I13" s="16"/>
      <c r="J13" s="17"/>
      <c r="K13" s="16"/>
    </row>
    <row r="14" spans="1:11" ht="15" x14ac:dyDescent="0.25">
      <c r="A14" s="18" t="s">
        <v>294</v>
      </c>
      <c r="B14" s="18"/>
      <c r="C14" s="18"/>
      <c r="D14" s="18"/>
      <c r="E14" s="18"/>
      <c r="F14" s="18"/>
      <c r="G14" s="18"/>
      <c r="H14" s="18"/>
      <c r="I14" s="18"/>
      <c r="J14" s="20">
        <f>(Source!F99)/1000</f>
        <v>95.319609999999997</v>
      </c>
      <c r="K14" s="19" t="s">
        <v>292</v>
      </c>
    </row>
    <row r="15" spans="1:11" ht="15" x14ac:dyDescent="0.25">
      <c r="A15" s="18" t="s">
        <v>295</v>
      </c>
      <c r="B15" s="18"/>
      <c r="C15" s="18"/>
      <c r="D15" s="18"/>
      <c r="E15" s="18"/>
      <c r="F15" s="18"/>
      <c r="G15" s="18"/>
      <c r="H15" s="18"/>
      <c r="I15" s="18"/>
      <c r="J15" s="20">
        <f>(Source!F100)/1000</f>
        <v>455.15770000000003</v>
      </c>
      <c r="K15" s="19" t="s">
        <v>292</v>
      </c>
    </row>
    <row r="16" spans="1:11" ht="15" hidden="1" x14ac:dyDescent="0.25">
      <c r="A16" s="18" t="s">
        <v>296</v>
      </c>
      <c r="B16" s="18"/>
      <c r="C16" s="18"/>
      <c r="D16" s="18"/>
      <c r="E16" s="18"/>
      <c r="F16" s="18"/>
      <c r="G16" s="18"/>
      <c r="H16" s="18"/>
      <c r="I16" s="18"/>
      <c r="J16" s="20">
        <f>(Source!F91)/1000</f>
        <v>0</v>
      </c>
      <c r="K16" s="19" t="s">
        <v>292</v>
      </c>
    </row>
    <row r="17" spans="1:26" ht="15" x14ac:dyDescent="0.25">
      <c r="A17" s="18" t="s">
        <v>297</v>
      </c>
      <c r="B17" s="18"/>
      <c r="C17" s="18"/>
      <c r="D17" s="18"/>
      <c r="E17" s="18"/>
      <c r="F17" s="18"/>
      <c r="G17" s="18"/>
      <c r="H17" s="18"/>
      <c r="I17" s="18"/>
      <c r="J17" s="20">
        <f>(Source!F101+Source!F102)/1000</f>
        <v>351.44003000000004</v>
      </c>
      <c r="K17" s="19" t="s">
        <v>292</v>
      </c>
    </row>
    <row r="18" spans="1:26" ht="15" x14ac:dyDescent="0.25">
      <c r="A18" s="18" t="s">
        <v>298</v>
      </c>
      <c r="B18" s="18"/>
      <c r="C18" s="18"/>
      <c r="D18" s="18"/>
      <c r="E18" s="18"/>
      <c r="F18" s="18"/>
      <c r="G18" s="18"/>
      <c r="H18" s="18"/>
      <c r="I18" s="18"/>
      <c r="J18" s="20">
        <f>(Source!F104+Source!F105)</f>
        <v>670.60034600000006</v>
      </c>
      <c r="K18" s="19" t="s">
        <v>299</v>
      </c>
    </row>
    <row r="19" spans="1:26" ht="15" x14ac:dyDescent="0.25">
      <c r="A19" s="18" t="s">
        <v>300</v>
      </c>
      <c r="B19" s="18"/>
      <c r="C19" s="18"/>
      <c r="D19" s="18"/>
      <c r="E19" s="18"/>
      <c r="F19" s="18"/>
      <c r="G19" s="18"/>
      <c r="H19" s="18"/>
      <c r="I19" s="18"/>
      <c r="J19" s="20">
        <f>(Source!F97+ Source!F96)/1000</f>
        <v>330.62189000000001</v>
      </c>
      <c r="K19" s="19" t="s">
        <v>292</v>
      </c>
    </row>
    <row r="20" spans="1:26" ht="15" x14ac:dyDescent="0.25">
      <c r="A20" s="14" t="s">
        <v>301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26" ht="15" x14ac:dyDescent="0.2">
      <c r="A21" s="66" t="s">
        <v>302</v>
      </c>
      <c r="B21" s="66" t="s">
        <v>303</v>
      </c>
      <c r="C21" s="66" t="s">
        <v>304</v>
      </c>
      <c r="D21" s="66" t="s">
        <v>305</v>
      </c>
      <c r="E21" s="67" t="s">
        <v>306</v>
      </c>
      <c r="F21" s="68"/>
      <c r="G21" s="67" t="s">
        <v>307</v>
      </c>
      <c r="H21" s="69"/>
      <c r="I21" s="68"/>
      <c r="J21" s="67" t="s">
        <v>308</v>
      </c>
      <c r="K21" s="68"/>
    </row>
    <row r="22" spans="1:26" ht="15" x14ac:dyDescent="0.2">
      <c r="A22" s="70"/>
      <c r="B22" s="70"/>
      <c r="C22" s="70"/>
      <c r="D22" s="70"/>
      <c r="E22" s="66" t="s">
        <v>138</v>
      </c>
      <c r="F22" s="66" t="s">
        <v>309</v>
      </c>
      <c r="G22" s="66" t="s">
        <v>138</v>
      </c>
      <c r="H22" s="66" t="s">
        <v>310</v>
      </c>
      <c r="I22" s="66" t="s">
        <v>309</v>
      </c>
      <c r="J22" s="67" t="s">
        <v>311</v>
      </c>
      <c r="K22" s="68"/>
    </row>
    <row r="23" spans="1:26" ht="15" x14ac:dyDescent="0.2">
      <c r="A23" s="70"/>
      <c r="B23" s="70"/>
      <c r="C23" s="70"/>
      <c r="D23" s="70"/>
      <c r="E23" s="71"/>
      <c r="F23" s="71"/>
      <c r="G23" s="70"/>
      <c r="H23" s="70"/>
      <c r="I23" s="71"/>
      <c r="J23" s="67" t="s">
        <v>312</v>
      </c>
      <c r="K23" s="68"/>
    </row>
    <row r="24" spans="1:26" ht="30" x14ac:dyDescent="0.2">
      <c r="A24" s="71"/>
      <c r="B24" s="71"/>
      <c r="C24" s="71"/>
      <c r="D24" s="71"/>
      <c r="E24" s="72" t="s">
        <v>310</v>
      </c>
      <c r="F24" s="72" t="s">
        <v>313</v>
      </c>
      <c r="G24" s="71"/>
      <c r="H24" s="71"/>
      <c r="I24" s="72" t="s">
        <v>313</v>
      </c>
      <c r="J24" s="72" t="s">
        <v>314</v>
      </c>
      <c r="K24" s="72" t="s">
        <v>315</v>
      </c>
    </row>
    <row r="25" spans="1:26" ht="15" x14ac:dyDescent="0.2">
      <c r="A25" s="72">
        <v>1</v>
      </c>
      <c r="B25" s="72">
        <v>2</v>
      </c>
      <c r="C25" s="72">
        <v>3</v>
      </c>
      <c r="D25" s="72">
        <v>4</v>
      </c>
      <c r="E25" s="72">
        <v>5</v>
      </c>
      <c r="F25" s="72">
        <v>6</v>
      </c>
      <c r="G25" s="72">
        <v>7</v>
      </c>
      <c r="H25" s="72">
        <v>8</v>
      </c>
      <c r="I25" s="72">
        <v>9</v>
      </c>
      <c r="J25" s="72">
        <v>10</v>
      </c>
      <c r="K25" s="72">
        <v>11</v>
      </c>
    </row>
    <row r="26" spans="1:26" ht="1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26" ht="16.5" x14ac:dyDescent="0.25">
      <c r="A27" s="21" t="str">
        <f>CONCATENATE("Раздел ",IF(Source!G24&lt;&gt;"Новый раздел", Source!G24, ""))</f>
        <v>Раздел Ремонт кабельных линий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26" ht="53.25" x14ac:dyDescent="0.25">
      <c r="A28" s="25" t="str">
        <f>IF(Source!E28&lt;&gt;"", Source!E28, "")</f>
        <v>1</v>
      </c>
      <c r="B28" s="25" t="s">
        <v>317</v>
      </c>
      <c r="C28" s="25" t="str">
        <f>IF(Source!G28&lt;&gt;"", Source!G28, "")</f>
        <v>Разработка грунта вручную с креплениями в траншеях шириной до 2 м, глубиной до 2 м, группа грунтов 2</v>
      </c>
      <c r="D28" s="26">
        <f>Source!I28</f>
        <v>0.18</v>
      </c>
      <c r="E28" s="27">
        <f>IF(Source!AB28=0, " ", Source!AB28)</f>
        <v>4098.1342500000001</v>
      </c>
      <c r="F28" s="27" t="str">
        <f>IF(Source!AD28=0, " ", Source!AD28)</f>
        <v xml:space="preserve"> </v>
      </c>
      <c r="G28" s="28">
        <f>IF(Source!O28=0, " ", Source!O28)</f>
        <v>34923.75</v>
      </c>
      <c r="H28" s="28">
        <f>IF(Source!S28=0, " ", Source!S28)</f>
        <v>34923.75</v>
      </c>
      <c r="I28" s="28" t="str">
        <f>IF(Source!Q28=0, " ", Source!Q28)</f>
        <v xml:space="preserve"> </v>
      </c>
      <c r="J28" s="28">
        <f>IF(Source!AH28=0, " ", ROUND(Source!AH28,2))</f>
        <v>495.56</v>
      </c>
      <c r="K28" s="28">
        <f>IF(Source!U28=0, " ", ROUND(Source!U28,2))</f>
        <v>89.2</v>
      </c>
      <c r="T28">
        <f>Source!O28+Source!X28+Source!Y28</f>
        <v>67053.600000000006</v>
      </c>
      <c r="V28">
        <f>IF(Source!S28=0, " ", Source!S28)</f>
        <v>34923.75</v>
      </c>
      <c r="W28" t="str">
        <f>IF(Source!Q28=0, " ", Source!Q28)</f>
        <v xml:space="preserve"> </v>
      </c>
      <c r="X28" t="str">
        <f>IF(Source!R28=0, " ", Source!R28)</f>
        <v xml:space="preserve"> </v>
      </c>
      <c r="Y28">
        <f>IF(Source!U28=0, " ", ROUND(Source!U28,2))</f>
        <v>89.2</v>
      </c>
      <c r="Z28" t="str">
        <f>IF(Source!V28=0, " ", ROUND(Source!V28,2))</f>
        <v xml:space="preserve"> </v>
      </c>
    </row>
    <row r="29" spans="1:26" ht="15" x14ac:dyDescent="0.25">
      <c r="A29" s="22"/>
      <c r="B29" s="22"/>
      <c r="C29" s="29" t="str">
        <f>IF(Source!H28&lt;&gt;"", Source!H28, "")</f>
        <v>100 м3 грунта</v>
      </c>
      <c r="D29" s="30"/>
      <c r="E29" s="23">
        <f>IF(Source!AF28=0, " ", Source!AF28)</f>
        <v>4098.1342500000001</v>
      </c>
      <c r="F29" s="23" t="str">
        <f>IF(Source!AE28=0, " ", Source!AE28)</f>
        <v xml:space="preserve"> </v>
      </c>
      <c r="G29" s="30"/>
      <c r="H29" s="30"/>
      <c r="I29" s="24" t="str">
        <f>IF(Source!R28=0, " ", Source!R28)</f>
        <v xml:space="preserve"> </v>
      </c>
      <c r="J29" s="24" t="str">
        <f>IF(Source!AI28=0, " ", ROUND(Source!AI28,2))</f>
        <v xml:space="preserve"> </v>
      </c>
      <c r="K29" s="24" t="str">
        <f>IF(Source!V28=0, " ", ROUND(Source!V28,2))</f>
        <v xml:space="preserve"> </v>
      </c>
    </row>
    <row r="30" spans="1:26" x14ac:dyDescent="0.2">
      <c r="A30" s="9"/>
      <c r="B30" s="9"/>
      <c r="C30" s="31" t="str">
        <f>"Объем: "&amp;Source!I28&amp;"=18/"&amp;"100"</f>
        <v>Объем: 0,18=18/100</v>
      </c>
      <c r="D30" s="9"/>
      <c r="E30" s="9"/>
      <c r="F30" s="9"/>
      <c r="G30" s="9"/>
      <c r="H30" s="9"/>
      <c r="I30" s="9"/>
      <c r="J30" s="9"/>
      <c r="K30" s="9"/>
    </row>
    <row r="31" spans="1:26" ht="25.5" x14ac:dyDescent="0.2">
      <c r="A31" s="73"/>
      <c r="B31" s="73"/>
      <c r="C31" s="32" t="s">
        <v>316</v>
      </c>
      <c r="D31" s="73"/>
      <c r="E31" s="73"/>
      <c r="F31" s="73"/>
      <c r="G31" s="73"/>
      <c r="H31" s="73"/>
      <c r="I31" s="73"/>
      <c r="J31" s="73"/>
      <c r="K31" s="73"/>
    </row>
    <row r="32" spans="1:26" x14ac:dyDescent="0.2">
      <c r="A32" s="73"/>
      <c r="B32" s="73"/>
      <c r="C32" s="32" t="str">
        <f>Source!EO28</f>
        <v>Поправка: МДС 81-35.2004, прил.1, т.1, п.4</v>
      </c>
      <c r="D32" s="73"/>
      <c r="E32" s="73"/>
      <c r="F32" s="73"/>
      <c r="G32" s="73"/>
      <c r="H32" s="73"/>
      <c r="I32" s="73"/>
      <c r="J32" s="73"/>
      <c r="K32" s="73"/>
    </row>
    <row r="33" spans="1:26" ht="15" x14ac:dyDescent="0.2">
      <c r="A33" s="73"/>
      <c r="B33" s="73"/>
      <c r="C33" s="37" t="str">
        <f>CONCATENATE("НР ", Source!AT28, "%","=", Source!X28,";  СП ", Source!AU28, "%","=", Source!Y28)</f>
        <v>НР 61%=21303,49;  СП 31%=10826,36</v>
      </c>
      <c r="D33" s="38"/>
      <c r="E33" s="38"/>
      <c r="F33" s="38"/>
      <c r="G33" s="38"/>
      <c r="H33" s="38"/>
      <c r="I33" s="38"/>
      <c r="J33" s="38"/>
      <c r="K33" s="39"/>
    </row>
    <row r="34" spans="1:26" ht="14.25" x14ac:dyDescent="0.2">
      <c r="A34" s="73"/>
      <c r="B34" s="73"/>
      <c r="C34" s="43" t="s">
        <v>318</v>
      </c>
      <c r="D34" s="44"/>
      <c r="E34" s="44"/>
      <c r="F34" s="44"/>
      <c r="G34" s="45">
        <f>SUMIF(Source!AA28:'Source'!AA28, "=30528041", Source!GM28:'Source'!GM28)</f>
        <v>67053.600000000006</v>
      </c>
      <c r="H34" s="73"/>
      <c r="I34" s="73"/>
      <c r="J34" s="73"/>
      <c r="K34" s="73"/>
    </row>
    <row r="35" spans="1:26" ht="30" x14ac:dyDescent="0.25">
      <c r="A35" s="25" t="str">
        <f>IF(Source!E29&lt;&gt;"", Source!E29, "")</f>
        <v>2</v>
      </c>
      <c r="B35" s="25" t="s">
        <v>319</v>
      </c>
      <c r="C35" s="25" t="str">
        <f>IF(Source!G29&lt;&gt;"", Source!G29, "")</f>
        <v>Засыпка вручную траншей, пазух котлованов и ям, группа грунтов 2</v>
      </c>
      <c r="D35" s="26">
        <f>Source!I29</f>
        <v>0.18</v>
      </c>
      <c r="E35" s="27">
        <f>IF(Source!AB29=0, " ", Source!AB29)</f>
        <v>1895.4</v>
      </c>
      <c r="F35" s="27" t="str">
        <f>IF(Source!AD29=0, " ", Source!AD29)</f>
        <v xml:space="preserve"> </v>
      </c>
      <c r="G35" s="28">
        <f>IF(Source!O29=0, " ", Source!O29)</f>
        <v>14721.88</v>
      </c>
      <c r="H35" s="28">
        <f>IF(Source!S29=0, " ", Source!S29)</f>
        <v>14721.88</v>
      </c>
      <c r="I35" s="28" t="str">
        <f>IF(Source!Q29=0, " ", Source!Q29)</f>
        <v xml:space="preserve"> </v>
      </c>
      <c r="J35" s="28">
        <f>IF(Source!AH29=0, " ", ROUND(Source!AH29,2))</f>
        <v>254.66</v>
      </c>
      <c r="K35" s="28">
        <f>IF(Source!U29=0, " ", ROUND(Source!U29,2))</f>
        <v>45.84</v>
      </c>
      <c r="T35">
        <f>Source!O29+Source!X29+Source!Y29</f>
        <v>28266.01</v>
      </c>
      <c r="V35">
        <f>IF(Source!S29=0, " ", Source!S29)</f>
        <v>14721.88</v>
      </c>
      <c r="W35" t="str">
        <f>IF(Source!Q29=0, " ", Source!Q29)</f>
        <v xml:space="preserve"> </v>
      </c>
      <c r="X35" t="str">
        <f>IF(Source!R29=0, " ", Source!R29)</f>
        <v xml:space="preserve"> </v>
      </c>
      <c r="Y35">
        <f>IF(Source!U29=0, " ", ROUND(Source!U29,2))</f>
        <v>45.84</v>
      </c>
      <c r="Z35" t="str">
        <f>IF(Source!V29=0, " ", ROUND(Source!V29,2))</f>
        <v xml:space="preserve"> </v>
      </c>
    </row>
    <row r="36" spans="1:26" ht="15" x14ac:dyDescent="0.25">
      <c r="A36" s="22"/>
      <c r="B36" s="22"/>
      <c r="C36" s="29" t="str">
        <f>IF(Source!H29&lt;&gt;"", Source!H29, "")</f>
        <v>100 м3 грунта</v>
      </c>
      <c r="D36" s="30"/>
      <c r="E36" s="23">
        <f>IF(Source!AF29=0, " ", Source!AF29)</f>
        <v>1895.4</v>
      </c>
      <c r="F36" s="23" t="str">
        <f>IF(Source!AE29=0, " ", Source!AE29)</f>
        <v xml:space="preserve"> </v>
      </c>
      <c r="G36" s="30"/>
      <c r="H36" s="30"/>
      <c r="I36" s="24" t="str">
        <f>IF(Source!R29=0, " ", Source!R29)</f>
        <v xml:space="preserve"> </v>
      </c>
      <c r="J36" s="24" t="str">
        <f>IF(Source!AI29=0, " ", ROUND(Source!AI29,2))</f>
        <v xml:space="preserve"> </v>
      </c>
      <c r="K36" s="24" t="str">
        <f>IF(Source!V29=0, " ", ROUND(Source!V29,2))</f>
        <v xml:space="preserve"> </v>
      </c>
    </row>
    <row r="37" spans="1:26" x14ac:dyDescent="0.2">
      <c r="A37" s="9"/>
      <c r="B37" s="9"/>
      <c r="C37" s="31" t="str">
        <f>"Объем: "&amp;Source!I29&amp;"=18/"&amp;"100"</f>
        <v>Объем: 0,18=18/100</v>
      </c>
      <c r="D37" s="9"/>
      <c r="E37" s="9"/>
      <c r="F37" s="9"/>
      <c r="G37" s="9"/>
      <c r="H37" s="9"/>
      <c r="I37" s="9"/>
      <c r="J37" s="9"/>
      <c r="K37" s="9"/>
    </row>
    <row r="38" spans="1:26" ht="25.5" x14ac:dyDescent="0.2">
      <c r="A38" s="73"/>
      <c r="B38" s="73"/>
      <c r="C38" s="32" t="s">
        <v>320</v>
      </c>
      <c r="D38" s="73"/>
      <c r="E38" s="73"/>
      <c r="F38" s="73"/>
      <c r="G38" s="73"/>
      <c r="H38" s="73"/>
      <c r="I38" s="73"/>
      <c r="J38" s="73"/>
      <c r="K38" s="73"/>
    </row>
    <row r="39" spans="1:26" ht="15" x14ac:dyDescent="0.2">
      <c r="A39" s="73"/>
      <c r="B39" s="73"/>
      <c r="C39" s="37" t="str">
        <f>CONCATENATE("НР ", Source!AT29, "%","=", Source!X29,";  СП ", Source!AU29, "%","=", Source!Y29)</f>
        <v>НР 61%=8980,35;  СП 31%=4563,78</v>
      </c>
      <c r="D39" s="38"/>
      <c r="E39" s="38"/>
      <c r="F39" s="38"/>
      <c r="G39" s="38"/>
      <c r="H39" s="38"/>
      <c r="I39" s="38"/>
      <c r="J39" s="38"/>
      <c r="K39" s="39"/>
    </row>
    <row r="40" spans="1:26" ht="14.25" x14ac:dyDescent="0.2">
      <c r="A40" s="73"/>
      <c r="B40" s="73"/>
      <c r="C40" s="43" t="s">
        <v>318</v>
      </c>
      <c r="D40" s="44"/>
      <c r="E40" s="44"/>
      <c r="F40" s="44"/>
      <c r="G40" s="45">
        <f>SUMIF(Source!AA29:'Source'!AA29, "=30528041", Source!GM29:'Source'!GM29)</f>
        <v>28266.01</v>
      </c>
      <c r="H40" s="73"/>
      <c r="I40" s="73"/>
      <c r="J40" s="73"/>
      <c r="K40" s="73"/>
    </row>
    <row r="41" spans="1:26" ht="45" x14ac:dyDescent="0.25">
      <c r="A41" s="25" t="str">
        <f>IF(Source!E30&lt;&gt;"", Source!E30, "")</f>
        <v>3</v>
      </c>
      <c r="B41" s="25" t="s">
        <v>321</v>
      </c>
      <c r="C41" s="25" t="str">
        <f>IF(Source!G30&lt;&gt;"", Source!G30, "")</f>
        <v>Поиск и определение места повреждения кабеля с прожигом, длина кабеля до 1000 м</v>
      </c>
      <c r="D41" s="26">
        <f>Source!I30</f>
        <v>1</v>
      </c>
      <c r="E41" s="27">
        <f>IF(Source!AB30=0, " ", Source!AB30)</f>
        <v>1120.1759999999999</v>
      </c>
      <c r="F41" s="27" t="str">
        <f>IF(Source!AD30=0, " ", Source!AD30)</f>
        <v xml:space="preserve"> </v>
      </c>
      <c r="G41" s="28">
        <f>IF(Source!O30=0, " ", Source!O30)</f>
        <v>50489.24</v>
      </c>
      <c r="H41" s="28">
        <f>IF(Source!S30=0, " ", Source!S30)</f>
        <v>50489.24</v>
      </c>
      <c r="I41" s="28" t="str">
        <f>IF(Source!Q30=0, " ", Source!Q30)</f>
        <v xml:space="preserve"> </v>
      </c>
      <c r="J41" s="28">
        <f>IF(Source!AH30=0, " ", ROUND(Source!AH30,2))</f>
        <v>86.51</v>
      </c>
      <c r="K41" s="28">
        <f>IF(Source!U30=0, " ", ROUND(Source!U30,2))</f>
        <v>86.51</v>
      </c>
      <c r="T41">
        <f>Source!O30+Source!X30+Source!Y30</f>
        <v>94414.88</v>
      </c>
      <c r="V41">
        <f>IF(Source!S30=0, " ", Source!S30)</f>
        <v>50489.24</v>
      </c>
      <c r="W41" t="str">
        <f>IF(Source!Q30=0, " ", Source!Q30)</f>
        <v xml:space="preserve"> </v>
      </c>
      <c r="X41" t="str">
        <f>IF(Source!R30=0, " ", Source!R30)</f>
        <v xml:space="preserve"> </v>
      </c>
      <c r="Y41">
        <f>IF(Source!U30=0, " ", ROUND(Source!U30,2))</f>
        <v>86.51</v>
      </c>
      <c r="Z41" t="str">
        <f>IF(Source!V30=0, " ", ROUND(Source!V30,2))</f>
        <v xml:space="preserve"> </v>
      </c>
    </row>
    <row r="42" spans="1:26" ht="15" x14ac:dyDescent="0.25">
      <c r="A42" s="22"/>
      <c r="B42" s="22"/>
      <c r="C42" s="29" t="str">
        <f>IF(Source!H30&lt;&gt;"", Source!H30, "")</f>
        <v>1 кабель</v>
      </c>
      <c r="D42" s="30"/>
      <c r="E42" s="23">
        <f>IF(Source!AF30=0, " ", Source!AF30)</f>
        <v>1120.1759999999999</v>
      </c>
      <c r="F42" s="23" t="str">
        <f>IF(Source!AE30=0, " ", Source!AE30)</f>
        <v xml:space="preserve"> </v>
      </c>
      <c r="G42" s="30"/>
      <c r="H42" s="30"/>
      <c r="I42" s="24" t="str">
        <f>IF(Source!R30=0, " ", Source!R30)</f>
        <v xml:space="preserve"> </v>
      </c>
      <c r="J42" s="24" t="str">
        <f>IF(Source!AI30=0, " ", ROUND(Source!AI30,2))</f>
        <v xml:space="preserve"> </v>
      </c>
      <c r="K42" s="24" t="str">
        <f>IF(Source!V30=0, " ", ROUND(Source!V30,2))</f>
        <v xml:space="preserve"> </v>
      </c>
    </row>
    <row r="43" spans="1:26" ht="25.5" x14ac:dyDescent="0.2">
      <c r="A43" s="73"/>
      <c r="B43" s="73"/>
      <c r="C43" s="32" t="s">
        <v>322</v>
      </c>
      <c r="D43" s="73"/>
      <c r="E43" s="73"/>
      <c r="F43" s="73"/>
      <c r="G43" s="73"/>
      <c r="H43" s="73"/>
      <c r="I43" s="73"/>
      <c r="J43" s="73"/>
      <c r="K43" s="73"/>
    </row>
    <row r="44" spans="1:26" ht="15" x14ac:dyDescent="0.2">
      <c r="A44" s="73"/>
      <c r="B44" s="73"/>
      <c r="C44" s="37" t="str">
        <f>CONCATENATE("НР ", Source!AT30, "%","=", Source!X30,";  СП ", Source!AU30, "%","=", Source!Y30)</f>
        <v>НР 55%=27769,08;  СП 32%=16156,56</v>
      </c>
      <c r="D44" s="38"/>
      <c r="E44" s="38"/>
      <c r="F44" s="38"/>
      <c r="G44" s="38"/>
      <c r="H44" s="38"/>
      <c r="I44" s="38"/>
      <c r="J44" s="38"/>
      <c r="K44" s="39"/>
    </row>
    <row r="45" spans="1:26" ht="14.25" x14ac:dyDescent="0.2">
      <c r="A45" s="73"/>
      <c r="B45" s="73"/>
      <c r="C45" s="43" t="s">
        <v>318</v>
      </c>
      <c r="D45" s="44"/>
      <c r="E45" s="44"/>
      <c r="F45" s="44"/>
      <c r="G45" s="45">
        <f>SUMIF(Source!AA30:'Source'!AA30, "=30528041", Source!GM30:'Source'!GM30)</f>
        <v>94414.88</v>
      </c>
      <c r="H45" s="73"/>
      <c r="I45" s="73"/>
      <c r="J45" s="73"/>
      <c r="K45" s="73"/>
    </row>
    <row r="46" spans="1:26" ht="60" x14ac:dyDescent="0.25">
      <c r="A46" s="25" t="str">
        <f>IF(Source!E31&lt;&gt;"", Source!E31, "")</f>
        <v>4</v>
      </c>
      <c r="B46" s="25" t="s">
        <v>323</v>
      </c>
      <c r="C46" s="25" t="str">
        <f>IF(Source!G31&lt;&gt;"", Source!G31, "")</f>
        <v>Поиск и определение места повреждения кабеля с прожигом, длина кабеля за каждые последующие 500 м добавлять к расценке 01-11-001-02</v>
      </c>
      <c r="D46" s="26">
        <f>Source!I31</f>
        <v>6.46</v>
      </c>
      <c r="E46" s="27">
        <f>IF(Source!AB31=0, " ", Source!AB31)</f>
        <v>448.44479999999999</v>
      </c>
      <c r="F46" s="27" t="str">
        <f>IF(Source!AD31=0, " ", Source!AD31)</f>
        <v xml:space="preserve"> </v>
      </c>
      <c r="G46" s="28">
        <f>IF(Source!O31=0, " ", Source!O31)</f>
        <v>106786.63</v>
      </c>
      <c r="H46" s="28">
        <f>IF(Source!S31=0, " ", Source!S31)</f>
        <v>106786.63</v>
      </c>
      <c r="I46" s="28" t="str">
        <f>IF(Source!Q31=0, " ", Source!Q31)</f>
        <v xml:space="preserve"> </v>
      </c>
      <c r="J46" s="28">
        <f>IF(Source!AH31=0, " ", ROUND(Source!AH31,2))</f>
        <v>26.87</v>
      </c>
      <c r="K46" s="28">
        <f>IF(Source!U31=0, " ", ROUND(Source!U31,2))</f>
        <v>173.6</v>
      </c>
      <c r="T46">
        <f>Source!O31+Source!X31+Source!Y31</f>
        <v>199691</v>
      </c>
      <c r="V46">
        <f>IF(Source!S31=0, " ", Source!S31)</f>
        <v>106786.63</v>
      </c>
      <c r="W46" t="str">
        <f>IF(Source!Q31=0, " ", Source!Q31)</f>
        <v xml:space="preserve"> </v>
      </c>
      <c r="X46" t="str">
        <f>IF(Source!R31=0, " ", Source!R31)</f>
        <v xml:space="preserve"> </v>
      </c>
      <c r="Y46">
        <f>IF(Source!U31=0, " ", ROUND(Source!U31,2))</f>
        <v>173.6</v>
      </c>
      <c r="Z46" t="str">
        <f>IF(Source!V31=0, " ", ROUND(Source!V31,2))</f>
        <v xml:space="preserve"> </v>
      </c>
    </row>
    <row r="47" spans="1:26" ht="15" x14ac:dyDescent="0.25">
      <c r="A47" s="22"/>
      <c r="B47" s="22"/>
      <c r="C47" s="29" t="str">
        <f>IF(Source!H31&lt;&gt;"", Source!H31, "")</f>
        <v>500 м кабеля</v>
      </c>
      <c r="D47" s="30"/>
      <c r="E47" s="23">
        <f>IF(Source!AF31=0, " ", Source!AF31)</f>
        <v>448.44479999999999</v>
      </c>
      <c r="F47" s="23" t="str">
        <f>IF(Source!AE31=0, " ", Source!AE31)</f>
        <v xml:space="preserve"> </v>
      </c>
      <c r="G47" s="30"/>
      <c r="H47" s="30"/>
      <c r="I47" s="24" t="str">
        <f>IF(Source!R31=0, " ", Source!R31)</f>
        <v xml:space="preserve"> </v>
      </c>
      <c r="J47" s="24" t="str">
        <f>IF(Source!AI31=0, " ", ROUND(Source!AI31,2))</f>
        <v xml:space="preserve"> </v>
      </c>
      <c r="K47" s="24" t="str">
        <f>IF(Source!V31=0, " ", ROUND(Source!V31,2))</f>
        <v xml:space="preserve"> </v>
      </c>
    </row>
    <row r="48" spans="1:26" x14ac:dyDescent="0.2">
      <c r="A48" s="9"/>
      <c r="B48" s="9"/>
      <c r="C48" s="31" t="str">
        <f>"Объем: "&amp;Source!I31&amp;"=3230/"&amp;"500"</f>
        <v>Объем: 6,46=3230/500</v>
      </c>
      <c r="D48" s="9"/>
      <c r="E48" s="9"/>
      <c r="F48" s="9"/>
      <c r="G48" s="9"/>
      <c r="H48" s="9"/>
      <c r="I48" s="9"/>
      <c r="J48" s="9"/>
      <c r="K48" s="9"/>
    </row>
    <row r="49" spans="1:26" ht="25.5" x14ac:dyDescent="0.2">
      <c r="A49" s="73"/>
      <c r="B49" s="73"/>
      <c r="C49" s="32" t="s">
        <v>324</v>
      </c>
      <c r="D49" s="73"/>
      <c r="E49" s="73"/>
      <c r="F49" s="73"/>
      <c r="G49" s="73"/>
      <c r="H49" s="73"/>
      <c r="I49" s="73"/>
      <c r="J49" s="73"/>
      <c r="K49" s="73"/>
    </row>
    <row r="50" spans="1:26" ht="15" x14ac:dyDescent="0.2">
      <c r="A50" s="73"/>
      <c r="B50" s="73"/>
      <c r="C50" s="37" t="str">
        <f>CONCATENATE("НР ", Source!AT31, "%","=", Source!X31,";  СП ", Source!AU31, "%","=", Source!Y31)</f>
        <v>НР 55%=58732,65;  СП 32%=34171,72</v>
      </c>
      <c r="D50" s="38"/>
      <c r="E50" s="38"/>
      <c r="F50" s="38"/>
      <c r="G50" s="38"/>
      <c r="H50" s="38"/>
      <c r="I50" s="38"/>
      <c r="J50" s="38"/>
      <c r="K50" s="39"/>
    </row>
    <row r="51" spans="1:26" ht="14.25" x14ac:dyDescent="0.2">
      <c r="A51" s="73"/>
      <c r="B51" s="73"/>
      <c r="C51" s="43" t="s">
        <v>318</v>
      </c>
      <c r="D51" s="44"/>
      <c r="E51" s="44"/>
      <c r="F51" s="44"/>
      <c r="G51" s="45">
        <f>SUMIF(Source!AA31:'Source'!AA31, "=30528041", Source!GM31:'Source'!GM31)</f>
        <v>199691</v>
      </c>
      <c r="H51" s="73"/>
      <c r="I51" s="73"/>
      <c r="J51" s="73"/>
      <c r="K51" s="73"/>
    </row>
    <row r="52" spans="1:26" ht="75" x14ac:dyDescent="0.25">
      <c r="A52" s="25" t="str">
        <f>IF(Source!E32&lt;&gt;"", Source!E32, "")</f>
        <v>5</v>
      </c>
      <c r="B52" s="25" t="s">
        <v>325</v>
      </c>
      <c r="C52" s="25" t="str">
        <f>IF(Source!G32&lt;&gt;"", Source!G32, "")</f>
        <v>Муфта концевая из пластмассового корпуса с заливкой эпоксидным компаундом для 3-жильного кабеля напряжением до 35 кВ, сечение жил до 120 мм2</v>
      </c>
      <c r="D52" s="26">
        <f>Source!I32</f>
        <v>6</v>
      </c>
      <c r="E52" s="27">
        <f>IF(Source!AB32=0, " ", Source!AB32)</f>
        <v>315.53649999999999</v>
      </c>
      <c r="F52" s="27" t="str">
        <f>IF(Source!AD32=0, " ", Source!AD32)</f>
        <v xml:space="preserve"> </v>
      </c>
      <c r="G52" s="28">
        <f>IF(Source!O32=0, " ", Source!O32)</f>
        <v>89220.04</v>
      </c>
      <c r="H52" s="28">
        <f>IF(Source!S32=0, " ", Source!S32)</f>
        <v>85796.38</v>
      </c>
      <c r="I52" s="28" t="str">
        <f>IF(Source!Q32=0, " ", Source!Q32)</f>
        <v xml:space="preserve"> </v>
      </c>
      <c r="J52" s="28">
        <f>IF(Source!AH32=0, " ", ROUND(Source!AH32,2))</f>
        <v>30.21</v>
      </c>
      <c r="K52" s="28">
        <f>IF(Source!U32=0, " ", ROUND(Source!U32,2))</f>
        <v>181.25</v>
      </c>
      <c r="T52">
        <f>Source!O32+Source!X32+Source!Y32</f>
        <v>203329.22999999998</v>
      </c>
      <c r="V52">
        <f>IF(Source!S32=0, " ", Source!S32)</f>
        <v>85796.38</v>
      </c>
      <c r="W52" t="str">
        <f>IF(Source!Q32=0, " ", Source!Q32)</f>
        <v xml:space="preserve"> </v>
      </c>
      <c r="X52" t="str">
        <f>IF(Source!R32=0, " ", Source!R32)</f>
        <v xml:space="preserve"> </v>
      </c>
      <c r="Y52">
        <f>IF(Source!U32=0, " ", ROUND(Source!U32,2))</f>
        <v>181.25</v>
      </c>
      <c r="Z52" t="str">
        <f>IF(Source!V32=0, " ", ROUND(Source!V32,2))</f>
        <v xml:space="preserve"> </v>
      </c>
    </row>
    <row r="53" spans="1:26" ht="15" x14ac:dyDescent="0.25">
      <c r="A53" s="22"/>
      <c r="B53" s="22"/>
      <c r="C53" s="29" t="str">
        <f>IF(Source!H32&lt;&gt;"", Source!H32, "")</f>
        <v>1 оконцевание (3 муфты)</v>
      </c>
      <c r="D53" s="30"/>
      <c r="E53" s="23">
        <f>IF(Source!AF32=0, " ", Source!AF32)</f>
        <v>283.22199999999998</v>
      </c>
      <c r="F53" s="23" t="str">
        <f>IF(Source!AE32=0, " ", Source!AE32)</f>
        <v xml:space="preserve"> </v>
      </c>
      <c r="G53" s="30"/>
      <c r="H53" s="30"/>
      <c r="I53" s="24" t="str">
        <f>IF(Source!R32=0, " ", Source!R32)</f>
        <v xml:space="preserve"> </v>
      </c>
      <c r="J53" s="24" t="str">
        <f>IF(Source!AI32=0, " ", ROUND(Source!AI32,2))</f>
        <v xml:space="preserve"> </v>
      </c>
      <c r="K53" s="24" t="str">
        <f>IF(Source!V32=0, " ", ROUND(Source!V32,2))</f>
        <v xml:space="preserve"> </v>
      </c>
    </row>
    <row r="54" spans="1:26" ht="25.5" x14ac:dyDescent="0.2">
      <c r="A54" s="73"/>
      <c r="B54" s="73"/>
      <c r="C54" s="32" t="s">
        <v>326</v>
      </c>
      <c r="D54" s="73"/>
      <c r="E54" s="73"/>
      <c r="F54" s="73"/>
      <c r="G54" s="73"/>
      <c r="H54" s="73"/>
      <c r="I54" s="73"/>
      <c r="J54" s="73"/>
      <c r="K54" s="73"/>
    </row>
    <row r="55" spans="1:26" ht="15" x14ac:dyDescent="0.2">
      <c r="A55" s="33"/>
      <c r="B55" s="33"/>
      <c r="C55" s="34" t="str">
        <f>CONCATENATE("НР ", Source!AT32, "%","=", Source!X32,";  СП ", Source!AU32, "%","=", Source!Y32)</f>
        <v>НР 81%=69495,07;  СП 52%=44614,12</v>
      </c>
      <c r="D55" s="35"/>
      <c r="E55" s="35"/>
      <c r="F55" s="35"/>
      <c r="G55" s="35"/>
      <c r="H55" s="35"/>
      <c r="I55" s="35"/>
      <c r="J55" s="35"/>
      <c r="K55" s="36"/>
    </row>
    <row r="56" spans="1:26" ht="75" x14ac:dyDescent="0.25">
      <c r="A56" s="46" t="str">
        <f>Source!E33</f>
        <v>5,1</v>
      </c>
      <c r="B56" s="47" t="s">
        <v>327</v>
      </c>
      <c r="C56" s="49" t="str">
        <f>Source!G33</f>
        <v>Муфта термоусаживаемая соединительная для кабеля с полиэтиленовой или бумажной изоляцией на напряжение до 10 кВ, марки СТп-10-3х(70-120) мм2</v>
      </c>
      <c r="D56" s="50">
        <f>Source!I33</f>
        <v>6</v>
      </c>
      <c r="E56" s="51">
        <f>Source!AB33</f>
        <v>1887.8423</v>
      </c>
      <c r="F56" s="47"/>
      <c r="G56" s="52">
        <f>Source!O33</f>
        <v>141891.74</v>
      </c>
      <c r="H56" s="47"/>
      <c r="I56" s="47"/>
      <c r="J56" s="47"/>
      <c r="K56" s="48"/>
      <c r="T56" s="53">
        <f>G56</f>
        <v>141891.74</v>
      </c>
    </row>
    <row r="57" spans="1:26" ht="15" x14ac:dyDescent="0.25">
      <c r="A57" s="54"/>
      <c r="B57" s="55"/>
      <c r="C57" s="55" t="str">
        <f>Source!H33</f>
        <v>шт.</v>
      </c>
      <c r="D57" s="55"/>
      <c r="E57" s="55"/>
      <c r="F57" s="55"/>
      <c r="G57" s="55"/>
      <c r="H57" s="55"/>
      <c r="I57" s="55"/>
      <c r="J57" s="55"/>
      <c r="K57" s="56"/>
    </row>
    <row r="58" spans="1:26" ht="14.25" x14ac:dyDescent="0.2">
      <c r="A58" s="73"/>
      <c r="B58" s="73"/>
      <c r="C58" s="43" t="s">
        <v>318</v>
      </c>
      <c r="D58" s="44"/>
      <c r="E58" s="44"/>
      <c r="F58" s="44"/>
      <c r="G58" s="45">
        <f>SUMIF(Source!AA32:'Source'!AA33, "=30528041", Source!GM32:'Source'!GM33)</f>
        <v>345220.97</v>
      </c>
      <c r="H58" s="73"/>
      <c r="I58" s="73"/>
      <c r="J58" s="73"/>
      <c r="K58" s="73"/>
    </row>
    <row r="59" spans="1:26" ht="30" x14ac:dyDescent="0.25">
      <c r="A59" s="25" t="str">
        <f>IF(Source!E34&lt;&gt;"", Source!E34, "")</f>
        <v>6</v>
      </c>
      <c r="B59" s="25" t="s">
        <v>328</v>
      </c>
      <c r="C59" s="25" t="str">
        <f>IF(Source!G34&lt;&gt;"", Source!G34, "")</f>
        <v>Кабель до 35 кВ в готовых траншеях без покрытий, масса 1 м до 6 кг</v>
      </c>
      <c r="D59" s="26">
        <f>Source!I34</f>
        <v>0.3</v>
      </c>
      <c r="E59" s="27">
        <f>IF(Source!AB34=0, " ", Source!AB34)</f>
        <v>1385.2775999999999</v>
      </c>
      <c r="F59" s="27">
        <f>IF(Source!AD34=0, " ", Source!AD34)</f>
        <v>773.85699999999997</v>
      </c>
      <c r="G59" s="28">
        <f>IF(Source!O34=0, " ", Source!O34)</f>
        <v>11536.47</v>
      </c>
      <c r="H59" s="28">
        <f>IF(Source!S34=0, " ", Source!S34)</f>
        <v>6697.23</v>
      </c>
      <c r="I59" s="28">
        <f>IF(Source!Q34=0, " ", Source!Q34)</f>
        <v>3840.39</v>
      </c>
      <c r="J59" s="28">
        <f>IF(Source!AH34=0, " ", ROUND(Source!AH34,2))</f>
        <v>48.31</v>
      </c>
      <c r="K59" s="28">
        <f>IF(Source!U34=0, " ", ROUND(Source!U34,2))</f>
        <v>14.49</v>
      </c>
      <c r="T59">
        <f>Source!O34+Source!X34+Source!Y34</f>
        <v>21171.040000000001</v>
      </c>
      <c r="V59">
        <f>IF(Source!S34=0, " ", Source!S34)</f>
        <v>6697.23</v>
      </c>
      <c r="W59">
        <f>IF(Source!Q34=0, " ", Source!Q34)</f>
        <v>3840.39</v>
      </c>
      <c r="X59">
        <f>IF(Source!R34=0, " ", Source!R34)</f>
        <v>546.80999999999995</v>
      </c>
      <c r="Y59">
        <f>IF(Source!U34=0, " ", ROUND(Source!U34,2))</f>
        <v>14.49</v>
      </c>
      <c r="Z59">
        <f>IF(Source!V34=0, " ", ROUND(Source!V34,2))</f>
        <v>0.85</v>
      </c>
    </row>
    <row r="60" spans="1:26" ht="15" x14ac:dyDescent="0.25">
      <c r="A60" s="22"/>
      <c r="B60" s="22"/>
      <c r="C60" s="29" t="str">
        <f>IF(Source!H34&lt;&gt;"", Source!H34, "")</f>
        <v>100 м кабеля</v>
      </c>
      <c r="D60" s="30"/>
      <c r="E60" s="23">
        <f>IF(Source!AF34=0, " ", Source!AF34)</f>
        <v>458.01209999999998</v>
      </c>
      <c r="F60" s="23">
        <f>IF(Source!AE34=0, " ", Source!AE34)</f>
        <v>42.4116</v>
      </c>
      <c r="G60" s="30"/>
      <c r="H60" s="30"/>
      <c r="I60" s="24">
        <f>IF(Source!R34=0, " ", Source!R34)</f>
        <v>546.80999999999995</v>
      </c>
      <c r="J60" s="24">
        <f>IF(Source!AI34=0, " ", ROUND(Source!AI34,2))</f>
        <v>2.82</v>
      </c>
      <c r="K60" s="24">
        <f>IF(Source!V34=0, " ", ROUND(Source!V34,2))</f>
        <v>0.85</v>
      </c>
    </row>
    <row r="61" spans="1:26" x14ac:dyDescent="0.2">
      <c r="A61" s="9"/>
      <c r="B61" s="9"/>
      <c r="C61" s="31" t="str">
        <f>"Объем: "&amp;Source!I34&amp;"=30/"&amp;"100"</f>
        <v>Объем: 0,3=30/100</v>
      </c>
      <c r="D61" s="9"/>
      <c r="E61" s="9"/>
      <c r="F61" s="9"/>
      <c r="G61" s="9"/>
      <c r="H61" s="9"/>
      <c r="I61" s="9"/>
      <c r="J61" s="9"/>
      <c r="K61" s="9"/>
    </row>
    <row r="62" spans="1:26" ht="25.5" x14ac:dyDescent="0.2">
      <c r="A62" s="73"/>
      <c r="B62" s="73"/>
      <c r="C62" s="32" t="s">
        <v>329</v>
      </c>
      <c r="D62" s="73"/>
      <c r="E62" s="73"/>
      <c r="F62" s="73"/>
      <c r="G62" s="73"/>
      <c r="H62" s="73"/>
      <c r="I62" s="73"/>
      <c r="J62" s="73"/>
      <c r="K62" s="73"/>
    </row>
    <row r="63" spans="1:26" ht="15" x14ac:dyDescent="0.2">
      <c r="A63" s="33"/>
      <c r="B63" s="33"/>
      <c r="C63" s="34" t="str">
        <f>CONCATENATE("НР ", Source!AT34, "%","=", Source!X34,";  СП ", Source!AU34, "%","=", Source!Y34)</f>
        <v>НР 81%=5867,67;  СП 52%=3766,9</v>
      </c>
      <c r="D63" s="35"/>
      <c r="E63" s="35"/>
      <c r="F63" s="35"/>
      <c r="G63" s="35"/>
      <c r="H63" s="35"/>
      <c r="I63" s="35"/>
      <c r="J63" s="35"/>
      <c r="K63" s="36"/>
    </row>
    <row r="64" spans="1:26" ht="75" x14ac:dyDescent="0.25">
      <c r="A64" s="46" t="str">
        <f>Source!E35</f>
        <v>6,1</v>
      </c>
      <c r="B64" s="47" t="s">
        <v>330</v>
      </c>
      <c r="C64" s="49" t="str">
        <f>Source!G35</f>
        <v>Кабели силовые на напряжение 6000 В для прокладке в земле с алюминиевыми жилами с двумя слоями пластмассовых лент марки:АСБ2лУ, с числом жил - 3 и сечением 95 мм2</v>
      </c>
      <c r="D64" s="50">
        <f>Source!I35</f>
        <v>0.03</v>
      </c>
      <c r="E64" s="51">
        <f>Source!AB35</f>
        <v>231649.28520000001</v>
      </c>
      <c r="F64" s="47"/>
      <c r="G64" s="52">
        <f>Source!O35</f>
        <v>88765.69</v>
      </c>
      <c r="H64" s="47"/>
      <c r="I64" s="47"/>
      <c r="J64" s="47"/>
      <c r="K64" s="48"/>
      <c r="T64" s="53">
        <f>G64</f>
        <v>88765.69</v>
      </c>
    </row>
    <row r="65" spans="1:26" ht="15" x14ac:dyDescent="0.25">
      <c r="A65" s="54"/>
      <c r="B65" s="55"/>
      <c r="C65" s="55" t="str">
        <f>Source!H35</f>
        <v>1000 м</v>
      </c>
      <c r="D65" s="55"/>
      <c r="E65" s="55"/>
      <c r="F65" s="55"/>
      <c r="G65" s="55"/>
      <c r="H65" s="55"/>
      <c r="I65" s="55"/>
      <c r="J65" s="55"/>
      <c r="K65" s="56"/>
    </row>
    <row r="66" spans="1:26" ht="14.25" x14ac:dyDescent="0.2">
      <c r="A66" s="73"/>
      <c r="B66" s="73"/>
      <c r="C66" s="43" t="s">
        <v>318</v>
      </c>
      <c r="D66" s="44"/>
      <c r="E66" s="44"/>
      <c r="F66" s="44"/>
      <c r="G66" s="45">
        <f>SUMIF(Source!AA34:'Source'!AA35, "=30528041", Source!GM34:'Source'!GM35)</f>
        <v>109936.73000000001</v>
      </c>
      <c r="H66" s="73"/>
      <c r="I66" s="73"/>
      <c r="J66" s="73"/>
      <c r="K66" s="73"/>
    </row>
    <row r="67" spans="1:26" ht="30" x14ac:dyDescent="0.25">
      <c r="A67" s="25" t="str">
        <f>IF(Source!E36&lt;&gt;"", Source!E36, "")</f>
        <v>7</v>
      </c>
      <c r="B67" s="25" t="s">
        <v>331</v>
      </c>
      <c r="C67" s="25" t="str">
        <f>IF(Source!G36&lt;&gt;"", Source!G36, "")</f>
        <v>Испытание кабеля силового длиной до 500 м напряжением до 10 кВ</v>
      </c>
      <c r="D67" s="26">
        <f>Source!I36</f>
        <v>4</v>
      </c>
      <c r="E67" s="27">
        <f>IF(Source!AB36=0, " ", Source!AB36)</f>
        <v>121.4696</v>
      </c>
      <c r="F67" s="27" t="str">
        <f>IF(Source!AD36=0, " ", Source!AD36)</f>
        <v xml:space="preserve"> </v>
      </c>
      <c r="G67" s="28">
        <f>IF(Source!O36=0, " ", Source!O36)</f>
        <v>18928.900000000001</v>
      </c>
      <c r="H67" s="28">
        <f>IF(Source!S36=0, " ", Source!S36)</f>
        <v>18928.900000000001</v>
      </c>
      <c r="I67" s="28" t="str">
        <f>IF(Source!Q36=0, " ", Source!Q36)</f>
        <v xml:space="preserve"> </v>
      </c>
      <c r="J67" s="28">
        <f>IF(Source!AH36=0, " ", ROUND(Source!AH36,2))</f>
        <v>13.8</v>
      </c>
      <c r="K67" s="28">
        <f>IF(Source!U36=0, " ", ROUND(Source!U36,2))</f>
        <v>55.21</v>
      </c>
      <c r="T67">
        <f>Source!O36+Source!X36+Source!Y36</f>
        <v>35397.050000000003</v>
      </c>
      <c r="V67">
        <f>IF(Source!S36=0, " ", Source!S36)</f>
        <v>18928.900000000001</v>
      </c>
      <c r="W67" t="str">
        <f>IF(Source!Q36=0, " ", Source!Q36)</f>
        <v xml:space="preserve"> </v>
      </c>
      <c r="X67" t="str">
        <f>IF(Source!R36=0, " ", Source!R36)</f>
        <v xml:space="preserve"> </v>
      </c>
      <c r="Y67">
        <f>IF(Source!U36=0, " ", ROUND(Source!U36,2))</f>
        <v>55.21</v>
      </c>
      <c r="Z67" t="str">
        <f>IF(Source!V36=0, " ", ROUND(Source!V36,2))</f>
        <v xml:space="preserve"> </v>
      </c>
    </row>
    <row r="68" spans="1:26" ht="15" x14ac:dyDescent="0.25">
      <c r="A68" s="22"/>
      <c r="B68" s="22"/>
      <c r="C68" s="29" t="str">
        <f>IF(Source!H36&lt;&gt;"", Source!H36, "")</f>
        <v>1 испытание</v>
      </c>
      <c r="D68" s="30"/>
      <c r="E68" s="23">
        <f>IF(Source!AF36=0, " ", Source!AF36)</f>
        <v>121.4696</v>
      </c>
      <c r="F68" s="23" t="str">
        <f>IF(Source!AE36=0, " ", Source!AE36)</f>
        <v xml:space="preserve"> </v>
      </c>
      <c r="G68" s="30"/>
      <c r="H68" s="30"/>
      <c r="I68" s="24" t="str">
        <f>IF(Source!R36=0, " ", Source!R36)</f>
        <v xml:space="preserve"> </v>
      </c>
      <c r="J68" s="24" t="str">
        <f>IF(Source!AI36=0, " ", ROUND(Source!AI36,2))</f>
        <v xml:space="preserve"> </v>
      </c>
      <c r="K68" s="24" t="str">
        <f>IF(Source!V36=0, " ", ROUND(Source!V36,2))</f>
        <v xml:space="preserve"> </v>
      </c>
    </row>
    <row r="69" spans="1:26" ht="25.5" x14ac:dyDescent="0.2">
      <c r="A69" s="73"/>
      <c r="B69" s="73"/>
      <c r="C69" s="32" t="s">
        <v>332</v>
      </c>
      <c r="D69" s="73"/>
      <c r="E69" s="73"/>
      <c r="F69" s="73"/>
      <c r="G69" s="73"/>
      <c r="H69" s="73"/>
      <c r="I69" s="73"/>
      <c r="J69" s="73"/>
      <c r="K69" s="73"/>
    </row>
    <row r="70" spans="1:26" ht="15" x14ac:dyDescent="0.2">
      <c r="A70" s="73"/>
      <c r="B70" s="73"/>
      <c r="C70" s="37" t="str">
        <f>CONCATENATE("НР ", Source!AT36, "%","=", Source!X36,";  СП ", Source!AU36, "%","=", Source!Y36)</f>
        <v>НР 55%=10410,9;  СП 32%=6057,25</v>
      </c>
      <c r="D70" s="38"/>
      <c r="E70" s="38"/>
      <c r="F70" s="38"/>
      <c r="G70" s="38"/>
      <c r="H70" s="38"/>
      <c r="I70" s="38"/>
      <c r="J70" s="38"/>
      <c r="K70" s="39"/>
    </row>
    <row r="71" spans="1:26" ht="14.25" x14ac:dyDescent="0.2">
      <c r="A71" s="73"/>
      <c r="B71" s="73"/>
      <c r="C71" s="43" t="s">
        <v>318</v>
      </c>
      <c r="D71" s="44"/>
      <c r="E71" s="44"/>
      <c r="F71" s="44"/>
      <c r="G71" s="45">
        <f>SUMIF(Source!AA36:'Source'!AA36, "=30528041", Source!GM36:'Source'!GM36)</f>
        <v>35397.050000000003</v>
      </c>
      <c r="H71" s="73"/>
      <c r="I71" s="73"/>
      <c r="J71" s="73"/>
      <c r="K71" s="73"/>
    </row>
    <row r="72" spans="1:26" ht="45" x14ac:dyDescent="0.25">
      <c r="A72" s="25" t="str">
        <f>IF(Source!E37&lt;&gt;"", Source!E37, "")</f>
        <v>8</v>
      </c>
      <c r="B72" s="25" t="s">
        <v>333</v>
      </c>
      <c r="C72" s="25" t="str">
        <f>IF(Source!G37&lt;&gt;"", Source!G37, "")</f>
        <v>За каждые последующие 500 м испытания силового кабеля напряжением до 10 кВ добавлять к расценке 01-12-027-01</v>
      </c>
      <c r="D72" s="26">
        <f>Source!I37</f>
        <v>4.46</v>
      </c>
      <c r="E72" s="27">
        <f>IF(Source!AB37=0, " ", Source!AB37)</f>
        <v>35.068199999999997</v>
      </c>
      <c r="F72" s="27" t="str">
        <f>IF(Source!AD37=0, " ", Source!AD37)</f>
        <v xml:space="preserve"> </v>
      </c>
      <c r="G72" s="28">
        <f>IF(Source!O37=0, " ", Source!O37)</f>
        <v>6830.95</v>
      </c>
      <c r="H72" s="28">
        <f>IF(Source!S37=0, " ", Source!S37)</f>
        <v>6830.95</v>
      </c>
      <c r="I72" s="28" t="str">
        <f>IF(Source!Q37=0, " ", Source!Q37)</f>
        <v xml:space="preserve"> </v>
      </c>
      <c r="J72" s="28">
        <f>IF(Source!AH37=0, " ", ROUND(Source!AH37,2))</f>
        <v>3.7</v>
      </c>
      <c r="K72" s="28">
        <f>IF(Source!U37=0, " ", ROUND(Source!U37,2))</f>
        <v>16.489999999999998</v>
      </c>
      <c r="T72">
        <f>Source!O37+Source!X37+Source!Y37</f>
        <v>12773.869999999999</v>
      </c>
      <c r="V72">
        <f>IF(Source!S37=0, " ", Source!S37)</f>
        <v>6830.95</v>
      </c>
      <c r="W72" t="str">
        <f>IF(Source!Q37=0, " ", Source!Q37)</f>
        <v xml:space="preserve"> </v>
      </c>
      <c r="X72" t="str">
        <f>IF(Source!R37=0, " ", Source!R37)</f>
        <v xml:space="preserve"> </v>
      </c>
      <c r="Y72">
        <f>IF(Source!U37=0, " ", ROUND(Source!U37,2))</f>
        <v>16.489999999999998</v>
      </c>
      <c r="Z72" t="str">
        <f>IF(Source!V37=0, " ", ROUND(Source!V37,2))</f>
        <v xml:space="preserve"> </v>
      </c>
    </row>
    <row r="73" spans="1:26" ht="15" x14ac:dyDescent="0.25">
      <c r="A73" s="22"/>
      <c r="B73" s="22"/>
      <c r="C73" s="29" t="str">
        <f>IF(Source!H37&lt;&gt;"", Source!H37, "")</f>
        <v>500 м кабеля</v>
      </c>
      <c r="D73" s="30"/>
      <c r="E73" s="23">
        <f>IF(Source!AF37=0, " ", Source!AF37)</f>
        <v>35.068199999999997</v>
      </c>
      <c r="F73" s="23" t="str">
        <f>IF(Source!AE37=0, " ", Source!AE37)</f>
        <v xml:space="preserve"> </v>
      </c>
      <c r="G73" s="30"/>
      <c r="H73" s="30"/>
      <c r="I73" s="24" t="str">
        <f>IF(Source!R37=0, " ", Source!R37)</f>
        <v xml:space="preserve"> </v>
      </c>
      <c r="J73" s="24" t="str">
        <f>IF(Source!AI37=0, " ", ROUND(Source!AI37,2))</f>
        <v xml:space="preserve"> </v>
      </c>
      <c r="K73" s="24" t="str">
        <f>IF(Source!V37=0, " ", ROUND(Source!V37,2))</f>
        <v xml:space="preserve"> </v>
      </c>
    </row>
    <row r="74" spans="1:26" x14ac:dyDescent="0.2">
      <c r="A74" s="9"/>
      <c r="B74" s="9"/>
      <c r="C74" s="31" t="str">
        <f>"Объем: "&amp;Source!I37&amp;"=2230/"&amp;"500"</f>
        <v>Объем: 4,46=2230/500</v>
      </c>
      <c r="D74" s="9"/>
      <c r="E74" s="9"/>
      <c r="F74" s="9"/>
      <c r="G74" s="9"/>
      <c r="H74" s="9"/>
      <c r="I74" s="9"/>
      <c r="J74" s="9"/>
      <c r="K74" s="9"/>
    </row>
    <row r="75" spans="1:26" ht="25.5" x14ac:dyDescent="0.2">
      <c r="A75" s="73"/>
      <c r="B75" s="73"/>
      <c r="C75" s="32" t="s">
        <v>334</v>
      </c>
      <c r="D75" s="73"/>
      <c r="E75" s="73"/>
      <c r="F75" s="73"/>
      <c r="G75" s="73"/>
      <c r="H75" s="73"/>
      <c r="I75" s="73"/>
      <c r="J75" s="73"/>
      <c r="K75" s="73"/>
    </row>
    <row r="76" spans="1:26" ht="15" x14ac:dyDescent="0.2">
      <c r="A76" s="73"/>
      <c r="B76" s="73"/>
      <c r="C76" s="37" t="str">
        <f>CONCATENATE("НР ", Source!AT37, "%","=", Source!X37,";  СП ", Source!AU37, "%","=", Source!Y37)</f>
        <v>НР 55%=3757,02;  СП 32%=2185,9</v>
      </c>
      <c r="D76" s="38"/>
      <c r="E76" s="38"/>
      <c r="F76" s="38"/>
      <c r="G76" s="38"/>
      <c r="H76" s="38"/>
      <c r="I76" s="38"/>
      <c r="J76" s="38"/>
      <c r="K76" s="39"/>
    </row>
    <row r="77" spans="1:26" ht="14.25" x14ac:dyDescent="0.2">
      <c r="A77" s="73"/>
      <c r="B77" s="73"/>
      <c r="C77" s="43" t="s">
        <v>318</v>
      </c>
      <c r="D77" s="44"/>
      <c r="E77" s="44"/>
      <c r="F77" s="44"/>
      <c r="G77" s="45">
        <f>SUMIF(Source!AA37:'Source'!AA37, "=30528041", Source!GM37:'Source'!GM37)</f>
        <v>12773.87</v>
      </c>
      <c r="H77" s="73"/>
      <c r="I77" s="73"/>
      <c r="J77" s="73"/>
      <c r="K77" s="73"/>
    </row>
    <row r="78" spans="1:26" ht="45" x14ac:dyDescent="0.25">
      <c r="A78" s="25" t="str">
        <f>IF(Source!E38&lt;&gt;"", Source!E38, "")</f>
        <v>9</v>
      </c>
      <c r="B78" s="25" t="s">
        <v>335</v>
      </c>
      <c r="C78" s="25" t="str">
        <f>IF(Source!G38&lt;&gt;"", Source!G38, "")</f>
        <v>Фазировка электрической линии или трансформатора с сетью напряжением свыше 1 кВ</v>
      </c>
      <c r="D78" s="26">
        <f>Source!I38</f>
        <v>2</v>
      </c>
      <c r="E78" s="27">
        <f>IF(Source!AB38=0, " ", Source!AB38)</f>
        <v>50.813000000000002</v>
      </c>
      <c r="F78" s="27" t="str">
        <f>IF(Source!AD38=0, " ", Source!AD38)</f>
        <v xml:space="preserve"> </v>
      </c>
      <c r="G78" s="28">
        <f>IF(Source!O38=0, " ", Source!O38)</f>
        <v>4900.12</v>
      </c>
      <c r="H78" s="28">
        <f>IF(Source!S38=0, " ", Source!S38)</f>
        <v>4900.12</v>
      </c>
      <c r="I78" s="28" t="str">
        <f>IF(Source!Q38=0, " ", Source!Q38)</f>
        <v xml:space="preserve"> </v>
      </c>
      <c r="J78" s="28">
        <f>IF(Source!AH38=0, " ", ROUND(Source!AH38,2))</f>
        <v>3.58</v>
      </c>
      <c r="K78" s="28">
        <f>IF(Source!U38=0, " ", ROUND(Source!U38,2))</f>
        <v>7.16</v>
      </c>
      <c r="T78">
        <f>Source!O38+Source!X38+Source!Y38</f>
        <v>9163.23</v>
      </c>
      <c r="V78">
        <f>IF(Source!S38=0, " ", Source!S38)</f>
        <v>4900.12</v>
      </c>
      <c r="W78" t="str">
        <f>IF(Source!Q38=0, " ", Source!Q38)</f>
        <v xml:space="preserve"> </v>
      </c>
      <c r="X78" t="str">
        <f>IF(Source!R38=0, " ", Source!R38)</f>
        <v xml:space="preserve"> </v>
      </c>
      <c r="Y78">
        <f>IF(Source!U38=0, " ", ROUND(Source!U38,2))</f>
        <v>7.16</v>
      </c>
      <c r="Z78" t="str">
        <f>IF(Source!V38=0, " ", ROUND(Source!V38,2))</f>
        <v xml:space="preserve"> </v>
      </c>
    </row>
    <row r="79" spans="1:26" ht="15" x14ac:dyDescent="0.25">
      <c r="A79" s="22"/>
      <c r="B79" s="22"/>
      <c r="C79" s="29" t="str">
        <f>IF(Source!H38&lt;&gt;"", Source!H38, "")</f>
        <v>1 фазировка</v>
      </c>
      <c r="D79" s="30"/>
      <c r="E79" s="23">
        <f>IF(Source!AF38=0, " ", Source!AF38)</f>
        <v>50.813000000000002</v>
      </c>
      <c r="F79" s="23" t="str">
        <f>IF(Source!AE38=0, " ", Source!AE38)</f>
        <v xml:space="preserve"> </v>
      </c>
      <c r="G79" s="30"/>
      <c r="H79" s="30"/>
      <c r="I79" s="24" t="str">
        <f>IF(Source!R38=0, " ", Source!R38)</f>
        <v xml:space="preserve"> </v>
      </c>
      <c r="J79" s="24" t="str">
        <f>IF(Source!AI38=0, " ", ROUND(Source!AI38,2))</f>
        <v xml:space="preserve"> </v>
      </c>
      <c r="K79" s="24" t="str">
        <f>IF(Source!V38=0, " ", ROUND(Source!V38,2))</f>
        <v xml:space="preserve"> </v>
      </c>
    </row>
    <row r="80" spans="1:26" ht="25.5" x14ac:dyDescent="0.2">
      <c r="A80" s="73"/>
      <c r="B80" s="73"/>
      <c r="C80" s="32" t="s">
        <v>336</v>
      </c>
      <c r="D80" s="73"/>
      <c r="E80" s="73"/>
      <c r="F80" s="73"/>
      <c r="G80" s="73"/>
      <c r="H80" s="73"/>
      <c r="I80" s="73"/>
      <c r="J80" s="73"/>
      <c r="K80" s="73"/>
    </row>
    <row r="81" spans="1:11" ht="15" x14ac:dyDescent="0.2">
      <c r="A81" s="73"/>
      <c r="B81" s="73"/>
      <c r="C81" s="37" t="str">
        <f>CONCATENATE("НР ", Source!AT38, "%","=", Source!X38,";  СП ", Source!AU38, "%","=", Source!Y38)</f>
        <v>НР 55%=2695,07;  СП 32%=1568,04</v>
      </c>
      <c r="D81" s="38"/>
      <c r="E81" s="38"/>
      <c r="F81" s="38"/>
      <c r="G81" s="38"/>
      <c r="H81" s="38"/>
      <c r="I81" s="38"/>
      <c r="J81" s="38"/>
      <c r="K81" s="39"/>
    </row>
    <row r="82" spans="1:11" ht="14.25" x14ac:dyDescent="0.2">
      <c r="A82" s="33"/>
      <c r="B82" s="33"/>
      <c r="C82" s="40" t="s">
        <v>318</v>
      </c>
      <c r="D82" s="41"/>
      <c r="E82" s="41"/>
      <c r="F82" s="41"/>
      <c r="G82" s="42">
        <f>SUMIF(Source!AA38:'Source'!AA38, "=30528041", Source!GM38:'Source'!GM38)</f>
        <v>9163.23</v>
      </c>
      <c r="H82" s="33"/>
      <c r="I82" s="33"/>
      <c r="J82" s="33"/>
      <c r="K82" s="33"/>
    </row>
    <row r="83" spans="1:11" x14ac:dyDescent="0.2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</row>
    <row r="84" spans="1:11" ht="14.25" x14ac:dyDescent="0.2">
      <c r="A84" s="60" t="str">
        <f>CONCATENATE("Итого по смете ",IF(Source!G124&lt;&gt;"Новый объект", Source!G124, ""))</f>
        <v>Итого по смете Смета №2 факт последнее</v>
      </c>
      <c r="B84" s="60"/>
      <c r="C84" s="60"/>
      <c r="D84" s="60"/>
      <c r="E84" s="60"/>
      <c r="F84" s="60"/>
      <c r="G84" s="61">
        <f>IF(SUM(T1:T83)=0, " ", SUM(T1:T83))</f>
        <v>901917.34</v>
      </c>
      <c r="H84" s="61">
        <f>IF(SUM(V1:V83)=0, " ", SUM(V1:V83))</f>
        <v>330075.08</v>
      </c>
      <c r="I84" s="61">
        <f>IF(SUM(W1:W83)=0, " ", SUM(W1:W83))</f>
        <v>3840.39</v>
      </c>
      <c r="J84" s="62"/>
      <c r="K84" s="61">
        <f>IF(SUM(Y1:Y83)=0, " ", SUM(Y1:Y83))</f>
        <v>669.75</v>
      </c>
    </row>
    <row r="85" spans="1:11" ht="14.25" x14ac:dyDescent="0.2">
      <c r="A85" s="57"/>
      <c r="B85" s="57"/>
      <c r="C85" s="57"/>
      <c r="D85" s="57"/>
      <c r="E85" s="57"/>
      <c r="F85" s="57"/>
      <c r="G85" s="59"/>
      <c r="H85" s="59"/>
      <c r="I85" s="58">
        <f>IF(SUM(X1:X83)=0, " ", SUM(X1:X83))</f>
        <v>546.80999999999995</v>
      </c>
      <c r="J85" s="59"/>
      <c r="K85" s="58">
        <f>IF(SUM(Z1:Z83)=0, " ", SUM(Z1:Z83))</f>
        <v>0.85</v>
      </c>
    </row>
    <row r="86" spans="1:11" x14ac:dyDescent="0.2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</row>
    <row r="87" spans="1:11" ht="15" x14ac:dyDescent="0.25">
      <c r="A87" s="63" t="str">
        <f>IF(Source!H126&lt;&gt; "", Source!H126, "" )</f>
        <v>Прямые затраты</v>
      </c>
      <c r="B87" s="63"/>
      <c r="C87" s="63"/>
      <c r="D87" s="63"/>
      <c r="E87" s="63"/>
      <c r="F87" s="63"/>
      <c r="G87" s="24">
        <f>Source!F126</f>
        <v>568995.41</v>
      </c>
      <c r="H87" s="33"/>
      <c r="I87" s="33"/>
      <c r="J87" s="33"/>
      <c r="K87" s="33"/>
    </row>
    <row r="88" spans="1:11" ht="15" x14ac:dyDescent="0.25">
      <c r="A88" s="63" t="str">
        <f>IF(Source!H127&lt;&gt; "", Source!H127, "" )</f>
        <v>Стоимость материальных ресурсов (всего)</v>
      </c>
      <c r="B88" s="63"/>
      <c r="C88" s="63"/>
      <c r="D88" s="63"/>
      <c r="E88" s="63"/>
      <c r="F88" s="63"/>
      <c r="G88" s="24">
        <f>Source!F127</f>
        <v>235079.94</v>
      </c>
      <c r="H88" s="33"/>
      <c r="I88" s="33"/>
      <c r="J88" s="33"/>
      <c r="K88" s="33"/>
    </row>
    <row r="89" spans="1:11" ht="15" x14ac:dyDescent="0.25">
      <c r="A89" s="63" t="str">
        <f>IF(Source!H136&lt;&gt; "", Source!H136, "" )</f>
        <v>Эксплуатация машин</v>
      </c>
      <c r="B89" s="63"/>
      <c r="C89" s="63"/>
      <c r="D89" s="63"/>
      <c r="E89" s="63"/>
      <c r="F89" s="63"/>
      <c r="G89" s="33"/>
      <c r="H89" s="33"/>
      <c r="I89" s="24">
        <f>Source!F136</f>
        <v>3840.39</v>
      </c>
      <c r="J89" s="33"/>
      <c r="K89" s="33"/>
    </row>
    <row r="90" spans="1:11" ht="15" x14ac:dyDescent="0.25">
      <c r="A90" s="63" t="str">
        <f>IF(Source!H138&lt;&gt; "", Source!H138, "" )</f>
        <v>ЗП машинистов</v>
      </c>
      <c r="B90" s="63"/>
      <c r="C90" s="63"/>
      <c r="D90" s="63"/>
      <c r="E90" s="63"/>
      <c r="F90" s="63"/>
      <c r="G90" s="33"/>
      <c r="H90" s="33"/>
      <c r="I90" s="24">
        <f>Source!F138</f>
        <v>546.80999999999995</v>
      </c>
      <c r="J90" s="33"/>
      <c r="K90" s="33"/>
    </row>
    <row r="91" spans="1:11" ht="15" x14ac:dyDescent="0.25">
      <c r="A91" s="63" t="str">
        <f>IF(Source!H139&lt;&gt; "", Source!H139, "" )</f>
        <v>Основная ЗП рабочих</v>
      </c>
      <c r="B91" s="63"/>
      <c r="C91" s="63"/>
      <c r="D91" s="63"/>
      <c r="E91" s="63"/>
      <c r="F91" s="63"/>
      <c r="G91" s="33"/>
      <c r="H91" s="24">
        <f>Source!F139</f>
        <v>330075.08</v>
      </c>
      <c r="I91" s="33"/>
      <c r="J91" s="33"/>
      <c r="K91" s="33"/>
    </row>
    <row r="92" spans="1:11" ht="15" x14ac:dyDescent="0.25">
      <c r="A92" s="63" t="str">
        <f>IF(Source!H150&lt;&gt; "", Source!H150, "" )</f>
        <v>Накладные расходы</v>
      </c>
      <c r="B92" s="63"/>
      <c r="C92" s="63"/>
      <c r="D92" s="63"/>
      <c r="E92" s="63"/>
      <c r="F92" s="63"/>
      <c r="G92" s="24">
        <f>Source!F150</f>
        <v>209011.3</v>
      </c>
      <c r="H92" s="33"/>
      <c r="I92" s="33"/>
      <c r="J92" s="33"/>
      <c r="K92" s="33"/>
    </row>
    <row r="93" spans="1:11" ht="15" x14ac:dyDescent="0.25">
      <c r="A93" s="63" t="str">
        <f>IF(Source!H151&lt;&gt; "", Source!H151, "" )</f>
        <v>Сметная прибыль</v>
      </c>
      <c r="B93" s="63"/>
      <c r="C93" s="63"/>
      <c r="D93" s="63"/>
      <c r="E93" s="63"/>
      <c r="F93" s="63"/>
      <c r="G93" s="24">
        <f>Source!F151</f>
        <v>123910.63</v>
      </c>
      <c r="H93" s="33"/>
      <c r="I93" s="33"/>
      <c r="J93" s="33"/>
      <c r="K93" s="33"/>
    </row>
    <row r="94" spans="1:11" ht="15" x14ac:dyDescent="0.25">
      <c r="A94" s="63" t="str">
        <f>IF(Source!H152&lt;&gt; "", Source!H152, "" )</f>
        <v>Всего с НР и СП</v>
      </c>
      <c r="B94" s="63"/>
      <c r="C94" s="63"/>
      <c r="D94" s="63"/>
      <c r="E94" s="63"/>
      <c r="F94" s="63"/>
      <c r="G94" s="24">
        <f>Source!F152</f>
        <v>901917.34</v>
      </c>
      <c r="H94" s="33"/>
      <c r="I94" s="33"/>
      <c r="J94" s="33"/>
      <c r="K94" s="33"/>
    </row>
    <row r="95" spans="1:11" ht="15" x14ac:dyDescent="0.25">
      <c r="A95" s="63" t="str">
        <f>IF(Source!H159&lt;&gt; "", Source!H159, "" )</f>
        <v>Непредвиденные расходы  %</v>
      </c>
      <c r="B95" s="63"/>
      <c r="C95" s="63"/>
      <c r="D95" s="63"/>
      <c r="E95" s="63"/>
      <c r="F95" s="63"/>
      <c r="G95" s="64">
        <f>Source!F159</f>
        <v>2</v>
      </c>
      <c r="H95" s="33"/>
      <c r="I95" s="33"/>
      <c r="J95" s="33"/>
      <c r="K95" s="33"/>
    </row>
    <row r="96" spans="1:11" ht="15" x14ac:dyDescent="0.25">
      <c r="A96" s="63" t="str">
        <f>IF(Source!H160&lt;&gt; "", Source!H160, "" )</f>
        <v>Непредвиденные расходы руб.</v>
      </c>
      <c r="B96" s="63"/>
      <c r="C96" s="63"/>
      <c r="D96" s="63"/>
      <c r="E96" s="63"/>
      <c r="F96" s="63"/>
      <c r="G96" s="24">
        <f>Source!F160</f>
        <v>18038.349999999999</v>
      </c>
      <c r="H96" s="33"/>
      <c r="I96" s="33"/>
      <c r="J96" s="33"/>
      <c r="K96" s="33"/>
    </row>
    <row r="97" spans="1:11" ht="15" x14ac:dyDescent="0.25">
      <c r="A97" s="63" t="str">
        <f>IF(Source!H161&lt;&gt; "", Source!H161, "" )</f>
        <v>ИТОГ с непредвиденными расходами</v>
      </c>
      <c r="B97" s="63"/>
      <c r="C97" s="63"/>
      <c r="D97" s="63"/>
      <c r="E97" s="63"/>
      <c r="F97" s="63"/>
      <c r="G97" s="24">
        <f>Source!F161</f>
        <v>919955.69</v>
      </c>
      <c r="H97" s="33"/>
      <c r="I97" s="33"/>
      <c r="J97" s="33"/>
      <c r="K97" s="33"/>
    </row>
    <row r="98" spans="1:11" ht="15" x14ac:dyDescent="0.25">
      <c r="A98" s="63" t="str">
        <f>IF(Source!H163&lt;&gt; "", Source!H163, "" )</f>
        <v>НДС 20%</v>
      </c>
      <c r="B98" s="63"/>
      <c r="C98" s="63"/>
      <c r="D98" s="63"/>
      <c r="E98" s="63"/>
      <c r="F98" s="63"/>
      <c r="G98" s="24">
        <f>Source!F163</f>
        <v>183991.14</v>
      </c>
      <c r="H98" s="33"/>
      <c r="I98" s="33"/>
      <c r="J98" s="33"/>
      <c r="K98" s="33"/>
    </row>
    <row r="99" spans="1:11" ht="15" x14ac:dyDescent="0.25">
      <c r="A99" s="63" t="str">
        <f>IF(Source!H164&lt;&gt; "", Source!H164, "" )</f>
        <v>ИТОГО с НДС</v>
      </c>
      <c r="B99" s="63"/>
      <c r="C99" s="63"/>
      <c r="D99" s="63"/>
      <c r="E99" s="63"/>
      <c r="F99" s="63"/>
      <c r="G99" s="24">
        <f>Source!F164</f>
        <v>1103946.83</v>
      </c>
      <c r="H99" s="33"/>
      <c r="I99" s="33"/>
      <c r="J99" s="33"/>
      <c r="K99" s="33"/>
    </row>
    <row r="100" spans="1:11" x14ac:dyDescent="0.2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</row>
    <row r="101" spans="1:11" x14ac:dyDescent="0.2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</row>
    <row r="102" spans="1:11" ht="15" x14ac:dyDescent="0.25">
      <c r="A102" s="9"/>
      <c r="B102" s="10" t="s">
        <v>337</v>
      </c>
      <c r="C102" s="65" t="str">
        <f>IF(Source!AB12&lt;&gt;"", Source!AB12," ")</f>
        <v xml:space="preserve"> </v>
      </c>
      <c r="D102" s="10" t="str">
        <f>IF(Source!AC12&lt;&gt;"", Source!AC12," ")</f>
        <v xml:space="preserve"> </v>
      </c>
      <c r="E102" s="10"/>
      <c r="F102" s="10"/>
      <c r="G102" s="10"/>
      <c r="H102" s="9"/>
      <c r="I102" s="9"/>
      <c r="J102" s="9"/>
      <c r="K102" s="9"/>
    </row>
    <row r="103" spans="1:11" x14ac:dyDescent="0.2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</row>
    <row r="104" spans="1:11" ht="15" x14ac:dyDescent="0.25">
      <c r="A104" s="9"/>
      <c r="B104" s="10" t="s">
        <v>338</v>
      </c>
      <c r="C104" s="65" t="str">
        <f>IF(Source!AD12&lt;&gt;"", Source!AD12," ")</f>
        <v xml:space="preserve"> </v>
      </c>
      <c r="D104" s="10" t="str">
        <f>IF(Source!AE12&lt;&gt;"", Source!AE12," ")</f>
        <v xml:space="preserve"> </v>
      </c>
      <c r="E104" s="10"/>
      <c r="F104" s="10"/>
      <c r="G104" s="10"/>
      <c r="H104" s="9"/>
      <c r="I104" s="9"/>
      <c r="J104" s="9"/>
      <c r="K104" s="9"/>
    </row>
    <row r="105" spans="1:11" x14ac:dyDescent="0.2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</row>
    <row r="106" spans="1:11" x14ac:dyDescent="0.2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</row>
  </sheetData>
  <mergeCells count="59">
    <mergeCell ref="A95:F95"/>
    <mergeCell ref="A96:F96"/>
    <mergeCell ref="A97:F97"/>
    <mergeCell ref="A98:F98"/>
    <mergeCell ref="A99:F99"/>
    <mergeCell ref="A89:F89"/>
    <mergeCell ref="A90:F90"/>
    <mergeCell ref="A91:F91"/>
    <mergeCell ref="A92:F92"/>
    <mergeCell ref="A93:F93"/>
    <mergeCell ref="A94:F94"/>
    <mergeCell ref="C70:K70"/>
    <mergeCell ref="C76:K76"/>
    <mergeCell ref="C81:K81"/>
    <mergeCell ref="A84:F85"/>
    <mergeCell ref="A87:F87"/>
    <mergeCell ref="A88:F88"/>
    <mergeCell ref="C33:K33"/>
    <mergeCell ref="C39:K39"/>
    <mergeCell ref="C44:K44"/>
    <mergeCell ref="C50:K50"/>
    <mergeCell ref="C55:K55"/>
    <mergeCell ref="C63:K63"/>
    <mergeCell ref="G22:G24"/>
    <mergeCell ref="H22:H24"/>
    <mergeCell ref="I22:I23"/>
    <mergeCell ref="J22:K22"/>
    <mergeCell ref="J23:K23"/>
    <mergeCell ref="A27:K27"/>
    <mergeCell ref="A20:K20"/>
    <mergeCell ref="A21:A24"/>
    <mergeCell ref="B21:B24"/>
    <mergeCell ref="C21:C24"/>
    <mergeCell ref="D21:D24"/>
    <mergeCell ref="E21:F21"/>
    <mergeCell ref="G21:I21"/>
    <mergeCell ref="J21:K21"/>
    <mergeCell ref="E22:E23"/>
    <mergeCell ref="F22:F23"/>
    <mergeCell ref="A14:I14"/>
    <mergeCell ref="A15:I15"/>
    <mergeCell ref="A16:I16"/>
    <mergeCell ref="A17:I17"/>
    <mergeCell ref="A18:I18"/>
    <mergeCell ref="A19:I19"/>
    <mergeCell ref="H5:K5"/>
    <mergeCell ref="A7:F7"/>
    <mergeCell ref="A8:F8"/>
    <mergeCell ref="A10:F10"/>
    <mergeCell ref="A12:K12"/>
    <mergeCell ref="A13:K13"/>
    <mergeCell ref="B1:E1"/>
    <mergeCell ref="B2:E2"/>
    <mergeCell ref="B3:E3"/>
    <mergeCell ref="B4:E4"/>
    <mergeCell ref="H1:K1"/>
    <mergeCell ref="H2:I2"/>
    <mergeCell ref="H3:K3"/>
    <mergeCell ref="H4:K4"/>
  </mergeCells>
  <pageMargins left="0.4" right="0.2" top="0.2" bottom="0.4" header="0.2" footer="0.2"/>
  <pageSetup paperSize="9" scale="60" fitToHeight="0" orientation="portrait" verticalDpi="0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200"/>
  <sheetViews>
    <sheetView workbookViewId="0">
      <selection activeCell="A196" sqref="A196:AA196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65963</v>
      </c>
      <c r="M1">
        <v>24323694</v>
      </c>
      <c r="N1">
        <v>11</v>
      </c>
      <c r="O1">
        <v>1</v>
      </c>
      <c r="P1">
        <v>0</v>
      </c>
      <c r="Q1">
        <v>1</v>
      </c>
    </row>
    <row r="12" spans="1:133" x14ac:dyDescent="0.2">
      <c r="A12" s="1">
        <v>1</v>
      </c>
      <c r="B12" s="1">
        <v>195</v>
      </c>
      <c r="C12" s="1">
        <v>0</v>
      </c>
      <c r="D12" s="1">
        <f>ROW(A124)</f>
        <v>124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1</v>
      </c>
      <c r="BN12" s="1">
        <v>0</v>
      </c>
      <c r="BO12" s="1">
        <v>0</v>
      </c>
      <c r="BP12" s="1">
        <v>6</v>
      </c>
      <c r="BQ12" s="1">
        <v>2</v>
      </c>
      <c r="BR12" s="1">
        <v>1</v>
      </c>
      <c r="BS12" s="1">
        <v>0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B124</f>
        <v>195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объект_(Копия)_(Копия)_(Копия)_(Копия)_(Копия)_(Копия)</v>
      </c>
      <c r="G18" s="2" t="str">
        <f t="shared" si="0"/>
        <v>Смета №2 факт последнее</v>
      </c>
      <c r="H18" s="2"/>
      <c r="I18" s="2"/>
      <c r="J18" s="2"/>
      <c r="K18" s="2"/>
      <c r="L18" s="2"/>
      <c r="M18" s="2"/>
      <c r="N18" s="2"/>
      <c r="O18" s="2">
        <f t="shared" ref="O18:AT18" si="1">O124</f>
        <v>568995.41</v>
      </c>
      <c r="P18" s="2">
        <f t="shared" si="1"/>
        <v>235079.94</v>
      </c>
      <c r="Q18" s="2">
        <f t="shared" si="1"/>
        <v>3840.39</v>
      </c>
      <c r="R18" s="2">
        <f t="shared" si="1"/>
        <v>546.80999999999995</v>
      </c>
      <c r="S18" s="2">
        <f t="shared" si="1"/>
        <v>330075.08</v>
      </c>
      <c r="T18" s="2">
        <f t="shared" si="1"/>
        <v>0</v>
      </c>
      <c r="U18" s="2">
        <f t="shared" si="1"/>
        <v>669.75290600000005</v>
      </c>
      <c r="V18" s="2">
        <f t="shared" si="1"/>
        <v>0.84744000000000008</v>
      </c>
      <c r="W18" s="2">
        <f t="shared" si="1"/>
        <v>0</v>
      </c>
      <c r="X18" s="2">
        <f t="shared" si="1"/>
        <v>209011.3</v>
      </c>
      <c r="Y18" s="2">
        <f t="shared" si="1"/>
        <v>123910.63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901917.34</v>
      </c>
      <c r="AS18" s="2">
        <f t="shared" si="1"/>
        <v>95319.61</v>
      </c>
      <c r="AT18" s="2">
        <f t="shared" si="1"/>
        <v>455157.7</v>
      </c>
      <c r="AU18" s="2">
        <f t="shared" ref="AU18:BZ18" si="2">AU124</f>
        <v>351440.03</v>
      </c>
      <c r="AV18" s="2">
        <f t="shared" si="2"/>
        <v>235079.94</v>
      </c>
      <c r="AW18" s="2">
        <f t="shared" si="2"/>
        <v>235079.94</v>
      </c>
      <c r="AX18" s="2">
        <f t="shared" si="2"/>
        <v>0</v>
      </c>
      <c r="AY18" s="2">
        <f t="shared" si="2"/>
        <v>235079.94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CA124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DG124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EM124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FS124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ROW(A82)</f>
        <v>82</v>
      </c>
      <c r="E20" s="1"/>
      <c r="F20" s="1" t="s">
        <v>12</v>
      </c>
      <c r="G20" s="1" t="s">
        <v>12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</row>
    <row r="22" spans="1:245" x14ac:dyDescent="0.2">
      <c r="A22" s="2">
        <v>52</v>
      </c>
      <c r="B22" s="2">
        <f t="shared" ref="B22:G22" si="7">B82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O82</f>
        <v>568995.41</v>
      </c>
      <c r="P22" s="2">
        <f t="shared" si="8"/>
        <v>235079.94</v>
      </c>
      <c r="Q22" s="2">
        <f t="shared" si="8"/>
        <v>3840.39</v>
      </c>
      <c r="R22" s="2">
        <f t="shared" si="8"/>
        <v>546.80999999999995</v>
      </c>
      <c r="S22" s="2">
        <f t="shared" si="8"/>
        <v>330075.08</v>
      </c>
      <c r="T22" s="2">
        <f t="shared" si="8"/>
        <v>0</v>
      </c>
      <c r="U22" s="2">
        <f t="shared" si="8"/>
        <v>669.75290600000005</v>
      </c>
      <c r="V22" s="2">
        <f t="shared" si="8"/>
        <v>0.84744000000000008</v>
      </c>
      <c r="W22" s="2">
        <f t="shared" si="8"/>
        <v>0</v>
      </c>
      <c r="X22" s="2">
        <f t="shared" si="8"/>
        <v>209011.3</v>
      </c>
      <c r="Y22" s="2">
        <f t="shared" si="8"/>
        <v>123910.63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901917.34</v>
      </c>
      <c r="AS22" s="2">
        <f t="shared" si="8"/>
        <v>95319.61</v>
      </c>
      <c r="AT22" s="2">
        <f t="shared" si="8"/>
        <v>455157.7</v>
      </c>
      <c r="AU22" s="2">
        <f t="shared" ref="AU22:BZ22" si="9">AU82</f>
        <v>351440.03</v>
      </c>
      <c r="AV22" s="2">
        <f t="shared" si="9"/>
        <v>235079.94</v>
      </c>
      <c r="AW22" s="2">
        <f t="shared" si="9"/>
        <v>235079.94</v>
      </c>
      <c r="AX22" s="2">
        <f t="shared" si="9"/>
        <v>0</v>
      </c>
      <c r="AY22" s="2">
        <f t="shared" si="9"/>
        <v>235079.94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CA82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DG82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EM82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FS82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ROW(A40)</f>
        <v>40</v>
      </c>
      <c r="E24" s="1"/>
      <c r="F24" s="1" t="s">
        <v>13</v>
      </c>
      <c r="G24" s="1" t="s">
        <v>14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B40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Ремонт кабельных линий</v>
      </c>
      <c r="H26" s="2"/>
      <c r="I26" s="2"/>
      <c r="J26" s="2"/>
      <c r="K26" s="2"/>
      <c r="L26" s="2"/>
      <c r="M26" s="2"/>
      <c r="N26" s="2"/>
      <c r="O26" s="2">
        <f t="shared" ref="O26:AT26" si="15">O40</f>
        <v>568995.41</v>
      </c>
      <c r="P26" s="2">
        <f t="shared" si="15"/>
        <v>235079.94</v>
      </c>
      <c r="Q26" s="2">
        <f t="shared" si="15"/>
        <v>3840.39</v>
      </c>
      <c r="R26" s="2">
        <f t="shared" si="15"/>
        <v>546.80999999999995</v>
      </c>
      <c r="S26" s="2">
        <f t="shared" si="15"/>
        <v>330075.08</v>
      </c>
      <c r="T26" s="2">
        <f t="shared" si="15"/>
        <v>0</v>
      </c>
      <c r="U26" s="2">
        <f t="shared" si="15"/>
        <v>669.75290600000005</v>
      </c>
      <c r="V26" s="2">
        <f t="shared" si="15"/>
        <v>0.84744000000000008</v>
      </c>
      <c r="W26" s="2">
        <f t="shared" si="15"/>
        <v>0</v>
      </c>
      <c r="X26" s="2">
        <f t="shared" si="15"/>
        <v>209011.3</v>
      </c>
      <c r="Y26" s="2">
        <f t="shared" si="15"/>
        <v>123910.63</v>
      </c>
      <c r="Z26" s="2">
        <f t="shared" si="15"/>
        <v>0</v>
      </c>
      <c r="AA26" s="2">
        <f t="shared" si="15"/>
        <v>0</v>
      </c>
      <c r="AB26" s="2">
        <f t="shared" si="15"/>
        <v>568995.41</v>
      </c>
      <c r="AC26" s="2">
        <f t="shared" si="15"/>
        <v>235079.94</v>
      </c>
      <c r="AD26" s="2">
        <f t="shared" si="15"/>
        <v>3840.39</v>
      </c>
      <c r="AE26" s="2">
        <f t="shared" si="15"/>
        <v>546.80999999999995</v>
      </c>
      <c r="AF26" s="2">
        <f t="shared" si="15"/>
        <v>330075.08</v>
      </c>
      <c r="AG26" s="2">
        <f t="shared" si="15"/>
        <v>0</v>
      </c>
      <c r="AH26" s="2">
        <f t="shared" si="15"/>
        <v>669.75290600000005</v>
      </c>
      <c r="AI26" s="2">
        <f t="shared" si="15"/>
        <v>0.84744000000000008</v>
      </c>
      <c r="AJ26" s="2">
        <f t="shared" si="15"/>
        <v>0</v>
      </c>
      <c r="AK26" s="2">
        <f t="shared" si="15"/>
        <v>209011.3</v>
      </c>
      <c r="AL26" s="2">
        <f t="shared" si="15"/>
        <v>123910.63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901917.34</v>
      </c>
      <c r="AS26" s="2">
        <f t="shared" si="15"/>
        <v>95319.61</v>
      </c>
      <c r="AT26" s="2">
        <f t="shared" si="15"/>
        <v>455157.7</v>
      </c>
      <c r="AU26" s="2">
        <f t="shared" ref="AU26:BZ26" si="16">AU40</f>
        <v>351440.03</v>
      </c>
      <c r="AV26" s="2">
        <f t="shared" si="16"/>
        <v>235079.94</v>
      </c>
      <c r="AW26" s="2">
        <f t="shared" si="16"/>
        <v>235079.94</v>
      </c>
      <c r="AX26" s="2">
        <f t="shared" si="16"/>
        <v>0</v>
      </c>
      <c r="AY26" s="2">
        <f t="shared" si="16"/>
        <v>235079.94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CA40</f>
        <v>901917.34</v>
      </c>
      <c r="CB26" s="2">
        <f t="shared" si="17"/>
        <v>95319.61</v>
      </c>
      <c r="CC26" s="2">
        <f t="shared" si="17"/>
        <v>455157.7</v>
      </c>
      <c r="CD26" s="2">
        <f t="shared" si="17"/>
        <v>351440.03</v>
      </c>
      <c r="CE26" s="2">
        <f t="shared" si="17"/>
        <v>235079.94</v>
      </c>
      <c r="CF26" s="2">
        <f t="shared" si="17"/>
        <v>235079.94</v>
      </c>
      <c r="CG26" s="2">
        <f t="shared" si="17"/>
        <v>0</v>
      </c>
      <c r="CH26" s="2">
        <f t="shared" si="17"/>
        <v>235079.94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DG40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EM40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FS40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ROW(SmtRes!A1)</f>
        <v>1</v>
      </c>
      <c r="D28">
        <f>ROW(EtalonRes!A1)</f>
        <v>1</v>
      </c>
      <c r="E28" t="s">
        <v>15</v>
      </c>
      <c r="F28" t="s">
        <v>16</v>
      </c>
      <c r="G28" t="s">
        <v>17</v>
      </c>
      <c r="H28" t="s">
        <v>18</v>
      </c>
      <c r="I28">
        <f>ROUND(18/100,9)</f>
        <v>0.18</v>
      </c>
      <c r="J28">
        <v>0</v>
      </c>
      <c r="O28">
        <f t="shared" ref="O28:O38" si="21">ROUND(CP28,2)</f>
        <v>34923.75</v>
      </c>
      <c r="P28">
        <f t="shared" ref="P28:P38" si="22">ROUND(CQ28*I28,2)</f>
        <v>0</v>
      </c>
      <c r="Q28">
        <f t="shared" ref="Q28:Q38" si="23">ROUND(CR28*I28,2)</f>
        <v>0</v>
      </c>
      <c r="R28">
        <f t="shared" ref="R28:R38" si="24">ROUND(CS28*I28,2)</f>
        <v>0</v>
      </c>
      <c r="S28">
        <f t="shared" ref="S28:S38" si="25">ROUND(CT28*I28,2)</f>
        <v>34923.75</v>
      </c>
      <c r="T28">
        <f t="shared" ref="T28:T38" si="26">ROUND(CU28*I28,2)</f>
        <v>0</v>
      </c>
      <c r="U28">
        <f t="shared" ref="U28:U38" si="27">CV28*I28</f>
        <v>89.200439999999986</v>
      </c>
      <c r="V28">
        <f t="shared" ref="V28:V38" si="28">CW28*I28</f>
        <v>0</v>
      </c>
      <c r="W28">
        <f t="shared" ref="W28:W38" si="29">ROUND(CX28*I28,2)</f>
        <v>0</v>
      </c>
      <c r="X28">
        <f t="shared" ref="X28:X38" si="30">ROUND(CY28,2)</f>
        <v>21303.49</v>
      </c>
      <c r="Y28">
        <f t="shared" ref="Y28:Y38" si="31">ROUND(CZ28,2)</f>
        <v>10826.36</v>
      </c>
      <c r="AA28">
        <v>30528041</v>
      </c>
      <c r="AB28">
        <f t="shared" ref="AB28:AB38" si="32">ROUND((AC28+AD28+AF28),6)</f>
        <v>4098.1342500000001</v>
      </c>
      <c r="AC28">
        <f t="shared" ref="AC28:AC38" si="33">ROUND((ES28),6)</f>
        <v>0</v>
      </c>
      <c r="AD28">
        <f>ROUND(((((ET28*1.15))-((EU28*1.15)))+AE28),6)</f>
        <v>0</v>
      </c>
      <c r="AE28">
        <f>ROUND(((EU28*1.15)),6)</f>
        <v>0</v>
      </c>
      <c r="AF28">
        <f>ROUND(((EV28*1.15)),6)</f>
        <v>4098.1342500000001</v>
      </c>
      <c r="AG28">
        <f t="shared" ref="AG28:AG38" si="34">ROUND((AP28),6)</f>
        <v>0</v>
      </c>
      <c r="AH28">
        <f>((EW28*1.15))</f>
        <v>495.55799999999994</v>
      </c>
      <c r="AI28">
        <f>((EX28*1.15))</f>
        <v>0</v>
      </c>
      <c r="AJ28">
        <f t="shared" ref="AJ28:AJ38" si="35">(AS28)</f>
        <v>0</v>
      </c>
      <c r="AK28">
        <v>3785.3298</v>
      </c>
      <c r="AL28">
        <v>0</v>
      </c>
      <c r="AM28">
        <v>0</v>
      </c>
      <c r="AN28">
        <v>0</v>
      </c>
      <c r="AO28">
        <v>4561.4015999999992</v>
      </c>
      <c r="AP28">
        <v>0</v>
      </c>
      <c r="AQ28">
        <v>463.05</v>
      </c>
      <c r="AR28">
        <v>0</v>
      </c>
      <c r="AS28">
        <v>0</v>
      </c>
      <c r="AT28">
        <v>61</v>
      </c>
      <c r="AU28">
        <v>31</v>
      </c>
      <c r="AV28">
        <v>1</v>
      </c>
      <c r="AW28">
        <v>1</v>
      </c>
      <c r="AZ28">
        <v>2.4900000000000002</v>
      </c>
      <c r="BA28">
        <v>47.343699999999998</v>
      </c>
      <c r="BB28">
        <v>2.58</v>
      </c>
      <c r="BC28">
        <v>2.33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19</v>
      </c>
      <c r="BM28">
        <v>1003</v>
      </c>
      <c r="BN28">
        <v>0</v>
      </c>
      <c r="BO28" t="s">
        <v>16</v>
      </c>
      <c r="BP28">
        <v>1</v>
      </c>
      <c r="BQ28">
        <v>2</v>
      </c>
      <c r="BR28">
        <v>0</v>
      </c>
      <c r="BS28">
        <v>37.0364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45</v>
      </c>
      <c r="CE28">
        <v>0</v>
      </c>
      <c r="CF28">
        <v>0</v>
      </c>
      <c r="CG28">
        <v>0</v>
      </c>
      <c r="CM28">
        <v>0</v>
      </c>
      <c r="CN28" t="s">
        <v>287</v>
      </c>
      <c r="CO28">
        <v>0</v>
      </c>
      <c r="CP28">
        <f t="shared" ref="CP28:CP38" si="36">(P28+Q28+S28)</f>
        <v>34923.75</v>
      </c>
      <c r="CQ28">
        <f t="shared" ref="CQ28:CQ38" si="37">AC28*BC28</f>
        <v>0</v>
      </c>
      <c r="CR28">
        <f t="shared" ref="CR28:CR38" si="38">AD28*BB28</f>
        <v>0</v>
      </c>
      <c r="CS28">
        <f t="shared" ref="CS28:CS38" si="39">AE28*BS28</f>
        <v>0</v>
      </c>
      <c r="CT28">
        <f t="shared" ref="CT28:CT38" si="40">AF28*BA28</f>
        <v>194020.83849172501</v>
      </c>
      <c r="CU28">
        <f t="shared" ref="CU28:CU38" si="41">AG28</f>
        <v>0</v>
      </c>
      <c r="CV28">
        <f t="shared" ref="CV28:CV38" si="42">AH28</f>
        <v>495.55799999999994</v>
      </c>
      <c r="CW28">
        <f t="shared" ref="CW28:CW38" si="43">AI28</f>
        <v>0</v>
      </c>
      <c r="CX28">
        <f t="shared" ref="CX28:CX38" si="44">AJ28</f>
        <v>0</v>
      </c>
      <c r="CY28">
        <f t="shared" ref="CY28:CY38" si="45">(((S28+R28)*AT28)/100)</f>
        <v>21303.487499999999</v>
      </c>
      <c r="CZ28">
        <f t="shared" ref="CZ28:CZ38" si="46">(((S28+R28)*AU28)/100)</f>
        <v>10826.362499999999</v>
      </c>
      <c r="DC28" t="s">
        <v>3</v>
      </c>
      <c r="DD28" t="s">
        <v>3</v>
      </c>
      <c r="DE28" t="s">
        <v>20</v>
      </c>
      <c r="DF28" t="s">
        <v>20</v>
      </c>
      <c r="DG28" t="s">
        <v>20</v>
      </c>
      <c r="DH28" t="s">
        <v>3</v>
      </c>
      <c r="DI28" t="s">
        <v>20</v>
      </c>
      <c r="DJ28" t="s">
        <v>20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18</v>
      </c>
      <c r="DW28" t="s">
        <v>18</v>
      </c>
      <c r="DX28">
        <v>1</v>
      </c>
      <c r="EE28">
        <v>28959749</v>
      </c>
      <c r="EF28">
        <v>2</v>
      </c>
      <c r="EG28" t="s">
        <v>21</v>
      </c>
      <c r="EH28">
        <v>0</v>
      </c>
      <c r="EI28" t="s">
        <v>3</v>
      </c>
      <c r="EJ28">
        <v>1</v>
      </c>
      <c r="EK28">
        <v>1003</v>
      </c>
      <c r="EL28" t="s">
        <v>22</v>
      </c>
      <c r="EM28" t="s">
        <v>23</v>
      </c>
      <c r="EO28" t="s">
        <v>24</v>
      </c>
      <c r="EQ28">
        <v>0</v>
      </c>
      <c r="ER28">
        <v>3642.7859999999996</v>
      </c>
      <c r="ES28">
        <v>0</v>
      </c>
      <c r="ET28">
        <v>0</v>
      </c>
      <c r="EU28">
        <v>0</v>
      </c>
      <c r="EV28">
        <v>3563.5949999999998</v>
      </c>
      <c r="EW28">
        <v>430.91999999999996</v>
      </c>
      <c r="EX28">
        <v>0</v>
      </c>
      <c r="EY28">
        <v>0</v>
      </c>
      <c r="FQ28">
        <v>0</v>
      </c>
      <c r="FR28">
        <f t="shared" ref="FR28:FR38" si="47">ROUND(IF(AND(BH28=3,BI28=3),P28,0),2)</f>
        <v>0</v>
      </c>
      <c r="FS28">
        <v>0</v>
      </c>
      <c r="FT28" t="s">
        <v>25</v>
      </c>
      <c r="FU28" t="s">
        <v>26</v>
      </c>
      <c r="FV28" t="s">
        <v>26</v>
      </c>
      <c r="FW28" t="s">
        <v>27</v>
      </c>
      <c r="FX28">
        <v>72</v>
      </c>
      <c r="FY28">
        <v>38.25</v>
      </c>
      <c r="GA28" t="s">
        <v>3</v>
      </c>
      <c r="GD28">
        <v>1</v>
      </c>
      <c r="GF28">
        <v>930944339</v>
      </c>
      <c r="GG28">
        <v>2</v>
      </c>
      <c r="GH28">
        <v>1</v>
      </c>
      <c r="GI28">
        <v>2</v>
      </c>
      <c r="GJ28">
        <v>0</v>
      </c>
      <c r="GK28">
        <v>0</v>
      </c>
      <c r="GL28">
        <f t="shared" ref="GL28:GL38" si="48">ROUND(IF(AND(BH28=3,BI28=3,FS28&lt;&gt;0),P28,0),2)</f>
        <v>0</v>
      </c>
      <c r="GM28">
        <f t="shared" ref="GM28:GM38" si="49">ROUND(O28+X28+Y28,2)+GX28</f>
        <v>67053.600000000006</v>
      </c>
      <c r="GN28">
        <f t="shared" ref="GN28:GN38" si="50">IF(OR(BI28=0,BI28=1),ROUND(O28+X28+Y28,2),0)</f>
        <v>67053.600000000006</v>
      </c>
      <c r="GO28">
        <f t="shared" ref="GO28:GO38" si="51">IF(BI28=2,ROUND(O28+X28+Y28,2),0)</f>
        <v>0</v>
      </c>
      <c r="GP28">
        <f t="shared" ref="GP28:GP38" si="52">IF(BI28=4,ROUND(O28+X28+Y28,2)+GX28,0)</f>
        <v>0</v>
      </c>
      <c r="GR28">
        <v>0</v>
      </c>
      <c r="GS28">
        <v>0</v>
      </c>
      <c r="GT28">
        <v>0</v>
      </c>
      <c r="GU28" t="s">
        <v>3</v>
      </c>
      <c r="GV28">
        <f t="shared" ref="GV28:GV38" si="53">ROUND((GT28),6)</f>
        <v>0</v>
      </c>
      <c r="GW28">
        <v>2.34</v>
      </c>
      <c r="GX28">
        <f t="shared" ref="GX28:GX38" si="54">ROUND(HC28*I28,2)</f>
        <v>0</v>
      </c>
      <c r="HA28">
        <v>0</v>
      </c>
      <c r="HB28">
        <v>0</v>
      </c>
      <c r="HC28">
        <f t="shared" ref="HC28:HC38" si="55">GV28*GW28</f>
        <v>0</v>
      </c>
      <c r="HE28" t="s">
        <v>3</v>
      </c>
      <c r="HF28" t="s">
        <v>3</v>
      </c>
      <c r="IK28">
        <v>0</v>
      </c>
    </row>
    <row r="29" spans="1:245" x14ac:dyDescent="0.2">
      <c r="A29">
        <v>17</v>
      </c>
      <c r="B29">
        <v>1</v>
      </c>
      <c r="C29">
        <f>ROW(SmtRes!A2)</f>
        <v>2</v>
      </c>
      <c r="D29">
        <f>ROW(EtalonRes!A2)</f>
        <v>2</v>
      </c>
      <c r="E29" t="s">
        <v>28</v>
      </c>
      <c r="F29" t="s">
        <v>29</v>
      </c>
      <c r="G29" t="s">
        <v>30</v>
      </c>
      <c r="H29" t="s">
        <v>18</v>
      </c>
      <c r="I29">
        <f>ROUND(18/100,9)</f>
        <v>0.18</v>
      </c>
      <c r="J29">
        <v>0</v>
      </c>
      <c r="O29">
        <f t="shared" si="21"/>
        <v>14721.88</v>
      </c>
      <c r="P29">
        <f t="shared" si="22"/>
        <v>0</v>
      </c>
      <c r="Q29">
        <f t="shared" si="23"/>
        <v>0</v>
      </c>
      <c r="R29">
        <f t="shared" si="24"/>
        <v>0</v>
      </c>
      <c r="S29">
        <f t="shared" si="25"/>
        <v>14721.88</v>
      </c>
      <c r="T29">
        <f t="shared" si="26"/>
        <v>0</v>
      </c>
      <c r="U29">
        <f t="shared" si="27"/>
        <v>45.83952</v>
      </c>
      <c r="V29">
        <f t="shared" si="28"/>
        <v>0</v>
      </c>
      <c r="W29">
        <f t="shared" si="29"/>
        <v>0</v>
      </c>
      <c r="X29">
        <f t="shared" si="30"/>
        <v>8980.35</v>
      </c>
      <c r="Y29">
        <f t="shared" si="31"/>
        <v>4563.78</v>
      </c>
      <c r="AA29">
        <v>30528041</v>
      </c>
      <c r="AB29">
        <f t="shared" si="32"/>
        <v>1895.4</v>
      </c>
      <c r="AC29">
        <f t="shared" si="33"/>
        <v>0</v>
      </c>
      <c r="AD29">
        <f t="shared" ref="AD29:AD38" si="56">ROUND((((ET29)-(EU29))+AE29),6)</f>
        <v>0</v>
      </c>
      <c r="AE29">
        <f t="shared" ref="AE29:AE38" si="57">ROUND((EU29),6)</f>
        <v>0</v>
      </c>
      <c r="AF29">
        <f t="shared" ref="AF29:AF38" si="58">ROUND((EV29),6)</f>
        <v>1895.4</v>
      </c>
      <c r="AG29">
        <f t="shared" si="34"/>
        <v>0</v>
      </c>
      <c r="AH29">
        <f t="shared" ref="AH29:AH38" si="59">(EW29)</f>
        <v>254.66400000000002</v>
      </c>
      <c r="AI29">
        <f t="shared" ref="AI29:AI38" si="60">(EX29)</f>
        <v>0</v>
      </c>
      <c r="AJ29">
        <f t="shared" si="35"/>
        <v>0</v>
      </c>
      <c r="AK29">
        <v>2026.62</v>
      </c>
      <c r="AL29">
        <v>0</v>
      </c>
      <c r="AM29">
        <v>0</v>
      </c>
      <c r="AN29">
        <v>0</v>
      </c>
      <c r="AO29">
        <v>1749.6</v>
      </c>
      <c r="AP29">
        <v>0</v>
      </c>
      <c r="AQ29">
        <v>208.00800000000001</v>
      </c>
      <c r="AR29">
        <v>0</v>
      </c>
      <c r="AS29">
        <v>0</v>
      </c>
      <c r="AT29">
        <v>61</v>
      </c>
      <c r="AU29">
        <v>31</v>
      </c>
      <c r="AV29">
        <v>1</v>
      </c>
      <c r="AW29">
        <v>1</v>
      </c>
      <c r="AZ29">
        <v>2.5099999999999998</v>
      </c>
      <c r="BA29">
        <v>43.1509</v>
      </c>
      <c r="BB29">
        <v>2.72</v>
      </c>
      <c r="BC29">
        <v>2.52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31</v>
      </c>
      <c r="BM29">
        <v>1003</v>
      </c>
      <c r="BN29">
        <v>0</v>
      </c>
      <c r="BO29" t="s">
        <v>29</v>
      </c>
      <c r="BP29">
        <v>1</v>
      </c>
      <c r="BQ29">
        <v>2</v>
      </c>
      <c r="BR29">
        <v>0</v>
      </c>
      <c r="BS29">
        <v>46.470199999999998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80</v>
      </c>
      <c r="CA29">
        <v>45</v>
      </c>
      <c r="CE29">
        <v>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6"/>
        <v>14721.88</v>
      </c>
      <c r="CQ29">
        <f t="shared" si="37"/>
        <v>0</v>
      </c>
      <c r="CR29">
        <f t="shared" si="38"/>
        <v>0</v>
      </c>
      <c r="CS29">
        <f t="shared" si="39"/>
        <v>0</v>
      </c>
      <c r="CT29">
        <f t="shared" si="40"/>
        <v>81788.215860000011</v>
      </c>
      <c r="CU29">
        <f t="shared" si="41"/>
        <v>0</v>
      </c>
      <c r="CV29">
        <f t="shared" si="42"/>
        <v>254.66400000000002</v>
      </c>
      <c r="CW29">
        <f t="shared" si="43"/>
        <v>0</v>
      </c>
      <c r="CX29">
        <f t="shared" si="44"/>
        <v>0</v>
      </c>
      <c r="CY29">
        <f t="shared" si="45"/>
        <v>8980.3467999999993</v>
      </c>
      <c r="CZ29">
        <f t="shared" si="46"/>
        <v>4563.7828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1013</v>
      </c>
      <c r="DV29" t="s">
        <v>18</v>
      </c>
      <c r="DW29" t="s">
        <v>18</v>
      </c>
      <c r="DX29">
        <v>1</v>
      </c>
      <c r="EE29">
        <v>28959749</v>
      </c>
      <c r="EF29">
        <v>2</v>
      </c>
      <c r="EG29" t="s">
        <v>21</v>
      </c>
      <c r="EH29">
        <v>0</v>
      </c>
      <c r="EI29" t="s">
        <v>3</v>
      </c>
      <c r="EJ29">
        <v>1</v>
      </c>
      <c r="EK29">
        <v>1003</v>
      </c>
      <c r="EL29" t="s">
        <v>22</v>
      </c>
      <c r="EM29" t="s">
        <v>23</v>
      </c>
      <c r="EO29" t="s">
        <v>3</v>
      </c>
      <c r="EQ29">
        <v>0</v>
      </c>
      <c r="ER29">
        <v>1662.12</v>
      </c>
      <c r="ES29">
        <v>0</v>
      </c>
      <c r="ET29">
        <v>0</v>
      </c>
      <c r="EU29">
        <v>0</v>
      </c>
      <c r="EV29">
        <v>1895.4</v>
      </c>
      <c r="EW29">
        <v>254.66400000000002</v>
      </c>
      <c r="EX29">
        <v>0</v>
      </c>
      <c r="EY29">
        <v>0</v>
      </c>
      <c r="FQ29">
        <v>0</v>
      </c>
      <c r="FR29">
        <f t="shared" si="47"/>
        <v>0</v>
      </c>
      <c r="FS29">
        <v>0</v>
      </c>
      <c r="FT29" t="s">
        <v>25</v>
      </c>
      <c r="FU29" t="s">
        <v>26</v>
      </c>
      <c r="FV29" t="s">
        <v>26</v>
      </c>
      <c r="FW29" t="s">
        <v>27</v>
      </c>
      <c r="FX29">
        <v>72</v>
      </c>
      <c r="FY29">
        <v>38.25</v>
      </c>
      <c r="GA29" t="s">
        <v>3</v>
      </c>
      <c r="GD29">
        <v>1</v>
      </c>
      <c r="GF29">
        <v>-324419113</v>
      </c>
      <c r="GG29">
        <v>2</v>
      </c>
      <c r="GH29">
        <v>1</v>
      </c>
      <c r="GI29">
        <v>2</v>
      </c>
      <c r="GJ29">
        <v>0</v>
      </c>
      <c r="GK29">
        <v>0</v>
      </c>
      <c r="GL29">
        <f t="shared" si="48"/>
        <v>0</v>
      </c>
      <c r="GM29">
        <f t="shared" si="49"/>
        <v>28266.01</v>
      </c>
      <c r="GN29">
        <f t="shared" si="50"/>
        <v>28266.01</v>
      </c>
      <c r="GO29">
        <f t="shared" si="51"/>
        <v>0</v>
      </c>
      <c r="GP29">
        <f t="shared" si="52"/>
        <v>0</v>
      </c>
      <c r="GR29">
        <v>0</v>
      </c>
      <c r="GS29">
        <v>0</v>
      </c>
      <c r="GT29">
        <v>0</v>
      </c>
      <c r="GU29" t="s">
        <v>3</v>
      </c>
      <c r="GV29">
        <f t="shared" si="53"/>
        <v>0</v>
      </c>
      <c r="GW29">
        <v>2.2799999999999998</v>
      </c>
      <c r="GX29">
        <f t="shared" si="54"/>
        <v>0</v>
      </c>
      <c r="HA29">
        <v>0</v>
      </c>
      <c r="HB29">
        <v>0</v>
      </c>
      <c r="HC29">
        <f t="shared" si="55"/>
        <v>0</v>
      </c>
      <c r="HE29" t="s">
        <v>3</v>
      </c>
      <c r="HF29" t="s">
        <v>3</v>
      </c>
      <c r="IK29">
        <v>0</v>
      </c>
    </row>
    <row r="30" spans="1:245" x14ac:dyDescent="0.2">
      <c r="A30">
        <v>17</v>
      </c>
      <c r="B30">
        <v>1</v>
      </c>
      <c r="C30">
        <f>ROW(SmtRes!A4)</f>
        <v>4</v>
      </c>
      <c r="D30">
        <f>ROW(EtalonRes!A4)</f>
        <v>4</v>
      </c>
      <c r="E30" t="s">
        <v>32</v>
      </c>
      <c r="F30" t="s">
        <v>33</v>
      </c>
      <c r="G30" t="s">
        <v>34</v>
      </c>
      <c r="H30" t="s">
        <v>35</v>
      </c>
      <c r="I30">
        <v>1</v>
      </c>
      <c r="J30">
        <v>0</v>
      </c>
      <c r="O30">
        <f t="shared" si="21"/>
        <v>50489.24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50489.24</v>
      </c>
      <c r="T30">
        <f t="shared" si="26"/>
        <v>0</v>
      </c>
      <c r="U30">
        <f t="shared" si="27"/>
        <v>86.507999999999996</v>
      </c>
      <c r="V30">
        <f t="shared" si="28"/>
        <v>0</v>
      </c>
      <c r="W30">
        <f t="shared" si="29"/>
        <v>0</v>
      </c>
      <c r="X30">
        <f t="shared" si="30"/>
        <v>27769.08</v>
      </c>
      <c r="Y30">
        <f t="shared" si="31"/>
        <v>16156.56</v>
      </c>
      <c r="AA30">
        <v>30528041</v>
      </c>
      <c r="AB30">
        <f t="shared" si="32"/>
        <v>1120.1759999999999</v>
      </c>
      <c r="AC30">
        <f t="shared" si="33"/>
        <v>0</v>
      </c>
      <c r="AD30">
        <f t="shared" si="56"/>
        <v>0</v>
      </c>
      <c r="AE30">
        <f t="shared" si="57"/>
        <v>0</v>
      </c>
      <c r="AF30">
        <f t="shared" si="58"/>
        <v>1120.1759999999999</v>
      </c>
      <c r="AG30">
        <f t="shared" si="34"/>
        <v>0</v>
      </c>
      <c r="AH30">
        <f t="shared" si="59"/>
        <v>86.507999999999996</v>
      </c>
      <c r="AI30">
        <f t="shared" si="60"/>
        <v>0</v>
      </c>
      <c r="AJ30">
        <f t="shared" si="35"/>
        <v>0</v>
      </c>
      <c r="AK30">
        <v>1091.1343999999999</v>
      </c>
      <c r="AL30">
        <v>0</v>
      </c>
      <c r="AM30">
        <v>0</v>
      </c>
      <c r="AN30">
        <v>0</v>
      </c>
      <c r="AO30">
        <v>941.77760000000001</v>
      </c>
      <c r="AP30">
        <v>0</v>
      </c>
      <c r="AQ30">
        <v>73.22399999999999</v>
      </c>
      <c r="AR30">
        <v>0</v>
      </c>
      <c r="AS30">
        <v>0</v>
      </c>
      <c r="AT30">
        <v>55</v>
      </c>
      <c r="AU30">
        <v>32</v>
      </c>
      <c r="AV30">
        <v>1</v>
      </c>
      <c r="AW30">
        <v>1</v>
      </c>
      <c r="AZ30">
        <v>2.23</v>
      </c>
      <c r="BA30">
        <v>45.072600000000001</v>
      </c>
      <c r="BB30">
        <v>2.85</v>
      </c>
      <c r="BC30">
        <v>2.13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4</v>
      </c>
      <c r="BJ30" t="s">
        <v>36</v>
      </c>
      <c r="BM30">
        <v>200001</v>
      </c>
      <c r="BN30">
        <v>0</v>
      </c>
      <c r="BO30" t="s">
        <v>3</v>
      </c>
      <c r="BP30">
        <v>0</v>
      </c>
      <c r="BQ30">
        <v>4</v>
      </c>
      <c r="BR30">
        <v>0</v>
      </c>
      <c r="BS30">
        <v>2.66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65</v>
      </c>
      <c r="CA30">
        <v>40</v>
      </c>
      <c r="CE30">
        <v>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6"/>
        <v>50489.24</v>
      </c>
      <c r="CQ30">
        <f t="shared" si="37"/>
        <v>0</v>
      </c>
      <c r="CR30">
        <f t="shared" si="38"/>
        <v>0</v>
      </c>
      <c r="CS30">
        <f t="shared" si="39"/>
        <v>0</v>
      </c>
      <c r="CT30">
        <f t="shared" si="40"/>
        <v>50489.244777599997</v>
      </c>
      <c r="CU30">
        <f t="shared" si="41"/>
        <v>0</v>
      </c>
      <c r="CV30">
        <f t="shared" si="42"/>
        <v>86.507999999999996</v>
      </c>
      <c r="CW30">
        <f t="shared" si="43"/>
        <v>0</v>
      </c>
      <c r="CX30">
        <f t="shared" si="44"/>
        <v>0</v>
      </c>
      <c r="CY30">
        <f t="shared" si="45"/>
        <v>27769.081999999999</v>
      </c>
      <c r="CZ30">
        <f t="shared" si="46"/>
        <v>16156.556799999998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35</v>
      </c>
      <c r="DW30" t="s">
        <v>35</v>
      </c>
      <c r="DX30">
        <v>1</v>
      </c>
      <c r="EE30">
        <v>28959698</v>
      </c>
      <c r="EF30">
        <v>4</v>
      </c>
      <c r="EG30" t="s">
        <v>37</v>
      </c>
      <c r="EH30">
        <v>0</v>
      </c>
      <c r="EI30" t="s">
        <v>3</v>
      </c>
      <c r="EJ30">
        <v>4</v>
      </c>
      <c r="EK30">
        <v>200001</v>
      </c>
      <c r="EL30" t="s">
        <v>38</v>
      </c>
      <c r="EM30" t="s">
        <v>39</v>
      </c>
      <c r="EO30" t="s">
        <v>3</v>
      </c>
      <c r="EQ30">
        <v>0</v>
      </c>
      <c r="ER30">
        <v>887.84320000000002</v>
      </c>
      <c r="ES30">
        <v>0</v>
      </c>
      <c r="ET30">
        <v>0</v>
      </c>
      <c r="EU30">
        <v>0</v>
      </c>
      <c r="EV30">
        <v>1120.1760000000002</v>
      </c>
      <c r="EW30">
        <v>86.507999999999996</v>
      </c>
      <c r="EX30">
        <v>0</v>
      </c>
      <c r="EY30">
        <v>0</v>
      </c>
      <c r="FQ30">
        <v>0</v>
      </c>
      <c r="FR30">
        <f t="shared" si="47"/>
        <v>0</v>
      </c>
      <c r="FS30">
        <v>0</v>
      </c>
      <c r="FV30" t="s">
        <v>26</v>
      </c>
      <c r="FW30" t="s">
        <v>27</v>
      </c>
      <c r="FX30">
        <v>65</v>
      </c>
      <c r="FY30">
        <v>40</v>
      </c>
      <c r="GA30" t="s">
        <v>3</v>
      </c>
      <c r="GD30">
        <v>1</v>
      </c>
      <c r="GF30">
        <v>193069492</v>
      </c>
      <c r="GG30">
        <v>2</v>
      </c>
      <c r="GH30">
        <v>1</v>
      </c>
      <c r="GI30">
        <v>2</v>
      </c>
      <c r="GJ30">
        <v>0</v>
      </c>
      <c r="GK30">
        <v>0</v>
      </c>
      <c r="GL30">
        <f t="shared" si="48"/>
        <v>0</v>
      </c>
      <c r="GM30">
        <f t="shared" si="49"/>
        <v>94414.88</v>
      </c>
      <c r="GN30">
        <f t="shared" si="50"/>
        <v>0</v>
      </c>
      <c r="GO30">
        <f t="shared" si="51"/>
        <v>0</v>
      </c>
      <c r="GP30">
        <f t="shared" si="52"/>
        <v>94414.88</v>
      </c>
      <c r="GR30">
        <v>0</v>
      </c>
      <c r="GS30">
        <v>3</v>
      </c>
      <c r="GT30">
        <v>0</v>
      </c>
      <c r="GU30" t="s">
        <v>3</v>
      </c>
      <c r="GV30">
        <f t="shared" si="53"/>
        <v>0</v>
      </c>
      <c r="GW30">
        <v>2.73</v>
      </c>
      <c r="GX30">
        <f t="shared" si="54"/>
        <v>0</v>
      </c>
      <c r="HA30">
        <v>0</v>
      </c>
      <c r="HB30">
        <v>0</v>
      </c>
      <c r="HC30">
        <f t="shared" si="55"/>
        <v>0</v>
      </c>
      <c r="HE30" t="s">
        <v>3</v>
      </c>
      <c r="HF30" t="s">
        <v>3</v>
      </c>
      <c r="IK30">
        <v>0</v>
      </c>
    </row>
    <row r="31" spans="1:245" x14ac:dyDescent="0.2">
      <c r="A31">
        <v>17</v>
      </c>
      <c r="B31">
        <v>1</v>
      </c>
      <c r="C31">
        <f>ROW(SmtRes!A6)</f>
        <v>6</v>
      </c>
      <c r="D31">
        <f>ROW(EtalonRes!A6)</f>
        <v>6</v>
      </c>
      <c r="E31" t="s">
        <v>40</v>
      </c>
      <c r="F31" t="s">
        <v>41</v>
      </c>
      <c r="G31" t="s">
        <v>42</v>
      </c>
      <c r="H31" t="s">
        <v>43</v>
      </c>
      <c r="I31">
        <f>ROUND(3230/500,9)</f>
        <v>6.46</v>
      </c>
      <c r="J31">
        <v>0</v>
      </c>
      <c r="O31">
        <f t="shared" si="21"/>
        <v>106786.63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106786.63</v>
      </c>
      <c r="T31">
        <f t="shared" si="26"/>
        <v>0</v>
      </c>
      <c r="U31">
        <f t="shared" si="27"/>
        <v>173.60345599999999</v>
      </c>
      <c r="V31">
        <f t="shared" si="28"/>
        <v>0</v>
      </c>
      <c r="W31">
        <f t="shared" si="29"/>
        <v>0</v>
      </c>
      <c r="X31">
        <f t="shared" si="30"/>
        <v>58732.65</v>
      </c>
      <c r="Y31">
        <f t="shared" si="31"/>
        <v>34171.72</v>
      </c>
      <c r="AA31">
        <v>30528041</v>
      </c>
      <c r="AB31">
        <f t="shared" si="32"/>
        <v>448.44479999999999</v>
      </c>
      <c r="AC31">
        <f t="shared" si="33"/>
        <v>0</v>
      </c>
      <c r="AD31">
        <f t="shared" si="56"/>
        <v>0</v>
      </c>
      <c r="AE31">
        <f t="shared" si="57"/>
        <v>0</v>
      </c>
      <c r="AF31">
        <f t="shared" si="58"/>
        <v>448.44479999999999</v>
      </c>
      <c r="AG31">
        <f t="shared" si="34"/>
        <v>0</v>
      </c>
      <c r="AH31">
        <f t="shared" si="59"/>
        <v>26.8736</v>
      </c>
      <c r="AI31">
        <f t="shared" si="60"/>
        <v>0</v>
      </c>
      <c r="AJ31">
        <f t="shared" si="35"/>
        <v>0</v>
      </c>
      <c r="AK31">
        <v>365.91850000000005</v>
      </c>
      <c r="AL31">
        <v>0</v>
      </c>
      <c r="AM31">
        <v>0</v>
      </c>
      <c r="AN31">
        <v>0</v>
      </c>
      <c r="AO31">
        <v>435.988</v>
      </c>
      <c r="AP31">
        <v>0</v>
      </c>
      <c r="AQ31">
        <v>28.576000000000001</v>
      </c>
      <c r="AR31">
        <v>0</v>
      </c>
      <c r="AS31">
        <v>0</v>
      </c>
      <c r="AT31">
        <v>55</v>
      </c>
      <c r="AU31">
        <v>32</v>
      </c>
      <c r="AV31">
        <v>1</v>
      </c>
      <c r="AW31">
        <v>1</v>
      </c>
      <c r="AZ31">
        <v>2.14</v>
      </c>
      <c r="BA31">
        <v>36.861699999999992</v>
      </c>
      <c r="BB31">
        <v>2.2200000000000002</v>
      </c>
      <c r="BC31">
        <v>2.34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4</v>
      </c>
      <c r="BJ31" t="s">
        <v>44</v>
      </c>
      <c r="BM31">
        <v>200001</v>
      </c>
      <c r="BN31">
        <v>0</v>
      </c>
      <c r="BO31" t="s">
        <v>3</v>
      </c>
      <c r="BP31">
        <v>0</v>
      </c>
      <c r="BQ31">
        <v>4</v>
      </c>
      <c r="BR31">
        <v>0</v>
      </c>
      <c r="BS31">
        <v>2.19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65</v>
      </c>
      <c r="CA31">
        <v>40</v>
      </c>
      <c r="CE31">
        <v>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6"/>
        <v>106786.63</v>
      </c>
      <c r="CQ31">
        <f t="shared" si="37"/>
        <v>0</v>
      </c>
      <c r="CR31">
        <f t="shared" si="38"/>
        <v>0</v>
      </c>
      <c r="CS31">
        <f t="shared" si="39"/>
        <v>0</v>
      </c>
      <c r="CT31">
        <f t="shared" si="40"/>
        <v>16530.437684159995</v>
      </c>
      <c r="CU31">
        <f t="shared" si="41"/>
        <v>0</v>
      </c>
      <c r="CV31">
        <f t="shared" si="42"/>
        <v>26.8736</v>
      </c>
      <c r="CW31">
        <f t="shared" si="43"/>
        <v>0</v>
      </c>
      <c r="CX31">
        <f t="shared" si="44"/>
        <v>0</v>
      </c>
      <c r="CY31">
        <f t="shared" si="45"/>
        <v>58732.646500000003</v>
      </c>
      <c r="CZ31">
        <f t="shared" si="46"/>
        <v>34171.721600000004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43</v>
      </c>
      <c r="DW31" t="s">
        <v>43</v>
      </c>
      <c r="DX31">
        <v>1</v>
      </c>
      <c r="EE31">
        <v>28959698</v>
      </c>
      <c r="EF31">
        <v>4</v>
      </c>
      <c r="EG31" t="s">
        <v>37</v>
      </c>
      <c r="EH31">
        <v>0</v>
      </c>
      <c r="EI31" t="s">
        <v>3</v>
      </c>
      <c r="EJ31">
        <v>4</v>
      </c>
      <c r="EK31">
        <v>200001</v>
      </c>
      <c r="EL31" t="s">
        <v>38</v>
      </c>
      <c r="EM31" t="s">
        <v>39</v>
      </c>
      <c r="EO31" t="s">
        <v>3</v>
      </c>
      <c r="EQ31">
        <v>0</v>
      </c>
      <c r="ER31">
        <v>393.94630000000001</v>
      </c>
      <c r="ES31">
        <v>0</v>
      </c>
      <c r="ET31">
        <v>0</v>
      </c>
      <c r="EU31">
        <v>0</v>
      </c>
      <c r="EV31">
        <v>448.44479999999999</v>
      </c>
      <c r="EW31">
        <v>26.8736</v>
      </c>
      <c r="EX31">
        <v>0</v>
      </c>
      <c r="EY31">
        <v>0</v>
      </c>
      <c r="FQ31">
        <v>0</v>
      </c>
      <c r="FR31">
        <f t="shared" si="47"/>
        <v>0</v>
      </c>
      <c r="FS31">
        <v>0</v>
      </c>
      <c r="FV31" t="s">
        <v>26</v>
      </c>
      <c r="FW31" t="s">
        <v>27</v>
      </c>
      <c r="FX31">
        <v>65</v>
      </c>
      <c r="FY31">
        <v>40</v>
      </c>
      <c r="GA31" t="s">
        <v>3</v>
      </c>
      <c r="GD31">
        <v>1</v>
      </c>
      <c r="GF31">
        <v>1607403973</v>
      </c>
      <c r="GG31">
        <v>2</v>
      </c>
      <c r="GH31">
        <v>1</v>
      </c>
      <c r="GI31">
        <v>2</v>
      </c>
      <c r="GJ31">
        <v>0</v>
      </c>
      <c r="GK31">
        <v>0</v>
      </c>
      <c r="GL31">
        <f t="shared" si="48"/>
        <v>0</v>
      </c>
      <c r="GM31">
        <f t="shared" si="49"/>
        <v>199691</v>
      </c>
      <c r="GN31">
        <f t="shared" si="50"/>
        <v>0</v>
      </c>
      <c r="GO31">
        <f t="shared" si="51"/>
        <v>0</v>
      </c>
      <c r="GP31">
        <f t="shared" si="52"/>
        <v>199691</v>
      </c>
      <c r="GR31">
        <v>0</v>
      </c>
      <c r="GS31">
        <v>3</v>
      </c>
      <c r="GT31">
        <v>0</v>
      </c>
      <c r="GU31" t="s">
        <v>3</v>
      </c>
      <c r="GV31">
        <f t="shared" si="53"/>
        <v>0</v>
      </c>
      <c r="GW31">
        <v>2.14</v>
      </c>
      <c r="GX31">
        <f t="shared" si="54"/>
        <v>0</v>
      </c>
      <c r="HA31">
        <v>0</v>
      </c>
      <c r="HB31">
        <v>0</v>
      </c>
      <c r="HC31">
        <f t="shared" si="55"/>
        <v>0</v>
      </c>
      <c r="HE31" t="s">
        <v>3</v>
      </c>
      <c r="HF31" t="s">
        <v>3</v>
      </c>
      <c r="IK31">
        <v>0</v>
      </c>
    </row>
    <row r="32" spans="1:245" x14ac:dyDescent="0.2">
      <c r="A32">
        <v>17</v>
      </c>
      <c r="B32">
        <v>1</v>
      </c>
      <c r="C32">
        <f>ROW(SmtRes!A12)</f>
        <v>12</v>
      </c>
      <c r="D32">
        <f>ROW(EtalonRes!A11)</f>
        <v>11</v>
      </c>
      <c r="E32" t="s">
        <v>45</v>
      </c>
      <c r="F32" t="s">
        <v>46</v>
      </c>
      <c r="G32" t="s">
        <v>47</v>
      </c>
      <c r="H32" t="s">
        <v>48</v>
      </c>
      <c r="I32">
        <v>6</v>
      </c>
      <c r="J32">
        <v>0</v>
      </c>
      <c r="O32">
        <f t="shared" si="21"/>
        <v>89220.04</v>
      </c>
      <c r="P32">
        <f t="shared" si="22"/>
        <v>3423.66</v>
      </c>
      <c r="Q32">
        <f t="shared" si="23"/>
        <v>0</v>
      </c>
      <c r="R32">
        <f t="shared" si="24"/>
        <v>0</v>
      </c>
      <c r="S32">
        <f t="shared" si="25"/>
        <v>85796.38</v>
      </c>
      <c r="T32">
        <f t="shared" si="26"/>
        <v>0</v>
      </c>
      <c r="U32">
        <f t="shared" si="27"/>
        <v>181.24799999999999</v>
      </c>
      <c r="V32">
        <f t="shared" si="28"/>
        <v>0</v>
      </c>
      <c r="W32">
        <f t="shared" si="29"/>
        <v>0</v>
      </c>
      <c r="X32">
        <f t="shared" si="30"/>
        <v>69495.070000000007</v>
      </c>
      <c r="Y32">
        <f t="shared" si="31"/>
        <v>44614.12</v>
      </c>
      <c r="AA32">
        <v>30528041</v>
      </c>
      <c r="AB32">
        <f t="shared" si="32"/>
        <v>315.53649999999999</v>
      </c>
      <c r="AC32">
        <f t="shared" si="33"/>
        <v>32.314500000000002</v>
      </c>
      <c r="AD32">
        <f t="shared" si="56"/>
        <v>0</v>
      </c>
      <c r="AE32">
        <f t="shared" si="57"/>
        <v>0</v>
      </c>
      <c r="AF32">
        <f t="shared" si="58"/>
        <v>283.22199999999998</v>
      </c>
      <c r="AG32">
        <f t="shared" si="34"/>
        <v>0</v>
      </c>
      <c r="AH32">
        <f t="shared" si="59"/>
        <v>30.207999999999998</v>
      </c>
      <c r="AI32">
        <f t="shared" si="60"/>
        <v>0</v>
      </c>
      <c r="AJ32">
        <f t="shared" si="35"/>
        <v>0</v>
      </c>
      <c r="AK32">
        <v>386.87599999999992</v>
      </c>
      <c r="AL32">
        <v>41.933700000000002</v>
      </c>
      <c r="AM32">
        <v>0</v>
      </c>
      <c r="AN32">
        <v>0</v>
      </c>
      <c r="AO32">
        <v>314.00700000000001</v>
      </c>
      <c r="AP32">
        <v>0</v>
      </c>
      <c r="AQ32">
        <v>27.392000000000003</v>
      </c>
      <c r="AR32">
        <v>0</v>
      </c>
      <c r="AS32">
        <v>0</v>
      </c>
      <c r="AT32">
        <v>81</v>
      </c>
      <c r="AU32">
        <v>52</v>
      </c>
      <c r="AV32">
        <v>1</v>
      </c>
      <c r="AW32">
        <v>1</v>
      </c>
      <c r="AZ32">
        <v>2.64</v>
      </c>
      <c r="BA32">
        <v>50.488300000000002</v>
      </c>
      <c r="BB32">
        <v>2.64</v>
      </c>
      <c r="BC32">
        <v>17.658000000000001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2</v>
      </c>
      <c r="BJ32" t="s">
        <v>49</v>
      </c>
      <c r="BM32">
        <v>108001</v>
      </c>
      <c r="BN32">
        <v>0</v>
      </c>
      <c r="BO32" t="s">
        <v>46</v>
      </c>
      <c r="BP32">
        <v>1</v>
      </c>
      <c r="BQ32">
        <v>3</v>
      </c>
      <c r="BR32">
        <v>0</v>
      </c>
      <c r="BS32">
        <v>48.741299999999995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95</v>
      </c>
      <c r="CA32">
        <v>65</v>
      </c>
      <c r="CE32">
        <v>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6"/>
        <v>89220.040000000008</v>
      </c>
      <c r="CQ32">
        <f t="shared" si="37"/>
        <v>570.60944100000006</v>
      </c>
      <c r="CR32">
        <f t="shared" si="38"/>
        <v>0</v>
      </c>
      <c r="CS32">
        <f t="shared" si="39"/>
        <v>0</v>
      </c>
      <c r="CT32">
        <f t="shared" si="40"/>
        <v>14299.3973026</v>
      </c>
      <c r="CU32">
        <f t="shared" si="41"/>
        <v>0</v>
      </c>
      <c r="CV32">
        <f t="shared" si="42"/>
        <v>30.207999999999998</v>
      </c>
      <c r="CW32">
        <f t="shared" si="43"/>
        <v>0</v>
      </c>
      <c r="CX32">
        <f t="shared" si="44"/>
        <v>0</v>
      </c>
      <c r="CY32">
        <f t="shared" si="45"/>
        <v>69495.067800000004</v>
      </c>
      <c r="CZ32">
        <f t="shared" si="46"/>
        <v>44614.117599999998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1013</v>
      </c>
      <c r="DV32" t="s">
        <v>48</v>
      </c>
      <c r="DW32" t="s">
        <v>48</v>
      </c>
      <c r="DX32">
        <v>1</v>
      </c>
      <c r="EE32">
        <v>28959656</v>
      </c>
      <c r="EF32">
        <v>3</v>
      </c>
      <c r="EG32" t="s">
        <v>50</v>
      </c>
      <c r="EH32">
        <v>0</v>
      </c>
      <c r="EI32" t="s">
        <v>3</v>
      </c>
      <c r="EJ32">
        <v>2</v>
      </c>
      <c r="EK32">
        <v>108001</v>
      </c>
      <c r="EL32" t="s">
        <v>51</v>
      </c>
      <c r="EM32" t="s">
        <v>52</v>
      </c>
      <c r="EO32" t="s">
        <v>3</v>
      </c>
      <c r="EQ32">
        <v>0</v>
      </c>
      <c r="ER32">
        <v>371.67729999999995</v>
      </c>
      <c r="ES32">
        <v>32.314499999999995</v>
      </c>
      <c r="ET32">
        <v>0</v>
      </c>
      <c r="EU32">
        <v>0</v>
      </c>
      <c r="EV32">
        <v>283.22199999999998</v>
      </c>
      <c r="EW32">
        <v>30.207999999999998</v>
      </c>
      <c r="EX32">
        <v>0</v>
      </c>
      <c r="EY32">
        <v>0</v>
      </c>
      <c r="FQ32">
        <v>0</v>
      </c>
      <c r="FR32">
        <f t="shared" si="47"/>
        <v>0</v>
      </c>
      <c r="FS32">
        <v>0</v>
      </c>
      <c r="FV32" t="s">
        <v>26</v>
      </c>
      <c r="FW32" t="s">
        <v>27</v>
      </c>
      <c r="FX32">
        <v>95</v>
      </c>
      <c r="FY32">
        <v>65</v>
      </c>
      <c r="GA32" t="s">
        <v>3</v>
      </c>
      <c r="GD32">
        <v>1</v>
      </c>
      <c r="GF32">
        <v>-54751308</v>
      </c>
      <c r="GG32">
        <v>2</v>
      </c>
      <c r="GH32">
        <v>1</v>
      </c>
      <c r="GI32">
        <v>2</v>
      </c>
      <c r="GJ32">
        <v>0</v>
      </c>
      <c r="GK32">
        <v>0</v>
      </c>
      <c r="GL32">
        <f t="shared" si="48"/>
        <v>0</v>
      </c>
      <c r="GM32">
        <f t="shared" si="49"/>
        <v>203329.23</v>
      </c>
      <c r="GN32">
        <f t="shared" si="50"/>
        <v>0</v>
      </c>
      <c r="GO32">
        <f t="shared" si="51"/>
        <v>203329.23</v>
      </c>
      <c r="GP32">
        <f t="shared" si="52"/>
        <v>0</v>
      </c>
      <c r="GR32">
        <v>0</v>
      </c>
      <c r="GS32">
        <v>3</v>
      </c>
      <c r="GT32">
        <v>0</v>
      </c>
      <c r="GU32" t="s">
        <v>3</v>
      </c>
      <c r="GV32">
        <f t="shared" si="53"/>
        <v>0</v>
      </c>
      <c r="GW32">
        <v>2.17</v>
      </c>
      <c r="GX32">
        <f t="shared" si="54"/>
        <v>0</v>
      </c>
      <c r="HA32">
        <v>0</v>
      </c>
      <c r="HB32">
        <v>0</v>
      </c>
      <c r="HC32">
        <f t="shared" si="55"/>
        <v>0</v>
      </c>
      <c r="HE32" t="s">
        <v>3</v>
      </c>
      <c r="HF32" t="s">
        <v>3</v>
      </c>
      <c r="IK32">
        <v>0</v>
      </c>
    </row>
    <row r="33" spans="1:245" x14ac:dyDescent="0.2">
      <c r="A33">
        <v>18</v>
      </c>
      <c r="B33">
        <v>1</v>
      </c>
      <c r="C33">
        <v>10</v>
      </c>
      <c r="E33" t="s">
        <v>53</v>
      </c>
      <c r="F33" t="s">
        <v>54</v>
      </c>
      <c r="G33" t="s">
        <v>55</v>
      </c>
      <c r="H33" t="s">
        <v>56</v>
      </c>
      <c r="I33">
        <f>I32*J33</f>
        <v>6</v>
      </c>
      <c r="J33">
        <v>1</v>
      </c>
      <c r="O33">
        <f t="shared" si="21"/>
        <v>141891.74</v>
      </c>
      <c r="P33">
        <f t="shared" si="22"/>
        <v>141891.74</v>
      </c>
      <c r="Q33">
        <f t="shared" si="23"/>
        <v>0</v>
      </c>
      <c r="R33">
        <f t="shared" si="24"/>
        <v>0</v>
      </c>
      <c r="S33">
        <f t="shared" si="25"/>
        <v>0</v>
      </c>
      <c r="T33">
        <f t="shared" si="26"/>
        <v>0</v>
      </c>
      <c r="U33">
        <f t="shared" si="27"/>
        <v>0</v>
      </c>
      <c r="V33">
        <f t="shared" si="28"/>
        <v>0</v>
      </c>
      <c r="W33">
        <f t="shared" si="29"/>
        <v>0</v>
      </c>
      <c r="X33">
        <f t="shared" si="30"/>
        <v>0</v>
      </c>
      <c r="Y33">
        <f t="shared" si="31"/>
        <v>0</v>
      </c>
      <c r="AA33">
        <v>30528041</v>
      </c>
      <c r="AB33">
        <f t="shared" si="32"/>
        <v>1887.8423</v>
      </c>
      <c r="AC33">
        <f t="shared" si="33"/>
        <v>1887.8423</v>
      </c>
      <c r="AD33">
        <f t="shared" si="56"/>
        <v>0</v>
      </c>
      <c r="AE33">
        <f t="shared" si="57"/>
        <v>0</v>
      </c>
      <c r="AF33">
        <f t="shared" si="58"/>
        <v>0</v>
      </c>
      <c r="AG33">
        <f t="shared" si="34"/>
        <v>0</v>
      </c>
      <c r="AH33">
        <f t="shared" si="59"/>
        <v>0</v>
      </c>
      <c r="AI33">
        <f t="shared" si="60"/>
        <v>0</v>
      </c>
      <c r="AJ33">
        <f t="shared" si="35"/>
        <v>0</v>
      </c>
      <c r="AK33">
        <v>1444.4345000000001</v>
      </c>
      <c r="AL33">
        <v>1605.6737000000003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1</v>
      </c>
      <c r="AZ33">
        <v>2.11</v>
      </c>
      <c r="BA33">
        <v>2.16</v>
      </c>
      <c r="BB33">
        <v>2.12</v>
      </c>
      <c r="BC33">
        <v>12.5268</v>
      </c>
      <c r="BD33" t="s">
        <v>3</v>
      </c>
      <c r="BE33" t="s">
        <v>3</v>
      </c>
      <c r="BF33" t="s">
        <v>3</v>
      </c>
      <c r="BG33" t="s">
        <v>3</v>
      </c>
      <c r="BH33">
        <v>3</v>
      </c>
      <c r="BI33">
        <v>2</v>
      </c>
      <c r="BJ33" t="s">
        <v>57</v>
      </c>
      <c r="BM33">
        <v>500002</v>
      </c>
      <c r="BN33">
        <v>0</v>
      </c>
      <c r="BO33" t="s">
        <v>54</v>
      </c>
      <c r="BP33">
        <v>1</v>
      </c>
      <c r="BQ33">
        <v>12</v>
      </c>
      <c r="BR33">
        <v>0</v>
      </c>
      <c r="BS33">
        <v>2.2799999999999998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0</v>
      </c>
      <c r="CA33">
        <v>0</v>
      </c>
      <c r="CE33">
        <v>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6"/>
        <v>141891.74</v>
      </c>
      <c r="CQ33">
        <f t="shared" si="37"/>
        <v>23648.622923639999</v>
      </c>
      <c r="CR33">
        <f t="shared" si="38"/>
        <v>0</v>
      </c>
      <c r="CS33">
        <f t="shared" si="39"/>
        <v>0</v>
      </c>
      <c r="CT33">
        <f t="shared" si="40"/>
        <v>0</v>
      </c>
      <c r="CU33">
        <f t="shared" si="41"/>
        <v>0</v>
      </c>
      <c r="CV33">
        <f t="shared" si="42"/>
        <v>0</v>
      </c>
      <c r="CW33">
        <f t="shared" si="43"/>
        <v>0</v>
      </c>
      <c r="CX33">
        <f t="shared" si="44"/>
        <v>0</v>
      </c>
      <c r="CY33">
        <f t="shared" si="45"/>
        <v>0</v>
      </c>
      <c r="CZ33">
        <f t="shared" si="46"/>
        <v>0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1010</v>
      </c>
      <c r="DV33" t="s">
        <v>56</v>
      </c>
      <c r="DW33" t="s">
        <v>56</v>
      </c>
      <c r="DX33">
        <v>1</v>
      </c>
      <c r="EE33">
        <v>28959707</v>
      </c>
      <c r="EF33">
        <v>12</v>
      </c>
      <c r="EG33" t="s">
        <v>58</v>
      </c>
      <c r="EH33">
        <v>0</v>
      </c>
      <c r="EI33" t="s">
        <v>3</v>
      </c>
      <c r="EJ33">
        <v>2</v>
      </c>
      <c r="EK33">
        <v>500002</v>
      </c>
      <c r="EL33" t="s">
        <v>59</v>
      </c>
      <c r="EM33" t="s">
        <v>60</v>
      </c>
      <c r="EO33" t="s">
        <v>3</v>
      </c>
      <c r="EQ33">
        <v>0</v>
      </c>
      <c r="ER33">
        <v>1430.9979000000001</v>
      </c>
      <c r="ES33">
        <v>1887.8423000000003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7"/>
        <v>0</v>
      </c>
      <c r="FS33">
        <v>0</v>
      </c>
      <c r="FX33">
        <v>0</v>
      </c>
      <c r="FY33">
        <v>0</v>
      </c>
      <c r="GA33" t="s">
        <v>3</v>
      </c>
      <c r="GD33">
        <v>1</v>
      </c>
      <c r="GF33">
        <v>1048833068</v>
      </c>
      <c r="GG33">
        <v>2</v>
      </c>
      <c r="GH33">
        <v>1</v>
      </c>
      <c r="GI33">
        <v>2</v>
      </c>
      <c r="GJ33">
        <v>0</v>
      </c>
      <c r="GK33">
        <v>0</v>
      </c>
      <c r="GL33">
        <f t="shared" si="48"/>
        <v>0</v>
      </c>
      <c r="GM33">
        <f t="shared" si="49"/>
        <v>141891.74</v>
      </c>
      <c r="GN33">
        <f t="shared" si="50"/>
        <v>0</v>
      </c>
      <c r="GO33">
        <f t="shared" si="51"/>
        <v>141891.74</v>
      </c>
      <c r="GP33">
        <f t="shared" si="52"/>
        <v>0</v>
      </c>
      <c r="GR33">
        <v>0</v>
      </c>
      <c r="GS33">
        <v>3</v>
      </c>
      <c r="GT33">
        <v>0</v>
      </c>
      <c r="GU33" t="s">
        <v>3</v>
      </c>
      <c r="GV33">
        <f t="shared" si="53"/>
        <v>0</v>
      </c>
      <c r="GW33">
        <v>2.8</v>
      </c>
      <c r="GX33">
        <f t="shared" si="54"/>
        <v>0</v>
      </c>
      <c r="HA33">
        <v>0</v>
      </c>
      <c r="HB33">
        <v>0</v>
      </c>
      <c r="HC33">
        <f t="shared" si="55"/>
        <v>0</v>
      </c>
      <c r="HE33" t="s">
        <v>3</v>
      </c>
      <c r="HF33" t="s">
        <v>3</v>
      </c>
      <c r="IK33">
        <v>0</v>
      </c>
    </row>
    <row r="34" spans="1:245" x14ac:dyDescent="0.2">
      <c r="A34">
        <v>17</v>
      </c>
      <c r="B34">
        <v>1</v>
      </c>
      <c r="C34">
        <f>ROW(SmtRes!A25)</f>
        <v>25</v>
      </c>
      <c r="D34">
        <f>ROW(EtalonRes!A23)</f>
        <v>23</v>
      </c>
      <c r="E34" t="s">
        <v>61</v>
      </c>
      <c r="F34" t="s">
        <v>62</v>
      </c>
      <c r="G34" t="s">
        <v>63</v>
      </c>
      <c r="H34" t="s">
        <v>64</v>
      </c>
      <c r="I34">
        <f>ROUND(30/100,9)</f>
        <v>0.3</v>
      </c>
      <c r="J34">
        <v>0</v>
      </c>
      <c r="O34">
        <f t="shared" si="21"/>
        <v>11536.47</v>
      </c>
      <c r="P34">
        <f t="shared" si="22"/>
        <v>998.85</v>
      </c>
      <c r="Q34">
        <f t="shared" si="23"/>
        <v>3840.39</v>
      </c>
      <c r="R34">
        <f t="shared" si="24"/>
        <v>546.80999999999995</v>
      </c>
      <c r="S34">
        <f t="shared" si="25"/>
        <v>6697.23</v>
      </c>
      <c r="T34">
        <f t="shared" si="26"/>
        <v>0</v>
      </c>
      <c r="U34">
        <f t="shared" si="27"/>
        <v>14.492640000000002</v>
      </c>
      <c r="V34">
        <f t="shared" si="28"/>
        <v>0.84744000000000008</v>
      </c>
      <c r="W34">
        <f t="shared" si="29"/>
        <v>0</v>
      </c>
      <c r="X34">
        <f t="shared" si="30"/>
        <v>5867.67</v>
      </c>
      <c r="Y34">
        <f t="shared" si="31"/>
        <v>3766.9</v>
      </c>
      <c r="AA34">
        <v>30528041</v>
      </c>
      <c r="AB34">
        <f t="shared" si="32"/>
        <v>1385.2775999999999</v>
      </c>
      <c r="AC34">
        <f t="shared" si="33"/>
        <v>153.4085</v>
      </c>
      <c r="AD34">
        <f t="shared" si="56"/>
        <v>773.85699999999997</v>
      </c>
      <c r="AE34">
        <f t="shared" si="57"/>
        <v>42.4116</v>
      </c>
      <c r="AF34">
        <f t="shared" si="58"/>
        <v>458.01209999999998</v>
      </c>
      <c r="AG34">
        <f t="shared" si="34"/>
        <v>0</v>
      </c>
      <c r="AH34">
        <f t="shared" si="59"/>
        <v>48.308800000000005</v>
      </c>
      <c r="AI34">
        <f t="shared" si="60"/>
        <v>2.8248000000000002</v>
      </c>
      <c r="AJ34">
        <f t="shared" si="35"/>
        <v>0</v>
      </c>
      <c r="AK34">
        <v>1261.3548999999998</v>
      </c>
      <c r="AL34">
        <v>142.40940000000001</v>
      </c>
      <c r="AM34">
        <v>705.57549999999992</v>
      </c>
      <c r="AN34">
        <v>49.361400000000003</v>
      </c>
      <c r="AO34">
        <v>414.39190000000008</v>
      </c>
      <c r="AP34">
        <v>0</v>
      </c>
      <c r="AQ34">
        <v>43.6</v>
      </c>
      <c r="AR34">
        <v>2.8380000000000001</v>
      </c>
      <c r="AS34">
        <v>0</v>
      </c>
      <c r="AT34">
        <v>81</v>
      </c>
      <c r="AU34">
        <v>52</v>
      </c>
      <c r="AV34">
        <v>1</v>
      </c>
      <c r="AW34">
        <v>1</v>
      </c>
      <c r="AZ34">
        <v>2.11</v>
      </c>
      <c r="BA34">
        <v>48.741299999999995</v>
      </c>
      <c r="BB34">
        <v>16.542200000000001</v>
      </c>
      <c r="BC34">
        <v>21.703499999999998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2</v>
      </c>
      <c r="BJ34" t="s">
        <v>65</v>
      </c>
      <c r="BM34">
        <v>108001</v>
      </c>
      <c r="BN34">
        <v>0</v>
      </c>
      <c r="BO34" t="s">
        <v>62</v>
      </c>
      <c r="BP34">
        <v>1</v>
      </c>
      <c r="BQ34">
        <v>3</v>
      </c>
      <c r="BR34">
        <v>0</v>
      </c>
      <c r="BS34">
        <v>42.976199999999999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95</v>
      </c>
      <c r="CA34">
        <v>65</v>
      </c>
      <c r="CE34">
        <v>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6"/>
        <v>11536.47</v>
      </c>
      <c r="CQ34">
        <f t="shared" si="37"/>
        <v>3329.5013797499996</v>
      </c>
      <c r="CR34">
        <f t="shared" si="38"/>
        <v>12801.2972654</v>
      </c>
      <c r="CS34">
        <f t="shared" si="39"/>
        <v>1822.6894039199999</v>
      </c>
      <c r="CT34">
        <f t="shared" si="40"/>
        <v>22324.105169729995</v>
      </c>
      <c r="CU34">
        <f t="shared" si="41"/>
        <v>0</v>
      </c>
      <c r="CV34">
        <f t="shared" si="42"/>
        <v>48.308800000000005</v>
      </c>
      <c r="CW34">
        <f t="shared" si="43"/>
        <v>2.8248000000000002</v>
      </c>
      <c r="CX34">
        <f t="shared" si="44"/>
        <v>0</v>
      </c>
      <c r="CY34">
        <f t="shared" si="45"/>
        <v>5867.6723999999986</v>
      </c>
      <c r="CZ34">
        <f t="shared" si="46"/>
        <v>3766.9007999999994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1013</v>
      </c>
      <c r="DV34" t="s">
        <v>64</v>
      </c>
      <c r="DW34" t="s">
        <v>64</v>
      </c>
      <c r="DX34">
        <v>1</v>
      </c>
      <c r="EE34">
        <v>28959656</v>
      </c>
      <c r="EF34">
        <v>3</v>
      </c>
      <c r="EG34" t="s">
        <v>50</v>
      </c>
      <c r="EH34">
        <v>0</v>
      </c>
      <c r="EI34" t="s">
        <v>3</v>
      </c>
      <c r="EJ34">
        <v>2</v>
      </c>
      <c r="EK34">
        <v>108001</v>
      </c>
      <c r="EL34" t="s">
        <v>51</v>
      </c>
      <c r="EM34" t="s">
        <v>52</v>
      </c>
      <c r="EO34" t="s">
        <v>3</v>
      </c>
      <c r="EQ34">
        <v>0</v>
      </c>
      <c r="ER34">
        <v>1217.2900999999999</v>
      </c>
      <c r="ES34">
        <v>153.4085</v>
      </c>
      <c r="ET34">
        <v>773.85699999999986</v>
      </c>
      <c r="EU34">
        <v>42.4116</v>
      </c>
      <c r="EV34">
        <v>458.01210000000003</v>
      </c>
      <c r="EW34">
        <v>48.308800000000005</v>
      </c>
      <c r="EX34">
        <v>2.8248000000000002</v>
      </c>
      <c r="EY34">
        <v>0</v>
      </c>
      <c r="FQ34">
        <v>0</v>
      </c>
      <c r="FR34">
        <f t="shared" si="47"/>
        <v>0</v>
      </c>
      <c r="FS34">
        <v>0</v>
      </c>
      <c r="FV34" t="s">
        <v>26</v>
      </c>
      <c r="FW34" t="s">
        <v>27</v>
      </c>
      <c r="FX34">
        <v>95</v>
      </c>
      <c r="FY34">
        <v>65</v>
      </c>
      <c r="GA34" t="s">
        <v>3</v>
      </c>
      <c r="GD34">
        <v>1</v>
      </c>
      <c r="GF34">
        <v>-997670802</v>
      </c>
      <c r="GG34">
        <v>2</v>
      </c>
      <c r="GH34">
        <v>1</v>
      </c>
      <c r="GI34">
        <v>2</v>
      </c>
      <c r="GJ34">
        <v>0</v>
      </c>
      <c r="GK34">
        <v>0</v>
      </c>
      <c r="GL34">
        <f t="shared" si="48"/>
        <v>0</v>
      </c>
      <c r="GM34">
        <f t="shared" si="49"/>
        <v>21171.040000000001</v>
      </c>
      <c r="GN34">
        <f t="shared" si="50"/>
        <v>0</v>
      </c>
      <c r="GO34">
        <f t="shared" si="51"/>
        <v>21171.040000000001</v>
      </c>
      <c r="GP34">
        <f t="shared" si="52"/>
        <v>0</v>
      </c>
      <c r="GR34">
        <v>0</v>
      </c>
      <c r="GS34">
        <v>0</v>
      </c>
      <c r="GT34">
        <v>0</v>
      </c>
      <c r="GU34" t="s">
        <v>3</v>
      </c>
      <c r="GV34">
        <f t="shared" si="53"/>
        <v>0</v>
      </c>
      <c r="GW34">
        <v>2.13</v>
      </c>
      <c r="GX34">
        <f t="shared" si="54"/>
        <v>0</v>
      </c>
      <c r="HA34">
        <v>0</v>
      </c>
      <c r="HB34">
        <v>0</v>
      </c>
      <c r="HC34">
        <f t="shared" si="55"/>
        <v>0</v>
      </c>
      <c r="HE34" t="s">
        <v>3</v>
      </c>
      <c r="HF34" t="s">
        <v>3</v>
      </c>
      <c r="IK34">
        <v>0</v>
      </c>
    </row>
    <row r="35" spans="1:245" x14ac:dyDescent="0.2">
      <c r="A35">
        <v>18</v>
      </c>
      <c r="B35">
        <v>1</v>
      </c>
      <c r="C35">
        <v>24</v>
      </c>
      <c r="E35" t="s">
        <v>66</v>
      </c>
      <c r="F35" t="s">
        <v>67</v>
      </c>
      <c r="G35" t="s">
        <v>68</v>
      </c>
      <c r="H35" t="s">
        <v>69</v>
      </c>
      <c r="I35">
        <f>I34*J35</f>
        <v>0.03</v>
      </c>
      <c r="J35">
        <v>0.1</v>
      </c>
      <c r="O35">
        <f t="shared" si="21"/>
        <v>88765.69</v>
      </c>
      <c r="P35">
        <f t="shared" si="22"/>
        <v>88765.69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30528041</v>
      </c>
      <c r="AB35">
        <f t="shared" si="32"/>
        <v>231649.28520000001</v>
      </c>
      <c r="AC35">
        <f t="shared" si="33"/>
        <v>231649.28520000001</v>
      </c>
      <c r="AD35">
        <f t="shared" si="56"/>
        <v>0</v>
      </c>
      <c r="AE35">
        <f t="shared" si="57"/>
        <v>0</v>
      </c>
      <c r="AF35">
        <f t="shared" si="58"/>
        <v>0</v>
      </c>
      <c r="AG35">
        <f t="shared" si="34"/>
        <v>0</v>
      </c>
      <c r="AH35">
        <f t="shared" si="59"/>
        <v>0</v>
      </c>
      <c r="AI35">
        <f t="shared" si="60"/>
        <v>0</v>
      </c>
      <c r="AJ35">
        <f t="shared" si="35"/>
        <v>0</v>
      </c>
      <c r="AK35">
        <v>266715.46139999997</v>
      </c>
      <c r="AL35">
        <v>273091.1298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Z35">
        <v>2.27</v>
      </c>
      <c r="BA35">
        <v>2.77</v>
      </c>
      <c r="BB35">
        <v>2.85</v>
      </c>
      <c r="BC35">
        <v>12.773</v>
      </c>
      <c r="BD35" t="s">
        <v>3</v>
      </c>
      <c r="BE35" t="s">
        <v>3</v>
      </c>
      <c r="BF35" t="s">
        <v>3</v>
      </c>
      <c r="BG35" t="s">
        <v>3</v>
      </c>
      <c r="BH35">
        <v>3</v>
      </c>
      <c r="BI35">
        <v>2</v>
      </c>
      <c r="BJ35" t="s">
        <v>70</v>
      </c>
      <c r="BM35">
        <v>500002</v>
      </c>
      <c r="BN35">
        <v>0</v>
      </c>
      <c r="BO35" t="s">
        <v>67</v>
      </c>
      <c r="BP35">
        <v>1</v>
      </c>
      <c r="BQ35">
        <v>12</v>
      </c>
      <c r="BR35">
        <v>0</v>
      </c>
      <c r="BS35">
        <v>2.29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0</v>
      </c>
      <c r="CA35">
        <v>0</v>
      </c>
      <c r="CE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6"/>
        <v>88765.69</v>
      </c>
      <c r="CQ35">
        <f t="shared" si="37"/>
        <v>2958856.3198596002</v>
      </c>
      <c r="CR35">
        <f t="shared" si="38"/>
        <v>0</v>
      </c>
      <c r="CS35">
        <f t="shared" si="39"/>
        <v>0</v>
      </c>
      <c r="CT35">
        <f t="shared" si="40"/>
        <v>0</v>
      </c>
      <c r="CU35">
        <f t="shared" si="41"/>
        <v>0</v>
      </c>
      <c r="CV35">
        <f t="shared" si="42"/>
        <v>0</v>
      </c>
      <c r="CW35">
        <f t="shared" si="43"/>
        <v>0</v>
      </c>
      <c r="CX35">
        <f t="shared" si="44"/>
        <v>0</v>
      </c>
      <c r="CY35">
        <f t="shared" si="45"/>
        <v>0</v>
      </c>
      <c r="CZ35">
        <f t="shared" si="46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69</v>
      </c>
      <c r="DW35" t="s">
        <v>71</v>
      </c>
      <c r="DX35">
        <v>1</v>
      </c>
      <c r="EE35">
        <v>28959707</v>
      </c>
      <c r="EF35">
        <v>12</v>
      </c>
      <c r="EG35" t="s">
        <v>58</v>
      </c>
      <c r="EH35">
        <v>0</v>
      </c>
      <c r="EI35" t="s">
        <v>3</v>
      </c>
      <c r="EJ35">
        <v>2</v>
      </c>
      <c r="EK35">
        <v>500002</v>
      </c>
      <c r="EL35" t="s">
        <v>59</v>
      </c>
      <c r="EM35" t="s">
        <v>60</v>
      </c>
      <c r="EO35" t="s">
        <v>3</v>
      </c>
      <c r="EQ35">
        <v>0</v>
      </c>
      <c r="ER35">
        <v>239087.565</v>
      </c>
      <c r="ES35">
        <v>231649.28520000001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47"/>
        <v>0</v>
      </c>
      <c r="FS35">
        <v>0</v>
      </c>
      <c r="FX35">
        <v>0</v>
      </c>
      <c r="FY35">
        <v>0</v>
      </c>
      <c r="GA35" t="s">
        <v>3</v>
      </c>
      <c r="GD35">
        <v>1</v>
      </c>
      <c r="GF35">
        <v>2068180100</v>
      </c>
      <c r="GG35">
        <v>2</v>
      </c>
      <c r="GH35">
        <v>1</v>
      </c>
      <c r="GI35">
        <v>2</v>
      </c>
      <c r="GJ35">
        <v>0</v>
      </c>
      <c r="GK35">
        <v>0</v>
      </c>
      <c r="GL35">
        <f t="shared" si="48"/>
        <v>0</v>
      </c>
      <c r="GM35">
        <f t="shared" si="49"/>
        <v>88765.69</v>
      </c>
      <c r="GN35">
        <f t="shared" si="50"/>
        <v>0</v>
      </c>
      <c r="GO35">
        <f t="shared" si="51"/>
        <v>88765.69</v>
      </c>
      <c r="GP35">
        <f t="shared" si="52"/>
        <v>0</v>
      </c>
      <c r="GR35">
        <v>0</v>
      </c>
      <c r="GS35">
        <v>3</v>
      </c>
      <c r="GT35">
        <v>0</v>
      </c>
      <c r="GU35" t="s">
        <v>3</v>
      </c>
      <c r="GV35">
        <f t="shared" si="53"/>
        <v>0</v>
      </c>
      <c r="GW35">
        <v>2.65</v>
      </c>
      <c r="GX35">
        <f t="shared" si="54"/>
        <v>0</v>
      </c>
      <c r="HA35">
        <v>0</v>
      </c>
      <c r="HB35">
        <v>0</v>
      </c>
      <c r="HC35">
        <f t="shared" si="55"/>
        <v>0</v>
      </c>
      <c r="HE35" t="s">
        <v>3</v>
      </c>
      <c r="HF35" t="s">
        <v>3</v>
      </c>
      <c r="IK35">
        <v>0</v>
      </c>
    </row>
    <row r="36" spans="1:245" x14ac:dyDescent="0.2">
      <c r="A36">
        <v>17</v>
      </c>
      <c r="B36">
        <v>1</v>
      </c>
      <c r="C36">
        <f>ROW(SmtRes!A27)</f>
        <v>27</v>
      </c>
      <c r="D36">
        <f>ROW(EtalonRes!A25)</f>
        <v>25</v>
      </c>
      <c r="E36" t="s">
        <v>72</v>
      </c>
      <c r="F36" t="s">
        <v>73</v>
      </c>
      <c r="G36" t="s">
        <v>74</v>
      </c>
      <c r="H36" t="s">
        <v>75</v>
      </c>
      <c r="I36">
        <v>4</v>
      </c>
      <c r="J36">
        <v>0</v>
      </c>
      <c r="O36">
        <f t="shared" si="21"/>
        <v>18928.900000000001</v>
      </c>
      <c r="P36">
        <f t="shared" si="22"/>
        <v>0</v>
      </c>
      <c r="Q36">
        <f t="shared" si="23"/>
        <v>0</v>
      </c>
      <c r="R36">
        <f t="shared" si="24"/>
        <v>0</v>
      </c>
      <c r="S36">
        <f t="shared" si="25"/>
        <v>18928.900000000001</v>
      </c>
      <c r="T36">
        <f t="shared" si="26"/>
        <v>0</v>
      </c>
      <c r="U36">
        <f t="shared" si="27"/>
        <v>55.209600000000002</v>
      </c>
      <c r="V36">
        <f t="shared" si="28"/>
        <v>0</v>
      </c>
      <c r="W36">
        <f t="shared" si="29"/>
        <v>0</v>
      </c>
      <c r="X36">
        <f t="shared" si="30"/>
        <v>10410.9</v>
      </c>
      <c r="Y36">
        <f t="shared" si="31"/>
        <v>6057.25</v>
      </c>
      <c r="AA36">
        <v>30528041</v>
      </c>
      <c r="AB36">
        <f t="shared" si="32"/>
        <v>121.4696</v>
      </c>
      <c r="AC36">
        <f t="shared" si="33"/>
        <v>0</v>
      </c>
      <c r="AD36">
        <f t="shared" si="56"/>
        <v>0</v>
      </c>
      <c r="AE36">
        <f t="shared" si="57"/>
        <v>0</v>
      </c>
      <c r="AF36">
        <f t="shared" si="58"/>
        <v>121.4696</v>
      </c>
      <c r="AG36">
        <f t="shared" si="34"/>
        <v>0</v>
      </c>
      <c r="AH36">
        <f t="shared" si="59"/>
        <v>13.8024</v>
      </c>
      <c r="AI36">
        <f t="shared" si="60"/>
        <v>0</v>
      </c>
      <c r="AJ36">
        <f t="shared" si="35"/>
        <v>0</v>
      </c>
      <c r="AK36">
        <v>152.6728</v>
      </c>
      <c r="AL36">
        <v>0</v>
      </c>
      <c r="AM36">
        <v>0</v>
      </c>
      <c r="AN36">
        <v>0</v>
      </c>
      <c r="AO36">
        <v>159.35919999999999</v>
      </c>
      <c r="AP36">
        <v>0</v>
      </c>
      <c r="AQ36">
        <v>12.247200000000001</v>
      </c>
      <c r="AR36">
        <v>0</v>
      </c>
      <c r="AS36">
        <v>0</v>
      </c>
      <c r="AT36">
        <v>55</v>
      </c>
      <c r="AU36">
        <v>32</v>
      </c>
      <c r="AV36">
        <v>1</v>
      </c>
      <c r="AW36">
        <v>1</v>
      </c>
      <c r="AZ36">
        <v>2.35</v>
      </c>
      <c r="BA36">
        <v>38.958099999999995</v>
      </c>
      <c r="BB36">
        <v>2.39</v>
      </c>
      <c r="BC36">
        <v>2.5099999999999998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4</v>
      </c>
      <c r="BJ36" t="s">
        <v>76</v>
      </c>
      <c r="BM36">
        <v>200001</v>
      </c>
      <c r="BN36">
        <v>0</v>
      </c>
      <c r="BO36" t="s">
        <v>3</v>
      </c>
      <c r="BP36">
        <v>0</v>
      </c>
      <c r="BQ36">
        <v>4</v>
      </c>
      <c r="BR36">
        <v>0</v>
      </c>
      <c r="BS36">
        <v>2.4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65</v>
      </c>
      <c r="CA36">
        <v>40</v>
      </c>
      <c r="CE36">
        <v>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6"/>
        <v>18928.900000000001</v>
      </c>
      <c r="CQ36">
        <f t="shared" si="37"/>
        <v>0</v>
      </c>
      <c r="CR36">
        <f t="shared" si="38"/>
        <v>0</v>
      </c>
      <c r="CS36">
        <f t="shared" si="39"/>
        <v>0</v>
      </c>
      <c r="CT36">
        <f t="shared" si="40"/>
        <v>4732.2248237599997</v>
      </c>
      <c r="CU36">
        <f t="shared" si="41"/>
        <v>0</v>
      </c>
      <c r="CV36">
        <f t="shared" si="42"/>
        <v>13.8024</v>
      </c>
      <c r="CW36">
        <f t="shared" si="43"/>
        <v>0</v>
      </c>
      <c r="CX36">
        <f t="shared" si="44"/>
        <v>0</v>
      </c>
      <c r="CY36">
        <f t="shared" si="45"/>
        <v>10410.895</v>
      </c>
      <c r="CZ36">
        <f t="shared" si="46"/>
        <v>6057.2480000000005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75</v>
      </c>
      <c r="DW36" t="s">
        <v>75</v>
      </c>
      <c r="DX36">
        <v>1</v>
      </c>
      <c r="EE36">
        <v>28959698</v>
      </c>
      <c r="EF36">
        <v>4</v>
      </c>
      <c r="EG36" t="s">
        <v>37</v>
      </c>
      <c r="EH36">
        <v>0</v>
      </c>
      <c r="EI36" t="s">
        <v>3</v>
      </c>
      <c r="EJ36">
        <v>4</v>
      </c>
      <c r="EK36">
        <v>200001</v>
      </c>
      <c r="EL36" t="s">
        <v>38</v>
      </c>
      <c r="EM36" t="s">
        <v>39</v>
      </c>
      <c r="EO36" t="s">
        <v>3</v>
      </c>
      <c r="EQ36">
        <v>0</v>
      </c>
      <c r="ER36">
        <v>154.34440000000001</v>
      </c>
      <c r="ES36">
        <v>0</v>
      </c>
      <c r="ET36">
        <v>0</v>
      </c>
      <c r="EU36">
        <v>0</v>
      </c>
      <c r="EV36">
        <v>121.4696</v>
      </c>
      <c r="EW36">
        <v>13.8024</v>
      </c>
      <c r="EX36">
        <v>0</v>
      </c>
      <c r="EY36">
        <v>0</v>
      </c>
      <c r="FQ36">
        <v>0</v>
      </c>
      <c r="FR36">
        <f t="shared" si="47"/>
        <v>0</v>
      </c>
      <c r="FS36">
        <v>0</v>
      </c>
      <c r="FV36" t="s">
        <v>26</v>
      </c>
      <c r="FW36" t="s">
        <v>27</v>
      </c>
      <c r="FX36">
        <v>65</v>
      </c>
      <c r="FY36">
        <v>40</v>
      </c>
      <c r="GA36" t="s">
        <v>3</v>
      </c>
      <c r="GD36">
        <v>1</v>
      </c>
      <c r="GF36">
        <v>-1873837547</v>
      </c>
      <c r="GG36">
        <v>2</v>
      </c>
      <c r="GH36">
        <v>1</v>
      </c>
      <c r="GI36">
        <v>2</v>
      </c>
      <c r="GJ36">
        <v>0</v>
      </c>
      <c r="GK36">
        <v>0</v>
      </c>
      <c r="GL36">
        <f t="shared" si="48"/>
        <v>0</v>
      </c>
      <c r="GM36">
        <f t="shared" si="49"/>
        <v>35397.050000000003</v>
      </c>
      <c r="GN36">
        <f t="shared" si="50"/>
        <v>0</v>
      </c>
      <c r="GO36">
        <f t="shared" si="51"/>
        <v>0</v>
      </c>
      <c r="GP36">
        <f t="shared" si="52"/>
        <v>35397.050000000003</v>
      </c>
      <c r="GR36">
        <v>0</v>
      </c>
      <c r="GS36">
        <v>0</v>
      </c>
      <c r="GT36">
        <v>0</v>
      </c>
      <c r="GU36" t="s">
        <v>3</v>
      </c>
      <c r="GV36">
        <f t="shared" si="53"/>
        <v>0</v>
      </c>
      <c r="GW36">
        <v>2.29</v>
      </c>
      <c r="GX36">
        <f t="shared" si="54"/>
        <v>0</v>
      </c>
      <c r="HA36">
        <v>0</v>
      </c>
      <c r="HB36">
        <v>0</v>
      </c>
      <c r="HC36">
        <f t="shared" si="55"/>
        <v>0</v>
      </c>
      <c r="HE36" t="s">
        <v>3</v>
      </c>
      <c r="HF36" t="s">
        <v>3</v>
      </c>
      <c r="IK36">
        <v>0</v>
      </c>
    </row>
    <row r="37" spans="1:245" x14ac:dyDescent="0.2">
      <c r="A37">
        <v>17</v>
      </c>
      <c r="B37">
        <v>1</v>
      </c>
      <c r="C37">
        <f>ROW(SmtRes!A29)</f>
        <v>29</v>
      </c>
      <c r="D37">
        <f>ROW(EtalonRes!A27)</f>
        <v>27</v>
      </c>
      <c r="E37" t="s">
        <v>77</v>
      </c>
      <c r="F37" t="s">
        <v>78</v>
      </c>
      <c r="G37" t="s">
        <v>79</v>
      </c>
      <c r="H37" t="s">
        <v>43</v>
      </c>
      <c r="I37">
        <f>ROUND(2230/500,9)</f>
        <v>4.46</v>
      </c>
      <c r="J37">
        <v>0</v>
      </c>
      <c r="O37">
        <f t="shared" si="21"/>
        <v>6830.95</v>
      </c>
      <c r="P37">
        <f t="shared" si="22"/>
        <v>0</v>
      </c>
      <c r="Q37">
        <f t="shared" si="23"/>
        <v>0</v>
      </c>
      <c r="R37">
        <f t="shared" si="24"/>
        <v>0</v>
      </c>
      <c r="S37">
        <f t="shared" si="25"/>
        <v>6830.95</v>
      </c>
      <c r="T37">
        <f t="shared" si="26"/>
        <v>0</v>
      </c>
      <c r="U37">
        <f t="shared" si="27"/>
        <v>16.490849999999998</v>
      </c>
      <c r="V37">
        <f t="shared" si="28"/>
        <v>0</v>
      </c>
      <c r="W37">
        <f t="shared" si="29"/>
        <v>0</v>
      </c>
      <c r="X37">
        <f t="shared" si="30"/>
        <v>3757.02</v>
      </c>
      <c r="Y37">
        <f t="shared" si="31"/>
        <v>2185.9</v>
      </c>
      <c r="AA37">
        <v>30528041</v>
      </c>
      <c r="AB37">
        <f t="shared" si="32"/>
        <v>35.068199999999997</v>
      </c>
      <c r="AC37">
        <f t="shared" si="33"/>
        <v>0</v>
      </c>
      <c r="AD37">
        <f t="shared" si="56"/>
        <v>0</v>
      </c>
      <c r="AE37">
        <f t="shared" si="57"/>
        <v>0</v>
      </c>
      <c r="AF37">
        <f t="shared" si="58"/>
        <v>35.068199999999997</v>
      </c>
      <c r="AG37">
        <f t="shared" si="34"/>
        <v>0</v>
      </c>
      <c r="AH37">
        <f t="shared" si="59"/>
        <v>3.6974999999999998</v>
      </c>
      <c r="AI37">
        <f t="shared" si="60"/>
        <v>0</v>
      </c>
      <c r="AJ37">
        <f t="shared" si="35"/>
        <v>0</v>
      </c>
      <c r="AK37">
        <v>46.536000000000001</v>
      </c>
      <c r="AL37">
        <v>0</v>
      </c>
      <c r="AM37">
        <v>0</v>
      </c>
      <c r="AN37">
        <v>0</v>
      </c>
      <c r="AO37">
        <v>48.031800000000004</v>
      </c>
      <c r="AP37">
        <v>0</v>
      </c>
      <c r="AQ37">
        <v>3.2915000000000001</v>
      </c>
      <c r="AR37">
        <v>0</v>
      </c>
      <c r="AS37">
        <v>0</v>
      </c>
      <c r="AT37">
        <v>55</v>
      </c>
      <c r="AU37">
        <v>32</v>
      </c>
      <c r="AV37">
        <v>1</v>
      </c>
      <c r="AW37">
        <v>1</v>
      </c>
      <c r="AZ37">
        <v>2.64</v>
      </c>
      <c r="BA37">
        <v>43.674999999999997</v>
      </c>
      <c r="BB37">
        <v>2.4700000000000002</v>
      </c>
      <c r="BC37">
        <v>2.19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4</v>
      </c>
      <c r="BJ37" t="s">
        <v>80</v>
      </c>
      <c r="BM37">
        <v>200001</v>
      </c>
      <c r="BN37">
        <v>0</v>
      </c>
      <c r="BO37" t="s">
        <v>3</v>
      </c>
      <c r="BP37">
        <v>0</v>
      </c>
      <c r="BQ37">
        <v>4</v>
      </c>
      <c r="BR37">
        <v>0</v>
      </c>
      <c r="BS37">
        <v>2.2999999999999998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65</v>
      </c>
      <c r="CA37">
        <v>40</v>
      </c>
      <c r="CE37">
        <v>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6"/>
        <v>6830.95</v>
      </c>
      <c r="CQ37">
        <f t="shared" si="37"/>
        <v>0</v>
      </c>
      <c r="CR37">
        <f t="shared" si="38"/>
        <v>0</v>
      </c>
      <c r="CS37">
        <f t="shared" si="39"/>
        <v>0</v>
      </c>
      <c r="CT37">
        <f t="shared" si="40"/>
        <v>1531.6036349999997</v>
      </c>
      <c r="CU37">
        <f t="shared" si="41"/>
        <v>0</v>
      </c>
      <c r="CV37">
        <f t="shared" si="42"/>
        <v>3.6974999999999998</v>
      </c>
      <c r="CW37">
        <f t="shared" si="43"/>
        <v>0</v>
      </c>
      <c r="CX37">
        <f t="shared" si="44"/>
        <v>0</v>
      </c>
      <c r="CY37">
        <f t="shared" si="45"/>
        <v>3757.0225</v>
      </c>
      <c r="CZ37">
        <f t="shared" si="46"/>
        <v>2185.904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1013</v>
      </c>
      <c r="DV37" t="s">
        <v>43</v>
      </c>
      <c r="DW37" t="s">
        <v>43</v>
      </c>
      <c r="DX37">
        <v>1</v>
      </c>
      <c r="EE37">
        <v>28959698</v>
      </c>
      <c r="EF37">
        <v>4</v>
      </c>
      <c r="EG37" t="s">
        <v>37</v>
      </c>
      <c r="EH37">
        <v>0</v>
      </c>
      <c r="EI37" t="s">
        <v>3</v>
      </c>
      <c r="EJ37">
        <v>4</v>
      </c>
      <c r="EK37">
        <v>200001</v>
      </c>
      <c r="EL37" t="s">
        <v>38</v>
      </c>
      <c r="EM37" t="s">
        <v>39</v>
      </c>
      <c r="EO37" t="s">
        <v>3</v>
      </c>
      <c r="EQ37">
        <v>0</v>
      </c>
      <c r="ER37">
        <v>38.392200000000003</v>
      </c>
      <c r="ES37">
        <v>0</v>
      </c>
      <c r="ET37">
        <v>0</v>
      </c>
      <c r="EU37">
        <v>0</v>
      </c>
      <c r="EV37">
        <v>35.068199999999997</v>
      </c>
      <c r="EW37">
        <v>3.6974999999999998</v>
      </c>
      <c r="EX37">
        <v>0</v>
      </c>
      <c r="EY37">
        <v>0</v>
      </c>
      <c r="FQ37">
        <v>0</v>
      </c>
      <c r="FR37">
        <f t="shared" si="47"/>
        <v>0</v>
      </c>
      <c r="FS37">
        <v>0</v>
      </c>
      <c r="FV37" t="s">
        <v>26</v>
      </c>
      <c r="FW37" t="s">
        <v>27</v>
      </c>
      <c r="FX37">
        <v>65</v>
      </c>
      <c r="FY37">
        <v>40</v>
      </c>
      <c r="GA37" t="s">
        <v>3</v>
      </c>
      <c r="GD37">
        <v>1</v>
      </c>
      <c r="GF37">
        <v>612080534</v>
      </c>
      <c r="GG37">
        <v>2</v>
      </c>
      <c r="GH37">
        <v>1</v>
      </c>
      <c r="GI37">
        <v>2</v>
      </c>
      <c r="GJ37">
        <v>0</v>
      </c>
      <c r="GK37">
        <v>0</v>
      </c>
      <c r="GL37">
        <f t="shared" si="48"/>
        <v>0</v>
      </c>
      <c r="GM37">
        <f t="shared" si="49"/>
        <v>12773.87</v>
      </c>
      <c r="GN37">
        <f t="shared" si="50"/>
        <v>0</v>
      </c>
      <c r="GO37">
        <f t="shared" si="51"/>
        <v>0</v>
      </c>
      <c r="GP37">
        <f t="shared" si="52"/>
        <v>12773.87</v>
      </c>
      <c r="GR37">
        <v>0</v>
      </c>
      <c r="GS37">
        <v>3</v>
      </c>
      <c r="GT37">
        <v>0</v>
      </c>
      <c r="GU37" t="s">
        <v>3</v>
      </c>
      <c r="GV37">
        <f t="shared" si="53"/>
        <v>0</v>
      </c>
      <c r="GW37">
        <v>2.27</v>
      </c>
      <c r="GX37">
        <f t="shared" si="54"/>
        <v>0</v>
      </c>
      <c r="HA37">
        <v>0</v>
      </c>
      <c r="HB37">
        <v>0</v>
      </c>
      <c r="HC37">
        <f t="shared" si="55"/>
        <v>0</v>
      </c>
      <c r="HE37" t="s">
        <v>3</v>
      </c>
      <c r="HF37" t="s">
        <v>3</v>
      </c>
      <c r="IK37">
        <v>0</v>
      </c>
    </row>
    <row r="38" spans="1:245" x14ac:dyDescent="0.2">
      <c r="A38">
        <v>17</v>
      </c>
      <c r="B38">
        <v>1</v>
      </c>
      <c r="C38">
        <f>ROW(SmtRes!A31)</f>
        <v>31</v>
      </c>
      <c r="D38">
        <f>ROW(EtalonRes!A29)</f>
        <v>29</v>
      </c>
      <c r="E38" t="s">
        <v>81</v>
      </c>
      <c r="F38" t="s">
        <v>82</v>
      </c>
      <c r="G38" t="s">
        <v>83</v>
      </c>
      <c r="H38" t="s">
        <v>84</v>
      </c>
      <c r="I38">
        <v>2</v>
      </c>
      <c r="J38">
        <v>0</v>
      </c>
      <c r="O38">
        <f t="shared" si="21"/>
        <v>4900.12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4900.12</v>
      </c>
      <c r="T38">
        <f t="shared" si="26"/>
        <v>0</v>
      </c>
      <c r="U38">
        <f t="shared" si="27"/>
        <v>7.1604000000000001</v>
      </c>
      <c r="V38">
        <f t="shared" si="28"/>
        <v>0</v>
      </c>
      <c r="W38">
        <f t="shared" si="29"/>
        <v>0</v>
      </c>
      <c r="X38">
        <f t="shared" si="30"/>
        <v>2695.07</v>
      </c>
      <c r="Y38">
        <f t="shared" si="31"/>
        <v>1568.04</v>
      </c>
      <c r="AA38">
        <v>30528041</v>
      </c>
      <c r="AB38">
        <f t="shared" si="32"/>
        <v>50.813000000000002</v>
      </c>
      <c r="AC38">
        <f t="shared" si="33"/>
        <v>0</v>
      </c>
      <c r="AD38">
        <f t="shared" si="56"/>
        <v>0</v>
      </c>
      <c r="AE38">
        <f t="shared" si="57"/>
        <v>0</v>
      </c>
      <c r="AF38">
        <f t="shared" si="58"/>
        <v>50.813000000000002</v>
      </c>
      <c r="AG38">
        <f t="shared" si="34"/>
        <v>0</v>
      </c>
      <c r="AH38">
        <f t="shared" si="59"/>
        <v>3.5802</v>
      </c>
      <c r="AI38">
        <f t="shared" si="60"/>
        <v>0</v>
      </c>
      <c r="AJ38">
        <f t="shared" si="35"/>
        <v>0</v>
      </c>
      <c r="AK38">
        <v>51.020399999999995</v>
      </c>
      <c r="AL38">
        <v>0</v>
      </c>
      <c r="AM38">
        <v>0</v>
      </c>
      <c r="AN38">
        <v>0</v>
      </c>
      <c r="AO38">
        <v>54.131399999999992</v>
      </c>
      <c r="AP38">
        <v>0</v>
      </c>
      <c r="AQ38">
        <v>4.0662000000000003</v>
      </c>
      <c r="AR38">
        <v>0</v>
      </c>
      <c r="AS38">
        <v>0</v>
      </c>
      <c r="AT38">
        <v>55</v>
      </c>
      <c r="AU38">
        <v>32</v>
      </c>
      <c r="AV38">
        <v>1</v>
      </c>
      <c r="AW38">
        <v>1</v>
      </c>
      <c r="AZ38">
        <v>2.85</v>
      </c>
      <c r="BA38">
        <v>48.217199999999991</v>
      </c>
      <c r="BB38">
        <v>2.1</v>
      </c>
      <c r="BC38">
        <v>2.2999999999999998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4</v>
      </c>
      <c r="BJ38" t="s">
        <v>85</v>
      </c>
      <c r="BM38">
        <v>200001</v>
      </c>
      <c r="BN38">
        <v>0</v>
      </c>
      <c r="BO38" t="s">
        <v>3</v>
      </c>
      <c r="BP38">
        <v>0</v>
      </c>
      <c r="BQ38">
        <v>4</v>
      </c>
      <c r="BR38">
        <v>0</v>
      </c>
      <c r="BS38">
        <v>2.4700000000000002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65</v>
      </c>
      <c r="CA38">
        <v>40</v>
      </c>
      <c r="CE38">
        <v>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6"/>
        <v>4900.12</v>
      </c>
      <c r="CQ38">
        <f t="shared" si="37"/>
        <v>0</v>
      </c>
      <c r="CR38">
        <f t="shared" si="38"/>
        <v>0</v>
      </c>
      <c r="CS38">
        <f t="shared" si="39"/>
        <v>0</v>
      </c>
      <c r="CT38">
        <f t="shared" si="40"/>
        <v>2450.0605835999995</v>
      </c>
      <c r="CU38">
        <f t="shared" si="41"/>
        <v>0</v>
      </c>
      <c r="CV38">
        <f t="shared" si="42"/>
        <v>3.5802</v>
      </c>
      <c r="CW38">
        <f t="shared" si="43"/>
        <v>0</v>
      </c>
      <c r="CX38">
        <f t="shared" si="44"/>
        <v>0</v>
      </c>
      <c r="CY38">
        <f t="shared" si="45"/>
        <v>2695.0659999999998</v>
      </c>
      <c r="CZ38">
        <f t="shared" si="46"/>
        <v>1568.0383999999999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84</v>
      </c>
      <c r="DW38" t="s">
        <v>84</v>
      </c>
      <c r="DX38">
        <v>1</v>
      </c>
      <c r="EE38">
        <v>28959698</v>
      </c>
      <c r="EF38">
        <v>4</v>
      </c>
      <c r="EG38" t="s">
        <v>37</v>
      </c>
      <c r="EH38">
        <v>0</v>
      </c>
      <c r="EI38" t="s">
        <v>3</v>
      </c>
      <c r="EJ38">
        <v>4</v>
      </c>
      <c r="EK38">
        <v>200001</v>
      </c>
      <c r="EL38" t="s">
        <v>38</v>
      </c>
      <c r="EM38" t="s">
        <v>39</v>
      </c>
      <c r="EO38" t="s">
        <v>3</v>
      </c>
      <c r="EQ38">
        <v>0</v>
      </c>
      <c r="ER38">
        <v>48.324199999999998</v>
      </c>
      <c r="ES38">
        <v>0</v>
      </c>
      <c r="ET38">
        <v>0</v>
      </c>
      <c r="EU38">
        <v>0</v>
      </c>
      <c r="EV38">
        <v>50.813000000000002</v>
      </c>
      <c r="EW38">
        <v>3.5802</v>
      </c>
      <c r="EX38">
        <v>0</v>
      </c>
      <c r="EY38">
        <v>0</v>
      </c>
      <c r="FQ38">
        <v>0</v>
      </c>
      <c r="FR38">
        <f t="shared" si="47"/>
        <v>0</v>
      </c>
      <c r="FS38">
        <v>0</v>
      </c>
      <c r="FV38" t="s">
        <v>26</v>
      </c>
      <c r="FW38" t="s">
        <v>27</v>
      </c>
      <c r="FX38">
        <v>65</v>
      </c>
      <c r="FY38">
        <v>40</v>
      </c>
      <c r="GA38" t="s">
        <v>3</v>
      </c>
      <c r="GD38">
        <v>1</v>
      </c>
      <c r="GF38">
        <v>-840656362</v>
      </c>
      <c r="GG38">
        <v>2</v>
      </c>
      <c r="GH38">
        <v>1</v>
      </c>
      <c r="GI38">
        <v>2</v>
      </c>
      <c r="GJ38">
        <v>0</v>
      </c>
      <c r="GK38">
        <v>0</v>
      </c>
      <c r="GL38">
        <f t="shared" si="48"/>
        <v>0</v>
      </c>
      <c r="GM38">
        <f t="shared" si="49"/>
        <v>9163.23</v>
      </c>
      <c r="GN38">
        <f t="shared" si="50"/>
        <v>0</v>
      </c>
      <c r="GO38">
        <f t="shared" si="51"/>
        <v>0</v>
      </c>
      <c r="GP38">
        <f t="shared" si="52"/>
        <v>9163.23</v>
      </c>
      <c r="GR38">
        <v>0</v>
      </c>
      <c r="GS38">
        <v>3</v>
      </c>
      <c r="GT38">
        <v>0</v>
      </c>
      <c r="GU38" t="s">
        <v>3</v>
      </c>
      <c r="GV38">
        <f t="shared" si="53"/>
        <v>0</v>
      </c>
      <c r="GW38">
        <v>2.14</v>
      </c>
      <c r="GX38">
        <f t="shared" si="54"/>
        <v>0</v>
      </c>
      <c r="HA38">
        <v>0</v>
      </c>
      <c r="HB38">
        <v>0</v>
      </c>
      <c r="HC38">
        <f t="shared" si="55"/>
        <v>0</v>
      </c>
      <c r="HE38" t="s">
        <v>3</v>
      </c>
      <c r="HF38" t="s">
        <v>3</v>
      </c>
      <c r="IK38">
        <v>0</v>
      </c>
    </row>
    <row r="40" spans="1:245" x14ac:dyDescent="0.2">
      <c r="A40" s="2">
        <v>51</v>
      </c>
      <c r="B40" s="2">
        <f>B24</f>
        <v>1</v>
      </c>
      <c r="C40" s="2">
        <f>A24</f>
        <v>4</v>
      </c>
      <c r="D40" s="2">
        <f>ROW(A24)</f>
        <v>24</v>
      </c>
      <c r="E40" s="2"/>
      <c r="F40" s="2" t="str">
        <f>IF(F24&lt;&gt;"",F24,"")</f>
        <v>Новый раздел</v>
      </c>
      <c r="G40" s="2" t="str">
        <f>IF(G24&lt;&gt;"",G24,"")</f>
        <v>Ремонт кабельных линий</v>
      </c>
      <c r="H40" s="2">
        <v>0</v>
      </c>
      <c r="I40" s="2"/>
      <c r="J40" s="2"/>
      <c r="K40" s="2"/>
      <c r="L40" s="2"/>
      <c r="M40" s="2"/>
      <c r="N40" s="2"/>
      <c r="O40" s="2">
        <f t="shared" ref="O40:T40" si="61">ROUND(AB40,2)</f>
        <v>568995.41</v>
      </c>
      <c r="P40" s="2">
        <f t="shared" si="61"/>
        <v>235079.94</v>
      </c>
      <c r="Q40" s="2">
        <f t="shared" si="61"/>
        <v>3840.39</v>
      </c>
      <c r="R40" s="2">
        <f t="shared" si="61"/>
        <v>546.80999999999995</v>
      </c>
      <c r="S40" s="2">
        <f t="shared" si="61"/>
        <v>330075.08</v>
      </c>
      <c r="T40" s="2">
        <f t="shared" si="61"/>
        <v>0</v>
      </c>
      <c r="U40" s="2">
        <f>AH40</f>
        <v>669.75290600000005</v>
      </c>
      <c r="V40" s="2">
        <f>AI40</f>
        <v>0.84744000000000008</v>
      </c>
      <c r="W40" s="2">
        <f>ROUND(AJ40,2)</f>
        <v>0</v>
      </c>
      <c r="X40" s="2">
        <f>ROUND(AK40,2)</f>
        <v>209011.3</v>
      </c>
      <c r="Y40" s="2">
        <f>ROUND(AL40,2)</f>
        <v>123910.63</v>
      </c>
      <c r="Z40" s="2"/>
      <c r="AA40" s="2"/>
      <c r="AB40" s="2">
        <f>ROUND(SUMIF(AA28:AA38,"=30528041",O28:O38),2)</f>
        <v>568995.41</v>
      </c>
      <c r="AC40" s="2">
        <f>ROUND(SUMIF(AA28:AA38,"=30528041",P28:P38),2)</f>
        <v>235079.94</v>
      </c>
      <c r="AD40" s="2">
        <f>ROUND(SUMIF(AA28:AA38,"=30528041",Q28:Q38),2)</f>
        <v>3840.39</v>
      </c>
      <c r="AE40" s="2">
        <f>ROUND(SUMIF(AA28:AA38,"=30528041",R28:R38),2)</f>
        <v>546.80999999999995</v>
      </c>
      <c r="AF40" s="2">
        <f>ROUND(SUMIF(AA28:AA38,"=30528041",S28:S38),2)</f>
        <v>330075.08</v>
      </c>
      <c r="AG40" s="2">
        <f>ROUND(SUMIF(AA28:AA38,"=30528041",T28:T38),2)</f>
        <v>0</v>
      </c>
      <c r="AH40" s="2">
        <f>SUMIF(AA28:AA38,"=30528041",U28:U38)</f>
        <v>669.75290600000005</v>
      </c>
      <c r="AI40" s="2">
        <f>SUMIF(AA28:AA38,"=30528041",V28:V38)</f>
        <v>0.84744000000000008</v>
      </c>
      <c r="AJ40" s="2">
        <f>ROUND(SUMIF(AA28:AA38,"=30528041",W28:W38),2)</f>
        <v>0</v>
      </c>
      <c r="AK40" s="2">
        <f>ROUND(SUMIF(AA28:AA38,"=30528041",X28:X38),2)</f>
        <v>209011.3</v>
      </c>
      <c r="AL40" s="2">
        <f>ROUND(SUMIF(AA28:AA38,"=30528041",Y28:Y38),2)</f>
        <v>123910.63</v>
      </c>
      <c r="AM40" s="2"/>
      <c r="AN40" s="2"/>
      <c r="AO40" s="2">
        <f t="shared" ref="AO40:BD40" si="62">ROUND(BX40,2)</f>
        <v>0</v>
      </c>
      <c r="AP40" s="2">
        <f t="shared" si="62"/>
        <v>0</v>
      </c>
      <c r="AQ40" s="2">
        <f t="shared" si="62"/>
        <v>0</v>
      </c>
      <c r="AR40" s="2">
        <f t="shared" si="62"/>
        <v>901917.34</v>
      </c>
      <c r="AS40" s="2">
        <f t="shared" si="62"/>
        <v>95319.61</v>
      </c>
      <c r="AT40" s="2">
        <f t="shared" si="62"/>
        <v>455157.7</v>
      </c>
      <c r="AU40" s="2">
        <f t="shared" si="62"/>
        <v>351440.03</v>
      </c>
      <c r="AV40" s="2">
        <f t="shared" si="62"/>
        <v>235079.94</v>
      </c>
      <c r="AW40" s="2">
        <f t="shared" si="62"/>
        <v>235079.94</v>
      </c>
      <c r="AX40" s="2">
        <f t="shared" si="62"/>
        <v>0</v>
      </c>
      <c r="AY40" s="2">
        <f t="shared" si="62"/>
        <v>235079.94</v>
      </c>
      <c r="AZ40" s="2">
        <f t="shared" si="62"/>
        <v>0</v>
      </c>
      <c r="BA40" s="2">
        <f t="shared" si="62"/>
        <v>0</v>
      </c>
      <c r="BB40" s="2">
        <f t="shared" si="62"/>
        <v>0</v>
      </c>
      <c r="BC40" s="2">
        <f t="shared" si="62"/>
        <v>0</v>
      </c>
      <c r="BD40" s="2">
        <f t="shared" si="62"/>
        <v>0</v>
      </c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>
        <f>ROUND(SUMIF(AA28:AA38,"=30528041",FQ28:FQ38),2)</f>
        <v>0</v>
      </c>
      <c r="BY40" s="2">
        <f>ROUND(SUMIF(AA28:AA38,"=30528041",FR28:FR38),2)</f>
        <v>0</v>
      </c>
      <c r="BZ40" s="2">
        <f>ROUND(SUMIF(AA28:AA38,"=30528041",GL28:GL38),2)</f>
        <v>0</v>
      </c>
      <c r="CA40" s="2">
        <f>ROUND(SUMIF(AA28:AA38,"=30528041",GM28:GM38),2)</f>
        <v>901917.34</v>
      </c>
      <c r="CB40" s="2">
        <f>ROUND(SUMIF(AA28:AA38,"=30528041",GN28:GN38),2)</f>
        <v>95319.61</v>
      </c>
      <c r="CC40" s="2">
        <f>ROUND(SUMIF(AA28:AA38,"=30528041",GO28:GO38),2)</f>
        <v>455157.7</v>
      </c>
      <c r="CD40" s="2">
        <f>ROUND(SUMIF(AA28:AA38,"=30528041",GP28:GP38),2)</f>
        <v>351440.03</v>
      </c>
      <c r="CE40" s="2">
        <f>AC40-BX40</f>
        <v>235079.94</v>
      </c>
      <c r="CF40" s="2">
        <f>AC40-BY40</f>
        <v>235079.94</v>
      </c>
      <c r="CG40" s="2">
        <f>BX40-BZ40</f>
        <v>0</v>
      </c>
      <c r="CH40" s="2">
        <f>AC40-BX40-BY40+BZ40</f>
        <v>235079.94</v>
      </c>
      <c r="CI40" s="2">
        <f>BY40-BZ40</f>
        <v>0</v>
      </c>
      <c r="CJ40" s="2">
        <f>ROUND(SUMIF(AA28:AA38,"=30528041",GX28:GX38),2)</f>
        <v>0</v>
      </c>
      <c r="CK40" s="2">
        <f>ROUND(SUMIF(AA28:AA38,"=30528041",GY28:GY38),2)</f>
        <v>0</v>
      </c>
      <c r="CL40" s="2">
        <f>ROUND(SUMIF(AA28:AA38,"=30528041",GZ28:GZ38),2)</f>
        <v>0</v>
      </c>
      <c r="CM40" s="2">
        <f>ROUND(SUMIF(AA28:AA38,"=30528041",HD28:HD38),2)</f>
        <v>0</v>
      </c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>
        <v>0</v>
      </c>
    </row>
    <row r="42" spans="1:245" x14ac:dyDescent="0.2">
      <c r="A42" s="4">
        <v>50</v>
      </c>
      <c r="B42" s="4">
        <v>1</v>
      </c>
      <c r="C42" s="4">
        <v>0</v>
      </c>
      <c r="D42" s="4">
        <v>1</v>
      </c>
      <c r="E42" s="4">
        <v>201</v>
      </c>
      <c r="F42" s="4">
        <f>ROUND(Source!O40,O42)</f>
        <v>568995.41</v>
      </c>
      <c r="G42" s="4" t="s">
        <v>86</v>
      </c>
      <c r="H42" s="4" t="s">
        <v>87</v>
      </c>
      <c r="I42" s="4"/>
      <c r="J42" s="4"/>
      <c r="K42" s="4">
        <v>201</v>
      </c>
      <c r="L42" s="4">
        <v>1</v>
      </c>
      <c r="M42" s="4">
        <v>1</v>
      </c>
      <c r="N42" s="4" t="s">
        <v>3</v>
      </c>
      <c r="O42" s="4">
        <v>2</v>
      </c>
      <c r="P42" s="4"/>
      <c r="Q42" s="4"/>
      <c r="R42" s="4"/>
      <c r="S42" s="4"/>
      <c r="T42" s="4"/>
      <c r="U42" s="4"/>
      <c r="V42" s="4"/>
      <c r="W42" s="4"/>
    </row>
    <row r="43" spans="1:245" x14ac:dyDescent="0.2">
      <c r="A43" s="4">
        <v>50</v>
      </c>
      <c r="B43" s="4">
        <v>1</v>
      </c>
      <c r="C43" s="4">
        <v>0</v>
      </c>
      <c r="D43" s="4">
        <v>1</v>
      </c>
      <c r="E43" s="4">
        <v>202</v>
      </c>
      <c r="F43" s="4">
        <f>ROUND(Source!P40,O43)</f>
        <v>235079.94</v>
      </c>
      <c r="G43" s="4" t="s">
        <v>88</v>
      </c>
      <c r="H43" s="4" t="s">
        <v>89</v>
      </c>
      <c r="I43" s="4"/>
      <c r="J43" s="4"/>
      <c r="K43" s="4">
        <v>202</v>
      </c>
      <c r="L43" s="4">
        <v>2</v>
      </c>
      <c r="M43" s="4">
        <v>1</v>
      </c>
      <c r="N43" s="4" t="s">
        <v>3</v>
      </c>
      <c r="O43" s="4">
        <v>2</v>
      </c>
      <c r="P43" s="4"/>
      <c r="Q43" s="4"/>
      <c r="R43" s="4"/>
      <c r="S43" s="4"/>
      <c r="T43" s="4"/>
      <c r="U43" s="4"/>
      <c r="V43" s="4"/>
      <c r="W43" s="4"/>
    </row>
    <row r="44" spans="1:245" x14ac:dyDescent="0.2">
      <c r="A44" s="4">
        <v>50</v>
      </c>
      <c r="B44" s="4">
        <v>0</v>
      </c>
      <c r="C44" s="4">
        <v>0</v>
      </c>
      <c r="D44" s="4">
        <v>1</v>
      </c>
      <c r="E44" s="4">
        <v>222</v>
      </c>
      <c r="F44" s="4">
        <f>ROUND(Source!AO40,O44)</f>
        <v>0</v>
      </c>
      <c r="G44" s="4" t="s">
        <v>90</v>
      </c>
      <c r="H44" s="4" t="s">
        <v>91</v>
      </c>
      <c r="I44" s="4"/>
      <c r="J44" s="4"/>
      <c r="K44" s="4">
        <v>222</v>
      </c>
      <c r="L44" s="4">
        <v>3</v>
      </c>
      <c r="M44" s="4">
        <v>3</v>
      </c>
      <c r="N44" s="4" t="s">
        <v>3</v>
      </c>
      <c r="O44" s="4">
        <v>2</v>
      </c>
      <c r="P44" s="4"/>
      <c r="Q44" s="4"/>
      <c r="R44" s="4"/>
      <c r="S44" s="4"/>
      <c r="T44" s="4"/>
      <c r="U44" s="4"/>
      <c r="V44" s="4"/>
      <c r="W44" s="4"/>
    </row>
    <row r="45" spans="1:245" x14ac:dyDescent="0.2">
      <c r="A45" s="4">
        <v>50</v>
      </c>
      <c r="B45" s="4">
        <v>0</v>
      </c>
      <c r="C45" s="4">
        <v>0</v>
      </c>
      <c r="D45" s="4">
        <v>1</v>
      </c>
      <c r="E45" s="4">
        <v>225</v>
      </c>
      <c r="F45" s="4">
        <f>ROUND(Source!AV40,O45)</f>
        <v>235079.94</v>
      </c>
      <c r="G45" s="4" t="s">
        <v>92</v>
      </c>
      <c r="H45" s="4" t="s">
        <v>93</v>
      </c>
      <c r="I45" s="4"/>
      <c r="J45" s="4"/>
      <c r="K45" s="4">
        <v>225</v>
      </c>
      <c r="L45" s="4">
        <v>4</v>
      </c>
      <c r="M45" s="4">
        <v>3</v>
      </c>
      <c r="N45" s="4" t="s">
        <v>3</v>
      </c>
      <c r="O45" s="4">
        <v>2</v>
      </c>
      <c r="P45" s="4"/>
      <c r="Q45" s="4"/>
      <c r="R45" s="4"/>
      <c r="S45" s="4"/>
      <c r="T45" s="4"/>
      <c r="U45" s="4"/>
      <c r="V45" s="4"/>
      <c r="W45" s="4"/>
    </row>
    <row r="46" spans="1:245" x14ac:dyDescent="0.2">
      <c r="A46" s="4">
        <v>50</v>
      </c>
      <c r="B46" s="4">
        <v>0</v>
      </c>
      <c r="C46" s="4">
        <v>0</v>
      </c>
      <c r="D46" s="4">
        <v>1</v>
      </c>
      <c r="E46" s="4">
        <v>226</v>
      </c>
      <c r="F46" s="4">
        <f>ROUND(Source!AW40,O46)</f>
        <v>235079.94</v>
      </c>
      <c r="G46" s="4" t="s">
        <v>94</v>
      </c>
      <c r="H46" s="4" t="s">
        <v>95</v>
      </c>
      <c r="I46" s="4"/>
      <c r="J46" s="4"/>
      <c r="K46" s="4">
        <v>226</v>
      </c>
      <c r="L46" s="4">
        <v>5</v>
      </c>
      <c r="M46" s="4">
        <v>3</v>
      </c>
      <c r="N46" s="4" t="s">
        <v>3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">
      <c r="A47" s="4">
        <v>50</v>
      </c>
      <c r="B47" s="4">
        <v>0</v>
      </c>
      <c r="C47" s="4">
        <v>0</v>
      </c>
      <c r="D47" s="4">
        <v>1</v>
      </c>
      <c r="E47" s="4">
        <v>227</v>
      </c>
      <c r="F47" s="4">
        <f>ROUND(Source!AX40,O47)</f>
        <v>0</v>
      </c>
      <c r="G47" s="4" t="s">
        <v>96</v>
      </c>
      <c r="H47" s="4" t="s">
        <v>97</v>
      </c>
      <c r="I47" s="4"/>
      <c r="J47" s="4"/>
      <c r="K47" s="4">
        <v>227</v>
      </c>
      <c r="L47" s="4">
        <v>6</v>
      </c>
      <c r="M47" s="4">
        <v>3</v>
      </c>
      <c r="N47" s="4" t="s">
        <v>3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">
      <c r="A48" s="4">
        <v>50</v>
      </c>
      <c r="B48" s="4">
        <v>0</v>
      </c>
      <c r="C48" s="4">
        <v>0</v>
      </c>
      <c r="D48" s="4">
        <v>1</v>
      </c>
      <c r="E48" s="4">
        <v>228</v>
      </c>
      <c r="F48" s="4">
        <f>ROUND(Source!AY40,O48)</f>
        <v>235079.94</v>
      </c>
      <c r="G48" s="4" t="s">
        <v>98</v>
      </c>
      <c r="H48" s="4" t="s">
        <v>99</v>
      </c>
      <c r="I48" s="4"/>
      <c r="J48" s="4"/>
      <c r="K48" s="4">
        <v>228</v>
      </c>
      <c r="L48" s="4">
        <v>7</v>
      </c>
      <c r="M48" s="4">
        <v>3</v>
      </c>
      <c r="N48" s="4" t="s">
        <v>3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">
      <c r="A49" s="4">
        <v>50</v>
      </c>
      <c r="B49" s="4">
        <v>0</v>
      </c>
      <c r="C49" s="4">
        <v>0</v>
      </c>
      <c r="D49" s="4">
        <v>1</v>
      </c>
      <c r="E49" s="4">
        <v>216</v>
      </c>
      <c r="F49" s="4">
        <f>ROUND(Source!AP40,O49)</f>
        <v>0</v>
      </c>
      <c r="G49" s="4" t="s">
        <v>100</v>
      </c>
      <c r="H49" s="4" t="s">
        <v>101</v>
      </c>
      <c r="I49" s="4"/>
      <c r="J49" s="4"/>
      <c r="K49" s="4">
        <v>216</v>
      </c>
      <c r="L49" s="4">
        <v>8</v>
      </c>
      <c r="M49" s="4">
        <v>1</v>
      </c>
      <c r="N49" s="4" t="s">
        <v>3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">
      <c r="A50" s="4">
        <v>50</v>
      </c>
      <c r="B50" s="4">
        <v>0</v>
      </c>
      <c r="C50" s="4">
        <v>0</v>
      </c>
      <c r="D50" s="4">
        <v>1</v>
      </c>
      <c r="E50" s="4">
        <v>223</v>
      </c>
      <c r="F50" s="4">
        <f>ROUND(Source!AQ40,O50)</f>
        <v>0</v>
      </c>
      <c r="G50" s="4" t="s">
        <v>102</v>
      </c>
      <c r="H50" s="4" t="s">
        <v>103</v>
      </c>
      <c r="I50" s="4"/>
      <c r="J50" s="4"/>
      <c r="K50" s="4">
        <v>223</v>
      </c>
      <c r="L50" s="4">
        <v>9</v>
      </c>
      <c r="M50" s="4">
        <v>3</v>
      </c>
      <c r="N50" s="4" t="s">
        <v>3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">
      <c r="A51" s="4">
        <v>50</v>
      </c>
      <c r="B51" s="4">
        <v>0</v>
      </c>
      <c r="C51" s="4">
        <v>0</v>
      </c>
      <c r="D51" s="4">
        <v>1</v>
      </c>
      <c r="E51" s="4">
        <v>229</v>
      </c>
      <c r="F51" s="4">
        <f>ROUND(Source!AZ40,O51)</f>
        <v>0</v>
      </c>
      <c r="G51" s="4" t="s">
        <v>104</v>
      </c>
      <c r="H51" s="4" t="s">
        <v>105</v>
      </c>
      <c r="I51" s="4"/>
      <c r="J51" s="4"/>
      <c r="K51" s="4">
        <v>229</v>
      </c>
      <c r="L51" s="4">
        <v>10</v>
      </c>
      <c r="M51" s="4">
        <v>3</v>
      </c>
      <c r="N51" s="4" t="s">
        <v>3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">
      <c r="A52" s="4">
        <v>50</v>
      </c>
      <c r="B52" s="4">
        <v>1</v>
      </c>
      <c r="C52" s="4">
        <v>0</v>
      </c>
      <c r="D52" s="4">
        <v>1</v>
      </c>
      <c r="E52" s="4">
        <v>203</v>
      </c>
      <c r="F52" s="4">
        <f>ROUND(Source!Q40,O52)</f>
        <v>3840.39</v>
      </c>
      <c r="G52" s="4" t="s">
        <v>106</v>
      </c>
      <c r="H52" s="4" t="s">
        <v>107</v>
      </c>
      <c r="I52" s="4"/>
      <c r="J52" s="4"/>
      <c r="K52" s="4">
        <v>203</v>
      </c>
      <c r="L52" s="4">
        <v>11</v>
      </c>
      <c r="M52" s="4">
        <v>1</v>
      </c>
      <c r="N52" s="4" t="s">
        <v>3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">
      <c r="A53" s="4">
        <v>50</v>
      </c>
      <c r="B53" s="4">
        <v>0</v>
      </c>
      <c r="C53" s="4">
        <v>0</v>
      </c>
      <c r="D53" s="4">
        <v>1</v>
      </c>
      <c r="E53" s="4">
        <v>231</v>
      </c>
      <c r="F53" s="4">
        <f>ROUND(Source!BB40,O53)</f>
        <v>0</v>
      </c>
      <c r="G53" s="4" t="s">
        <v>108</v>
      </c>
      <c r="H53" s="4" t="s">
        <v>109</v>
      </c>
      <c r="I53" s="4"/>
      <c r="J53" s="4"/>
      <c r="K53" s="4">
        <v>231</v>
      </c>
      <c r="L53" s="4">
        <v>12</v>
      </c>
      <c r="M53" s="4">
        <v>3</v>
      </c>
      <c r="N53" s="4" t="s">
        <v>3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">
      <c r="A54" s="4">
        <v>50</v>
      </c>
      <c r="B54" s="4">
        <v>1</v>
      </c>
      <c r="C54" s="4">
        <v>0</v>
      </c>
      <c r="D54" s="4">
        <v>1</v>
      </c>
      <c r="E54" s="4">
        <v>204</v>
      </c>
      <c r="F54" s="4">
        <f>ROUND(Source!R40,O54)</f>
        <v>546.80999999999995</v>
      </c>
      <c r="G54" s="4" t="s">
        <v>110</v>
      </c>
      <c r="H54" s="4" t="s">
        <v>111</v>
      </c>
      <c r="I54" s="4"/>
      <c r="J54" s="4"/>
      <c r="K54" s="4">
        <v>204</v>
      </c>
      <c r="L54" s="4">
        <v>13</v>
      </c>
      <c r="M54" s="4">
        <v>1</v>
      </c>
      <c r="N54" s="4" t="s">
        <v>3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">
      <c r="A55" s="4">
        <v>50</v>
      </c>
      <c r="B55" s="4">
        <v>1</v>
      </c>
      <c r="C55" s="4">
        <v>0</v>
      </c>
      <c r="D55" s="4">
        <v>1</v>
      </c>
      <c r="E55" s="4">
        <v>205</v>
      </c>
      <c r="F55" s="4">
        <f>ROUND(Source!S40,O55)</f>
        <v>330075.08</v>
      </c>
      <c r="G55" s="4" t="s">
        <v>112</v>
      </c>
      <c r="H55" s="4" t="s">
        <v>113</v>
      </c>
      <c r="I55" s="4"/>
      <c r="J55" s="4"/>
      <c r="K55" s="4">
        <v>205</v>
      </c>
      <c r="L55" s="4">
        <v>14</v>
      </c>
      <c r="M55" s="4">
        <v>1</v>
      </c>
      <c r="N55" s="4" t="s">
        <v>3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4">
        <v>50</v>
      </c>
      <c r="B56" s="4">
        <v>0</v>
      </c>
      <c r="C56" s="4">
        <v>0</v>
      </c>
      <c r="D56" s="4">
        <v>1</v>
      </c>
      <c r="E56" s="4">
        <v>232</v>
      </c>
      <c r="F56" s="4">
        <f>ROUND(Source!BC40,O56)</f>
        <v>0</v>
      </c>
      <c r="G56" s="4" t="s">
        <v>114</v>
      </c>
      <c r="H56" s="4" t="s">
        <v>115</v>
      </c>
      <c r="I56" s="4"/>
      <c r="J56" s="4"/>
      <c r="K56" s="4">
        <v>232</v>
      </c>
      <c r="L56" s="4">
        <v>15</v>
      </c>
      <c r="M56" s="4">
        <v>3</v>
      </c>
      <c r="N56" s="4" t="s">
        <v>3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">
      <c r="A57" s="4">
        <v>50</v>
      </c>
      <c r="B57" s="4">
        <v>0</v>
      </c>
      <c r="C57" s="4">
        <v>0</v>
      </c>
      <c r="D57" s="4">
        <v>1</v>
      </c>
      <c r="E57" s="4">
        <v>214</v>
      </c>
      <c r="F57" s="4">
        <f>ROUND(Source!AS40,O57)</f>
        <v>95319.61</v>
      </c>
      <c r="G57" s="4" t="s">
        <v>116</v>
      </c>
      <c r="H57" s="4" t="s">
        <v>117</v>
      </c>
      <c r="I57" s="4"/>
      <c r="J57" s="4"/>
      <c r="K57" s="4">
        <v>214</v>
      </c>
      <c r="L57" s="4">
        <v>16</v>
      </c>
      <c r="M57" s="4">
        <v>3</v>
      </c>
      <c r="N57" s="4" t="s">
        <v>3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">
      <c r="A58" s="4">
        <v>50</v>
      </c>
      <c r="B58" s="4">
        <v>0</v>
      </c>
      <c r="C58" s="4">
        <v>0</v>
      </c>
      <c r="D58" s="4">
        <v>1</v>
      </c>
      <c r="E58" s="4">
        <v>215</v>
      </c>
      <c r="F58" s="4">
        <f>ROUND(Source!AT40,O58)</f>
        <v>455157.7</v>
      </c>
      <c r="G58" s="4" t="s">
        <v>118</v>
      </c>
      <c r="H58" s="4" t="s">
        <v>119</v>
      </c>
      <c r="I58" s="4"/>
      <c r="J58" s="4"/>
      <c r="K58" s="4">
        <v>215</v>
      </c>
      <c r="L58" s="4">
        <v>17</v>
      </c>
      <c r="M58" s="4">
        <v>3</v>
      </c>
      <c r="N58" s="4" t="s">
        <v>3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">
      <c r="A59" s="4">
        <v>50</v>
      </c>
      <c r="B59" s="4">
        <v>0</v>
      </c>
      <c r="C59" s="4">
        <v>0</v>
      </c>
      <c r="D59" s="4">
        <v>1</v>
      </c>
      <c r="E59" s="4">
        <v>217</v>
      </c>
      <c r="F59" s="4">
        <f>ROUND(Source!AU40,O59)</f>
        <v>351440.03</v>
      </c>
      <c r="G59" s="4" t="s">
        <v>120</v>
      </c>
      <c r="H59" s="4" t="s">
        <v>121</v>
      </c>
      <c r="I59" s="4"/>
      <c r="J59" s="4"/>
      <c r="K59" s="4">
        <v>217</v>
      </c>
      <c r="L59" s="4">
        <v>18</v>
      </c>
      <c r="M59" s="4">
        <v>3</v>
      </c>
      <c r="N59" s="4" t="s">
        <v>3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">
      <c r="A60" s="4">
        <v>50</v>
      </c>
      <c r="B60" s="4">
        <v>0</v>
      </c>
      <c r="C60" s="4">
        <v>0</v>
      </c>
      <c r="D60" s="4">
        <v>1</v>
      </c>
      <c r="E60" s="4">
        <v>230</v>
      </c>
      <c r="F60" s="4">
        <f>ROUND(Source!BA40,O60)</f>
        <v>0</v>
      </c>
      <c r="G60" s="4" t="s">
        <v>122</v>
      </c>
      <c r="H60" s="4" t="s">
        <v>123</v>
      </c>
      <c r="I60" s="4"/>
      <c r="J60" s="4"/>
      <c r="K60" s="4">
        <v>230</v>
      </c>
      <c r="L60" s="4">
        <v>19</v>
      </c>
      <c r="M60" s="4">
        <v>3</v>
      </c>
      <c r="N60" s="4" t="s">
        <v>3</v>
      </c>
      <c r="O60" s="4">
        <v>2</v>
      </c>
      <c r="P60" s="4"/>
      <c r="Q60" s="4"/>
      <c r="R60" s="4"/>
      <c r="S60" s="4"/>
      <c r="T60" s="4"/>
      <c r="U60" s="4"/>
      <c r="V60" s="4"/>
      <c r="W60" s="4"/>
    </row>
    <row r="61" spans="1:23" x14ac:dyDescent="0.2">
      <c r="A61" s="4">
        <v>50</v>
      </c>
      <c r="B61" s="4">
        <v>0</v>
      </c>
      <c r="C61" s="4">
        <v>0</v>
      </c>
      <c r="D61" s="4">
        <v>1</v>
      </c>
      <c r="E61" s="4">
        <v>206</v>
      </c>
      <c r="F61" s="4">
        <f>ROUND(Source!T40,O61)</f>
        <v>0</v>
      </c>
      <c r="G61" s="4" t="s">
        <v>124</v>
      </c>
      <c r="H61" s="4" t="s">
        <v>125</v>
      </c>
      <c r="I61" s="4"/>
      <c r="J61" s="4"/>
      <c r="K61" s="4">
        <v>206</v>
      </c>
      <c r="L61" s="4">
        <v>20</v>
      </c>
      <c r="M61" s="4">
        <v>3</v>
      </c>
      <c r="N61" s="4" t="s">
        <v>3</v>
      </c>
      <c r="O61" s="4">
        <v>2</v>
      </c>
      <c r="P61" s="4"/>
      <c r="Q61" s="4"/>
      <c r="R61" s="4"/>
      <c r="S61" s="4"/>
      <c r="T61" s="4"/>
      <c r="U61" s="4"/>
      <c r="V61" s="4"/>
      <c r="W61" s="4"/>
    </row>
    <row r="62" spans="1:23" x14ac:dyDescent="0.2">
      <c r="A62" s="4">
        <v>50</v>
      </c>
      <c r="B62" s="4">
        <v>0</v>
      </c>
      <c r="C62" s="4">
        <v>0</v>
      </c>
      <c r="D62" s="4">
        <v>1</v>
      </c>
      <c r="E62" s="4">
        <v>207</v>
      </c>
      <c r="F62" s="4">
        <f>Source!U40</f>
        <v>669.75290600000005</v>
      </c>
      <c r="G62" s="4" t="s">
        <v>126</v>
      </c>
      <c r="H62" s="4" t="s">
        <v>127</v>
      </c>
      <c r="I62" s="4"/>
      <c r="J62" s="4"/>
      <c r="K62" s="4">
        <v>207</v>
      </c>
      <c r="L62" s="4">
        <v>21</v>
      </c>
      <c r="M62" s="4">
        <v>3</v>
      </c>
      <c r="N62" s="4" t="s">
        <v>3</v>
      </c>
      <c r="O62" s="4">
        <v>-1</v>
      </c>
      <c r="P62" s="4"/>
      <c r="Q62" s="4"/>
      <c r="R62" s="4"/>
      <c r="S62" s="4"/>
      <c r="T62" s="4"/>
      <c r="U62" s="4"/>
      <c r="V62" s="4"/>
      <c r="W62" s="4"/>
    </row>
    <row r="63" spans="1:23" x14ac:dyDescent="0.2">
      <c r="A63" s="4">
        <v>50</v>
      </c>
      <c r="B63" s="4">
        <v>0</v>
      </c>
      <c r="C63" s="4">
        <v>0</v>
      </c>
      <c r="D63" s="4">
        <v>1</v>
      </c>
      <c r="E63" s="4">
        <v>208</v>
      </c>
      <c r="F63" s="4">
        <f>Source!V40</f>
        <v>0.84744000000000008</v>
      </c>
      <c r="G63" s="4" t="s">
        <v>128</v>
      </c>
      <c r="H63" s="4" t="s">
        <v>129</v>
      </c>
      <c r="I63" s="4"/>
      <c r="J63" s="4"/>
      <c r="K63" s="4">
        <v>208</v>
      </c>
      <c r="L63" s="4">
        <v>22</v>
      </c>
      <c r="M63" s="4">
        <v>3</v>
      </c>
      <c r="N63" s="4" t="s">
        <v>3</v>
      </c>
      <c r="O63" s="4">
        <v>-1</v>
      </c>
      <c r="P63" s="4"/>
      <c r="Q63" s="4"/>
      <c r="R63" s="4"/>
      <c r="S63" s="4"/>
      <c r="T63" s="4"/>
      <c r="U63" s="4"/>
      <c r="V63" s="4"/>
      <c r="W63" s="4"/>
    </row>
    <row r="64" spans="1:23" x14ac:dyDescent="0.2">
      <c r="A64" s="4">
        <v>50</v>
      </c>
      <c r="B64" s="4">
        <v>0</v>
      </c>
      <c r="C64" s="4">
        <v>0</v>
      </c>
      <c r="D64" s="4">
        <v>1</v>
      </c>
      <c r="E64" s="4">
        <v>209</v>
      </c>
      <c r="F64" s="4">
        <f>ROUND(Source!W40,O64)</f>
        <v>0</v>
      </c>
      <c r="G64" s="4" t="s">
        <v>130</v>
      </c>
      <c r="H64" s="4" t="s">
        <v>131</v>
      </c>
      <c r="I64" s="4"/>
      <c r="J64" s="4"/>
      <c r="K64" s="4">
        <v>209</v>
      </c>
      <c r="L64" s="4">
        <v>23</v>
      </c>
      <c r="M64" s="4">
        <v>3</v>
      </c>
      <c r="N64" s="4" t="s">
        <v>3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3" x14ac:dyDescent="0.2">
      <c r="A65" s="4">
        <v>50</v>
      </c>
      <c r="B65" s="4">
        <v>0</v>
      </c>
      <c r="C65" s="4">
        <v>0</v>
      </c>
      <c r="D65" s="4">
        <v>1</v>
      </c>
      <c r="E65" s="4">
        <v>233</v>
      </c>
      <c r="F65" s="4">
        <f>ROUND(Source!BD40,O65)</f>
        <v>0</v>
      </c>
      <c r="G65" s="4" t="s">
        <v>132</v>
      </c>
      <c r="H65" s="4" t="s">
        <v>133</v>
      </c>
      <c r="I65" s="4"/>
      <c r="J65" s="4"/>
      <c r="K65" s="4">
        <v>233</v>
      </c>
      <c r="L65" s="4">
        <v>24</v>
      </c>
      <c r="M65" s="4">
        <v>3</v>
      </c>
      <c r="N65" s="4" t="s">
        <v>3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3" x14ac:dyDescent="0.2">
      <c r="A66" s="4">
        <v>50</v>
      </c>
      <c r="B66" s="4">
        <v>1</v>
      </c>
      <c r="C66" s="4">
        <v>0</v>
      </c>
      <c r="D66" s="4">
        <v>1</v>
      </c>
      <c r="E66" s="4">
        <v>210</v>
      </c>
      <c r="F66" s="4">
        <f>ROUND(Source!X40,O66)</f>
        <v>209011.3</v>
      </c>
      <c r="G66" s="4" t="s">
        <v>134</v>
      </c>
      <c r="H66" s="4" t="s">
        <v>135</v>
      </c>
      <c r="I66" s="4"/>
      <c r="J66" s="4"/>
      <c r="K66" s="4">
        <v>210</v>
      </c>
      <c r="L66" s="4">
        <v>25</v>
      </c>
      <c r="M66" s="4">
        <v>1</v>
      </c>
      <c r="N66" s="4" t="s">
        <v>3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3" x14ac:dyDescent="0.2">
      <c r="A67" s="4">
        <v>50</v>
      </c>
      <c r="B67" s="4">
        <v>1</v>
      </c>
      <c r="C67" s="4">
        <v>0</v>
      </c>
      <c r="D67" s="4">
        <v>1</v>
      </c>
      <c r="E67" s="4">
        <v>211</v>
      </c>
      <c r="F67" s="4">
        <f>ROUND(Source!Y40,O67)</f>
        <v>123910.63</v>
      </c>
      <c r="G67" s="4" t="s">
        <v>136</v>
      </c>
      <c r="H67" s="4" t="s">
        <v>137</v>
      </c>
      <c r="I67" s="4"/>
      <c r="J67" s="4"/>
      <c r="K67" s="4">
        <v>211</v>
      </c>
      <c r="L67" s="4">
        <v>26</v>
      </c>
      <c r="M67" s="4">
        <v>1</v>
      </c>
      <c r="N67" s="4" t="s">
        <v>3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3" x14ac:dyDescent="0.2">
      <c r="A68" s="4">
        <v>50</v>
      </c>
      <c r="B68" s="4">
        <v>1</v>
      </c>
      <c r="C68" s="4">
        <v>0</v>
      </c>
      <c r="D68" s="4">
        <v>1</v>
      </c>
      <c r="E68" s="4">
        <v>224</v>
      </c>
      <c r="F68" s="4">
        <f>ROUND(Source!AR40,O68)</f>
        <v>901917.34</v>
      </c>
      <c r="G68" s="4" t="s">
        <v>138</v>
      </c>
      <c r="H68" s="4" t="s">
        <v>139</v>
      </c>
      <c r="I68" s="4"/>
      <c r="J68" s="4"/>
      <c r="K68" s="4">
        <v>224</v>
      </c>
      <c r="L68" s="4">
        <v>27</v>
      </c>
      <c r="M68" s="4">
        <v>1</v>
      </c>
      <c r="N68" s="4" t="s">
        <v>3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69" spans="1:23" x14ac:dyDescent="0.2">
      <c r="A69" s="4">
        <v>50</v>
      </c>
      <c r="B69" s="4">
        <v>0</v>
      </c>
      <c r="C69" s="4">
        <v>0</v>
      </c>
      <c r="D69" s="4">
        <v>2</v>
      </c>
      <c r="E69" s="4">
        <v>0</v>
      </c>
      <c r="F69" s="4">
        <f>0</f>
        <v>0</v>
      </c>
      <c r="G69" s="4" t="s">
        <v>140</v>
      </c>
      <c r="H69" s="4" t="s">
        <v>141</v>
      </c>
      <c r="I69" s="4"/>
      <c r="J69" s="4"/>
      <c r="K69" s="4">
        <v>212</v>
      </c>
      <c r="L69" s="4">
        <v>28</v>
      </c>
      <c r="M69" s="4">
        <v>1</v>
      </c>
      <c r="N69" s="4" t="s">
        <v>3</v>
      </c>
      <c r="O69" s="4">
        <v>-1</v>
      </c>
      <c r="P69" s="4"/>
      <c r="Q69" s="4"/>
      <c r="R69" s="4"/>
      <c r="S69" s="4"/>
      <c r="T69" s="4"/>
      <c r="U69" s="4"/>
      <c r="V69" s="4"/>
      <c r="W69" s="4"/>
    </row>
    <row r="70" spans="1:23" x14ac:dyDescent="0.2">
      <c r="A70" s="4">
        <v>50</v>
      </c>
      <c r="B70" s="4">
        <v>0</v>
      </c>
      <c r="C70" s="4">
        <v>0</v>
      </c>
      <c r="D70" s="4">
        <v>2</v>
      </c>
      <c r="E70" s="4">
        <v>0</v>
      </c>
      <c r="F70" s="4">
        <f>ROUND(IF(F69=0,0,F68/100*F69),O70)</f>
        <v>0</v>
      </c>
      <c r="G70" s="4" t="s">
        <v>142</v>
      </c>
      <c r="H70" s="4" t="s">
        <v>143</v>
      </c>
      <c r="I70" s="4"/>
      <c r="J70" s="4"/>
      <c r="K70" s="4">
        <v>212</v>
      </c>
      <c r="L70" s="4">
        <v>29</v>
      </c>
      <c r="M70" s="4">
        <v>1</v>
      </c>
      <c r="N70" s="4" t="s">
        <v>3</v>
      </c>
      <c r="O70" s="4">
        <v>2</v>
      </c>
      <c r="P70" s="4"/>
      <c r="Q70" s="4"/>
      <c r="R70" s="4"/>
      <c r="S70" s="4"/>
      <c r="T70" s="4"/>
      <c r="U70" s="4"/>
      <c r="V70" s="4"/>
      <c r="W70" s="4"/>
    </row>
    <row r="71" spans="1:23" x14ac:dyDescent="0.2">
      <c r="A71" s="4">
        <v>50</v>
      </c>
      <c r="B71" s="4">
        <v>0</v>
      </c>
      <c r="C71" s="4">
        <v>0</v>
      </c>
      <c r="D71" s="4">
        <v>2</v>
      </c>
      <c r="E71" s="4">
        <v>0</v>
      </c>
      <c r="F71" s="4">
        <f>ROUND(IF(F69=0,0,F68+F70),O71)</f>
        <v>0</v>
      </c>
      <c r="G71" s="4" t="s">
        <v>144</v>
      </c>
      <c r="H71" s="4" t="s">
        <v>145</v>
      </c>
      <c r="I71" s="4"/>
      <c r="J71" s="4"/>
      <c r="K71" s="4">
        <v>212</v>
      </c>
      <c r="L71" s="4">
        <v>30</v>
      </c>
      <c r="M71" s="4">
        <v>1</v>
      </c>
      <c r="N71" s="4" t="s">
        <v>3</v>
      </c>
      <c r="O71" s="4">
        <v>2</v>
      </c>
      <c r="P71" s="4"/>
      <c r="Q71" s="4"/>
      <c r="R71" s="4"/>
      <c r="S71" s="4"/>
      <c r="T71" s="4"/>
      <c r="U71" s="4"/>
      <c r="V71" s="4"/>
      <c r="W71" s="4"/>
    </row>
    <row r="72" spans="1:23" x14ac:dyDescent="0.2">
      <c r="A72" s="4">
        <v>50</v>
      </c>
      <c r="B72" s="4">
        <v>0</v>
      </c>
      <c r="C72" s="4">
        <v>0</v>
      </c>
      <c r="D72" s="4">
        <v>2</v>
      </c>
      <c r="E72" s="4">
        <v>0</v>
      </c>
      <c r="F72" s="4">
        <f>0</f>
        <v>0</v>
      </c>
      <c r="G72" s="4" t="s">
        <v>146</v>
      </c>
      <c r="H72" s="4" t="s">
        <v>147</v>
      </c>
      <c r="I72" s="4"/>
      <c r="J72" s="4"/>
      <c r="K72" s="4">
        <v>212</v>
      </c>
      <c r="L72" s="4">
        <v>31</v>
      </c>
      <c r="M72" s="4">
        <v>1</v>
      </c>
      <c r="N72" s="4" t="s">
        <v>3</v>
      </c>
      <c r="O72" s="4">
        <v>-1</v>
      </c>
      <c r="P72" s="4"/>
      <c r="Q72" s="4"/>
      <c r="R72" s="4"/>
      <c r="S72" s="4"/>
      <c r="T72" s="4"/>
      <c r="U72" s="4"/>
      <c r="V72" s="4"/>
      <c r="W72" s="4"/>
    </row>
    <row r="73" spans="1:23" x14ac:dyDescent="0.2">
      <c r="A73" s="4">
        <v>50</v>
      </c>
      <c r="B73" s="4">
        <v>0</v>
      </c>
      <c r="C73" s="4">
        <v>0</v>
      </c>
      <c r="D73" s="4">
        <v>2</v>
      </c>
      <c r="E73" s="4">
        <v>0</v>
      </c>
      <c r="F73" s="4">
        <f>ROUND(IF(F72=0,0,(F68+F70)/100*F72),O73)</f>
        <v>0</v>
      </c>
      <c r="G73" s="4" t="s">
        <v>148</v>
      </c>
      <c r="H73" s="4" t="s">
        <v>149</v>
      </c>
      <c r="I73" s="4"/>
      <c r="J73" s="4"/>
      <c r="K73" s="4">
        <v>212</v>
      </c>
      <c r="L73" s="4">
        <v>32</v>
      </c>
      <c r="M73" s="4">
        <v>1</v>
      </c>
      <c r="N73" s="4" t="s">
        <v>3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3" x14ac:dyDescent="0.2">
      <c r="A74" s="4">
        <v>50</v>
      </c>
      <c r="B74" s="4">
        <v>0</v>
      </c>
      <c r="C74" s="4">
        <v>0</v>
      </c>
      <c r="D74" s="4">
        <v>2</v>
      </c>
      <c r="E74" s="4">
        <v>0</v>
      </c>
      <c r="F74" s="4">
        <f>ROUND(IF(F73=0,0,F68+F70+F73),O74)</f>
        <v>0</v>
      </c>
      <c r="G74" s="4" t="s">
        <v>150</v>
      </c>
      <c r="H74" s="4" t="s">
        <v>151</v>
      </c>
      <c r="I74" s="4"/>
      <c r="J74" s="4"/>
      <c r="K74" s="4">
        <v>212</v>
      </c>
      <c r="L74" s="4">
        <v>33</v>
      </c>
      <c r="M74" s="4">
        <v>1</v>
      </c>
      <c r="N74" s="4" t="s">
        <v>3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3" x14ac:dyDescent="0.2">
      <c r="A75" s="4">
        <v>50</v>
      </c>
      <c r="B75" s="4">
        <v>0</v>
      </c>
      <c r="C75" s="4">
        <v>0</v>
      </c>
      <c r="D75" s="4">
        <v>2</v>
      </c>
      <c r="E75" s="4">
        <v>0</v>
      </c>
      <c r="F75" s="4">
        <f>0</f>
        <v>0</v>
      </c>
      <c r="G75" s="4" t="s">
        <v>152</v>
      </c>
      <c r="H75" s="4" t="s">
        <v>153</v>
      </c>
      <c r="I75" s="4"/>
      <c r="J75" s="4"/>
      <c r="K75" s="4">
        <v>212</v>
      </c>
      <c r="L75" s="4">
        <v>34</v>
      </c>
      <c r="M75" s="4">
        <v>1</v>
      </c>
      <c r="N75" s="4" t="s">
        <v>3</v>
      </c>
      <c r="O75" s="4">
        <v>-1</v>
      </c>
      <c r="P75" s="4"/>
      <c r="Q75" s="4"/>
      <c r="R75" s="4"/>
      <c r="S75" s="4"/>
      <c r="T75" s="4"/>
      <c r="U75" s="4"/>
      <c r="V75" s="4"/>
      <c r="W75" s="4"/>
    </row>
    <row r="76" spans="1:23" x14ac:dyDescent="0.2">
      <c r="A76" s="4">
        <v>50</v>
      </c>
      <c r="B76" s="4">
        <v>0</v>
      </c>
      <c r="C76" s="4">
        <v>0</v>
      </c>
      <c r="D76" s="4">
        <v>2</v>
      </c>
      <c r="E76" s="4">
        <v>0</v>
      </c>
      <c r="F76" s="4">
        <f>ROUND(IF(F75=0,0,(F68+F70+F73)/100*F75),O76)</f>
        <v>0</v>
      </c>
      <c r="G76" s="4" t="s">
        <v>154</v>
      </c>
      <c r="H76" s="4" t="s">
        <v>155</v>
      </c>
      <c r="I76" s="4"/>
      <c r="J76" s="4"/>
      <c r="K76" s="4">
        <v>212</v>
      </c>
      <c r="L76" s="4">
        <v>35</v>
      </c>
      <c r="M76" s="4">
        <v>1</v>
      </c>
      <c r="N76" s="4" t="s">
        <v>3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3" x14ac:dyDescent="0.2">
      <c r="A77" s="4">
        <v>50</v>
      </c>
      <c r="B77" s="4">
        <v>0</v>
      </c>
      <c r="C77" s="4">
        <v>0</v>
      </c>
      <c r="D77" s="4">
        <v>2</v>
      </c>
      <c r="E77" s="4">
        <v>0</v>
      </c>
      <c r="F77" s="4">
        <f>ROUND(IF(F76=0,0,F68+F70+F73+F76),O77)</f>
        <v>0</v>
      </c>
      <c r="G77" s="4" t="s">
        <v>156</v>
      </c>
      <c r="H77" s="4" t="s">
        <v>157</v>
      </c>
      <c r="I77" s="4"/>
      <c r="J77" s="4"/>
      <c r="K77" s="4">
        <v>212</v>
      </c>
      <c r="L77" s="4">
        <v>36</v>
      </c>
      <c r="M77" s="4">
        <v>1</v>
      </c>
      <c r="N77" s="4" t="s">
        <v>3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3" x14ac:dyDescent="0.2">
      <c r="A78" s="4">
        <v>50</v>
      </c>
      <c r="B78" s="4">
        <v>0</v>
      </c>
      <c r="C78" s="4">
        <v>0</v>
      </c>
      <c r="D78" s="4">
        <v>2</v>
      </c>
      <c r="E78" s="4">
        <v>0</v>
      </c>
      <c r="F78" s="4">
        <f>ROUND(F68+F70+F73+F76,O78)</f>
        <v>901917.34</v>
      </c>
      <c r="G78" s="4" t="s">
        <v>158</v>
      </c>
      <c r="H78" s="4" t="s">
        <v>159</v>
      </c>
      <c r="I78" s="4"/>
      <c r="J78" s="4"/>
      <c r="K78" s="4">
        <v>212</v>
      </c>
      <c r="L78" s="4">
        <v>37</v>
      </c>
      <c r="M78" s="4">
        <v>3</v>
      </c>
      <c r="N78" s="4" t="s">
        <v>3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3" x14ac:dyDescent="0.2">
      <c r="A79" s="4">
        <v>50</v>
      </c>
      <c r="B79" s="4">
        <v>1</v>
      </c>
      <c r="C79" s="4">
        <v>0</v>
      </c>
      <c r="D79" s="4">
        <v>2</v>
      </c>
      <c r="E79" s="4">
        <v>0</v>
      </c>
      <c r="F79" s="4">
        <f>ROUND(ROUND(F78*0.2,2),O79)</f>
        <v>180383.47</v>
      </c>
      <c r="G79" s="4" t="s">
        <v>160</v>
      </c>
      <c r="H79" s="4" t="s">
        <v>161</v>
      </c>
      <c r="I79" s="4"/>
      <c r="J79" s="4"/>
      <c r="K79" s="4">
        <v>212</v>
      </c>
      <c r="L79" s="4">
        <v>38</v>
      </c>
      <c r="M79" s="4">
        <v>1</v>
      </c>
      <c r="N79" s="4" t="s">
        <v>3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3" x14ac:dyDescent="0.2">
      <c r="A80" s="4">
        <v>50</v>
      </c>
      <c r="B80" s="4">
        <v>1</v>
      </c>
      <c r="C80" s="4">
        <v>0</v>
      </c>
      <c r="D80" s="4">
        <v>2</v>
      </c>
      <c r="E80" s="4">
        <v>213</v>
      </c>
      <c r="F80" s="4">
        <f>ROUND(F78+F79,O80)</f>
        <v>1082300.81</v>
      </c>
      <c r="G80" s="4" t="s">
        <v>162</v>
      </c>
      <c r="H80" s="4" t="s">
        <v>163</v>
      </c>
      <c r="I80" s="4"/>
      <c r="J80" s="4"/>
      <c r="K80" s="4">
        <v>212</v>
      </c>
      <c r="L80" s="4">
        <v>39</v>
      </c>
      <c r="M80" s="4">
        <v>1</v>
      </c>
      <c r="N80" s="4" t="s">
        <v>3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2" spans="1:206" x14ac:dyDescent="0.2">
      <c r="A82" s="2">
        <v>51</v>
      </c>
      <c r="B82" s="2">
        <f>B20</f>
        <v>1</v>
      </c>
      <c r="C82" s="2">
        <f>A20</f>
        <v>3</v>
      </c>
      <c r="D82" s="2">
        <f>ROW(A20)</f>
        <v>20</v>
      </c>
      <c r="E82" s="2"/>
      <c r="F82" s="2" t="str">
        <f>IF(F20&lt;&gt;"",F20,"")</f>
        <v>Новая локальная смета</v>
      </c>
      <c r="G82" s="2" t="str">
        <f>IF(G20&lt;&gt;"",G20,"")</f>
        <v>Новая локальная смета</v>
      </c>
      <c r="H82" s="2">
        <v>0</v>
      </c>
      <c r="I82" s="2"/>
      <c r="J82" s="2"/>
      <c r="K82" s="2"/>
      <c r="L82" s="2"/>
      <c r="M82" s="2"/>
      <c r="N82" s="2"/>
      <c r="O82" s="2">
        <f t="shared" ref="O82:T82" si="63">ROUND(O40+AB82,2)</f>
        <v>568995.41</v>
      </c>
      <c r="P82" s="2">
        <f t="shared" si="63"/>
        <v>235079.94</v>
      </c>
      <c r="Q82" s="2">
        <f t="shared" si="63"/>
        <v>3840.39</v>
      </c>
      <c r="R82" s="2">
        <f t="shared" si="63"/>
        <v>546.80999999999995</v>
      </c>
      <c r="S82" s="2">
        <f t="shared" si="63"/>
        <v>330075.08</v>
      </c>
      <c r="T82" s="2">
        <f t="shared" si="63"/>
        <v>0</v>
      </c>
      <c r="U82" s="2">
        <f>U40+AH82</f>
        <v>669.75290600000005</v>
      </c>
      <c r="V82" s="2">
        <f>V40+AI82</f>
        <v>0.84744000000000008</v>
      </c>
      <c r="W82" s="2">
        <f>ROUND(W40+AJ82,2)</f>
        <v>0</v>
      </c>
      <c r="X82" s="2">
        <f>ROUND(X40+AK82,2)</f>
        <v>209011.3</v>
      </c>
      <c r="Y82" s="2">
        <f>ROUND(Y40+AL82,2)</f>
        <v>123910.63</v>
      </c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>
        <f t="shared" ref="AO82:BD82" si="64">ROUND(AO40+BX82,2)</f>
        <v>0</v>
      </c>
      <c r="AP82" s="2">
        <f t="shared" si="64"/>
        <v>0</v>
      </c>
      <c r="AQ82" s="2">
        <f t="shared" si="64"/>
        <v>0</v>
      </c>
      <c r="AR82" s="2">
        <f t="shared" si="64"/>
        <v>901917.34</v>
      </c>
      <c r="AS82" s="2">
        <f t="shared" si="64"/>
        <v>95319.61</v>
      </c>
      <c r="AT82" s="2">
        <f t="shared" si="64"/>
        <v>455157.7</v>
      </c>
      <c r="AU82" s="2">
        <f t="shared" si="64"/>
        <v>351440.03</v>
      </c>
      <c r="AV82" s="2">
        <f t="shared" si="64"/>
        <v>235079.94</v>
      </c>
      <c r="AW82" s="2">
        <f t="shared" si="64"/>
        <v>235079.94</v>
      </c>
      <c r="AX82" s="2">
        <f t="shared" si="64"/>
        <v>0</v>
      </c>
      <c r="AY82" s="2">
        <f t="shared" si="64"/>
        <v>235079.94</v>
      </c>
      <c r="AZ82" s="2">
        <f t="shared" si="64"/>
        <v>0</v>
      </c>
      <c r="BA82" s="2">
        <f t="shared" si="64"/>
        <v>0</v>
      </c>
      <c r="BB82" s="2">
        <f t="shared" si="64"/>
        <v>0</v>
      </c>
      <c r="BC82" s="2">
        <f t="shared" si="64"/>
        <v>0</v>
      </c>
      <c r="BD82" s="2">
        <f t="shared" si="64"/>
        <v>0</v>
      </c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>
        <v>0</v>
      </c>
    </row>
    <row r="84" spans="1:206" x14ac:dyDescent="0.2">
      <c r="A84" s="4">
        <v>50</v>
      </c>
      <c r="B84" s="4">
        <v>1</v>
      </c>
      <c r="C84" s="4">
        <v>0</v>
      </c>
      <c r="D84" s="4">
        <v>1</v>
      </c>
      <c r="E84" s="4">
        <v>201</v>
      </c>
      <c r="F84" s="4">
        <f>ROUND(Source!O82,O84)</f>
        <v>568995.41</v>
      </c>
      <c r="G84" s="4" t="s">
        <v>86</v>
      </c>
      <c r="H84" s="4" t="s">
        <v>87</v>
      </c>
      <c r="I84" s="4"/>
      <c r="J84" s="4"/>
      <c r="K84" s="4">
        <v>201</v>
      </c>
      <c r="L84" s="4">
        <v>1</v>
      </c>
      <c r="M84" s="4">
        <v>1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06" x14ac:dyDescent="0.2">
      <c r="A85" s="4">
        <v>50</v>
      </c>
      <c r="B85" s="4">
        <v>1</v>
      </c>
      <c r="C85" s="4">
        <v>0</v>
      </c>
      <c r="D85" s="4">
        <v>1</v>
      </c>
      <c r="E85" s="4">
        <v>202</v>
      </c>
      <c r="F85" s="4">
        <f>ROUND(Source!P82,O85)</f>
        <v>235079.94</v>
      </c>
      <c r="G85" s="4" t="s">
        <v>88</v>
      </c>
      <c r="H85" s="4" t="s">
        <v>89</v>
      </c>
      <c r="I85" s="4"/>
      <c r="J85" s="4"/>
      <c r="K85" s="4">
        <v>202</v>
      </c>
      <c r="L85" s="4">
        <v>2</v>
      </c>
      <c r="M85" s="4">
        <v>1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06" x14ac:dyDescent="0.2">
      <c r="A86" s="4">
        <v>50</v>
      </c>
      <c r="B86" s="4">
        <v>0</v>
      </c>
      <c r="C86" s="4">
        <v>0</v>
      </c>
      <c r="D86" s="4">
        <v>1</v>
      </c>
      <c r="E86" s="4">
        <v>222</v>
      </c>
      <c r="F86" s="4">
        <f>ROUND(Source!AO82,O86)</f>
        <v>0</v>
      </c>
      <c r="G86" s="4" t="s">
        <v>90</v>
      </c>
      <c r="H86" s="4" t="s">
        <v>91</v>
      </c>
      <c r="I86" s="4"/>
      <c r="J86" s="4"/>
      <c r="K86" s="4">
        <v>222</v>
      </c>
      <c r="L86" s="4">
        <v>3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06" x14ac:dyDescent="0.2">
      <c r="A87" s="4">
        <v>50</v>
      </c>
      <c r="B87" s="4">
        <v>0</v>
      </c>
      <c r="C87" s="4">
        <v>0</v>
      </c>
      <c r="D87" s="4">
        <v>1</v>
      </c>
      <c r="E87" s="4">
        <v>225</v>
      </c>
      <c r="F87" s="4">
        <f>ROUND(Source!AV82,O87)</f>
        <v>235079.94</v>
      </c>
      <c r="G87" s="4" t="s">
        <v>92</v>
      </c>
      <c r="H87" s="4" t="s">
        <v>93</v>
      </c>
      <c r="I87" s="4"/>
      <c r="J87" s="4"/>
      <c r="K87" s="4">
        <v>225</v>
      </c>
      <c r="L87" s="4">
        <v>4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06" x14ac:dyDescent="0.2">
      <c r="A88" s="4">
        <v>50</v>
      </c>
      <c r="B88" s="4">
        <v>0</v>
      </c>
      <c r="C88" s="4">
        <v>0</v>
      </c>
      <c r="D88" s="4">
        <v>1</v>
      </c>
      <c r="E88" s="4">
        <v>226</v>
      </c>
      <c r="F88" s="4">
        <f>ROUND(Source!AW82,O88)</f>
        <v>235079.94</v>
      </c>
      <c r="G88" s="4" t="s">
        <v>94</v>
      </c>
      <c r="H88" s="4" t="s">
        <v>95</v>
      </c>
      <c r="I88" s="4"/>
      <c r="J88" s="4"/>
      <c r="K88" s="4">
        <v>226</v>
      </c>
      <c r="L88" s="4">
        <v>5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06" x14ac:dyDescent="0.2">
      <c r="A89" s="4">
        <v>50</v>
      </c>
      <c r="B89" s="4">
        <v>0</v>
      </c>
      <c r="C89" s="4">
        <v>0</v>
      </c>
      <c r="D89" s="4">
        <v>1</v>
      </c>
      <c r="E89" s="4">
        <v>227</v>
      </c>
      <c r="F89" s="4">
        <f>ROUND(Source!AX82,O89)</f>
        <v>0</v>
      </c>
      <c r="G89" s="4" t="s">
        <v>96</v>
      </c>
      <c r="H89" s="4" t="s">
        <v>97</v>
      </c>
      <c r="I89" s="4"/>
      <c r="J89" s="4"/>
      <c r="K89" s="4">
        <v>227</v>
      </c>
      <c r="L89" s="4">
        <v>6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06" x14ac:dyDescent="0.2">
      <c r="A90" s="4">
        <v>50</v>
      </c>
      <c r="B90" s="4">
        <v>0</v>
      </c>
      <c r="C90" s="4">
        <v>0</v>
      </c>
      <c r="D90" s="4">
        <v>1</v>
      </c>
      <c r="E90" s="4">
        <v>228</v>
      </c>
      <c r="F90" s="4">
        <f>ROUND(Source!AY82,O90)</f>
        <v>235079.94</v>
      </c>
      <c r="G90" s="4" t="s">
        <v>98</v>
      </c>
      <c r="H90" s="4" t="s">
        <v>99</v>
      </c>
      <c r="I90" s="4"/>
      <c r="J90" s="4"/>
      <c r="K90" s="4">
        <v>228</v>
      </c>
      <c r="L90" s="4">
        <v>7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06" x14ac:dyDescent="0.2">
      <c r="A91" s="4">
        <v>50</v>
      </c>
      <c r="B91" s="4">
        <v>0</v>
      </c>
      <c r="C91" s="4">
        <v>0</v>
      </c>
      <c r="D91" s="4">
        <v>1</v>
      </c>
      <c r="E91" s="4">
        <v>216</v>
      </c>
      <c r="F91" s="4">
        <f>ROUND(Source!AP82,O91)</f>
        <v>0</v>
      </c>
      <c r="G91" s="4" t="s">
        <v>100</v>
      </c>
      <c r="H91" s="4" t="s">
        <v>101</v>
      </c>
      <c r="I91" s="4"/>
      <c r="J91" s="4"/>
      <c r="K91" s="4">
        <v>216</v>
      </c>
      <c r="L91" s="4">
        <v>8</v>
      </c>
      <c r="M91" s="4">
        <v>1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06" x14ac:dyDescent="0.2">
      <c r="A92" s="4">
        <v>50</v>
      </c>
      <c r="B92" s="4">
        <v>0</v>
      </c>
      <c r="C92" s="4">
        <v>0</v>
      </c>
      <c r="D92" s="4">
        <v>1</v>
      </c>
      <c r="E92" s="4">
        <v>223</v>
      </c>
      <c r="F92" s="4">
        <f>ROUND(Source!AQ82,O92)</f>
        <v>0</v>
      </c>
      <c r="G92" s="4" t="s">
        <v>102</v>
      </c>
      <c r="H92" s="4" t="s">
        <v>103</v>
      </c>
      <c r="I92" s="4"/>
      <c r="J92" s="4"/>
      <c r="K92" s="4">
        <v>223</v>
      </c>
      <c r="L92" s="4">
        <v>9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06" x14ac:dyDescent="0.2">
      <c r="A93" s="4">
        <v>50</v>
      </c>
      <c r="B93" s="4">
        <v>0</v>
      </c>
      <c r="C93" s="4">
        <v>0</v>
      </c>
      <c r="D93" s="4">
        <v>1</v>
      </c>
      <c r="E93" s="4">
        <v>229</v>
      </c>
      <c r="F93" s="4">
        <f>ROUND(Source!AZ82,O93)</f>
        <v>0</v>
      </c>
      <c r="G93" s="4" t="s">
        <v>104</v>
      </c>
      <c r="H93" s="4" t="s">
        <v>105</v>
      </c>
      <c r="I93" s="4"/>
      <c r="J93" s="4"/>
      <c r="K93" s="4">
        <v>229</v>
      </c>
      <c r="L93" s="4">
        <v>10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06" x14ac:dyDescent="0.2">
      <c r="A94" s="4">
        <v>50</v>
      </c>
      <c r="B94" s="4">
        <v>1</v>
      </c>
      <c r="C94" s="4">
        <v>0</v>
      </c>
      <c r="D94" s="4">
        <v>1</v>
      </c>
      <c r="E94" s="4">
        <v>203</v>
      </c>
      <c r="F94" s="4">
        <f>ROUND(Source!Q82,O94)</f>
        <v>3840.39</v>
      </c>
      <c r="G94" s="4" t="s">
        <v>106</v>
      </c>
      <c r="H94" s="4" t="s">
        <v>107</v>
      </c>
      <c r="I94" s="4"/>
      <c r="J94" s="4"/>
      <c r="K94" s="4">
        <v>203</v>
      </c>
      <c r="L94" s="4">
        <v>11</v>
      </c>
      <c r="M94" s="4">
        <v>1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06" x14ac:dyDescent="0.2">
      <c r="A95" s="4">
        <v>50</v>
      </c>
      <c r="B95" s="4">
        <v>0</v>
      </c>
      <c r="C95" s="4">
        <v>0</v>
      </c>
      <c r="D95" s="4">
        <v>1</v>
      </c>
      <c r="E95" s="4">
        <v>231</v>
      </c>
      <c r="F95" s="4">
        <f>ROUND(Source!BB82,O95)</f>
        <v>0</v>
      </c>
      <c r="G95" s="4" t="s">
        <v>108</v>
      </c>
      <c r="H95" s="4" t="s">
        <v>109</v>
      </c>
      <c r="I95" s="4"/>
      <c r="J95" s="4"/>
      <c r="K95" s="4">
        <v>231</v>
      </c>
      <c r="L95" s="4">
        <v>12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06" x14ac:dyDescent="0.2">
      <c r="A96" s="4">
        <v>50</v>
      </c>
      <c r="B96" s="4">
        <v>1</v>
      </c>
      <c r="C96" s="4">
        <v>0</v>
      </c>
      <c r="D96" s="4">
        <v>1</v>
      </c>
      <c r="E96" s="4">
        <v>204</v>
      </c>
      <c r="F96" s="4">
        <f>ROUND(Source!R82,O96)</f>
        <v>546.80999999999995</v>
      </c>
      <c r="G96" s="4" t="s">
        <v>110</v>
      </c>
      <c r="H96" s="4" t="s">
        <v>111</v>
      </c>
      <c r="I96" s="4"/>
      <c r="J96" s="4"/>
      <c r="K96" s="4">
        <v>204</v>
      </c>
      <c r="L96" s="4">
        <v>13</v>
      </c>
      <c r="M96" s="4">
        <v>1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">
      <c r="A97" s="4">
        <v>50</v>
      </c>
      <c r="B97" s="4">
        <v>1</v>
      </c>
      <c r="C97" s="4">
        <v>0</v>
      </c>
      <c r="D97" s="4">
        <v>1</v>
      </c>
      <c r="E97" s="4">
        <v>205</v>
      </c>
      <c r="F97" s="4">
        <f>ROUND(Source!S82,O97)</f>
        <v>330075.08</v>
      </c>
      <c r="G97" s="4" t="s">
        <v>112</v>
      </c>
      <c r="H97" s="4" t="s">
        <v>113</v>
      </c>
      <c r="I97" s="4"/>
      <c r="J97" s="4"/>
      <c r="K97" s="4">
        <v>205</v>
      </c>
      <c r="L97" s="4">
        <v>14</v>
      </c>
      <c r="M97" s="4">
        <v>1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">
      <c r="A98" s="4">
        <v>50</v>
      </c>
      <c r="B98" s="4">
        <v>0</v>
      </c>
      <c r="C98" s="4">
        <v>0</v>
      </c>
      <c r="D98" s="4">
        <v>1</v>
      </c>
      <c r="E98" s="4">
        <v>232</v>
      </c>
      <c r="F98" s="4">
        <f>ROUND(Source!BC82,O98)</f>
        <v>0</v>
      </c>
      <c r="G98" s="4" t="s">
        <v>114</v>
      </c>
      <c r="H98" s="4" t="s">
        <v>115</v>
      </c>
      <c r="I98" s="4"/>
      <c r="J98" s="4"/>
      <c r="K98" s="4">
        <v>232</v>
      </c>
      <c r="L98" s="4">
        <v>15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">
      <c r="A99" s="4">
        <v>50</v>
      </c>
      <c r="B99" s="4">
        <v>0</v>
      </c>
      <c r="C99" s="4">
        <v>0</v>
      </c>
      <c r="D99" s="4">
        <v>1</v>
      </c>
      <c r="E99" s="4">
        <v>214</v>
      </c>
      <c r="F99" s="4">
        <f>ROUND(Source!AS82,O99)</f>
        <v>95319.61</v>
      </c>
      <c r="G99" s="4" t="s">
        <v>116</v>
      </c>
      <c r="H99" s="4" t="s">
        <v>117</v>
      </c>
      <c r="I99" s="4"/>
      <c r="J99" s="4"/>
      <c r="K99" s="4">
        <v>214</v>
      </c>
      <c r="L99" s="4">
        <v>16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">
      <c r="A100" s="4">
        <v>50</v>
      </c>
      <c r="B100" s="4">
        <v>0</v>
      </c>
      <c r="C100" s="4">
        <v>0</v>
      </c>
      <c r="D100" s="4">
        <v>1</v>
      </c>
      <c r="E100" s="4">
        <v>215</v>
      </c>
      <c r="F100" s="4">
        <f>ROUND(Source!AT82,O100)</f>
        <v>455157.7</v>
      </c>
      <c r="G100" s="4" t="s">
        <v>118</v>
      </c>
      <c r="H100" s="4" t="s">
        <v>119</v>
      </c>
      <c r="I100" s="4"/>
      <c r="J100" s="4"/>
      <c r="K100" s="4">
        <v>215</v>
      </c>
      <c r="L100" s="4">
        <v>17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3" x14ac:dyDescent="0.2">
      <c r="A101" s="4">
        <v>50</v>
      </c>
      <c r="B101" s="4">
        <v>0</v>
      </c>
      <c r="C101" s="4">
        <v>0</v>
      </c>
      <c r="D101" s="4">
        <v>1</v>
      </c>
      <c r="E101" s="4">
        <v>217</v>
      </c>
      <c r="F101" s="4">
        <f>ROUND(Source!AU82,O101)</f>
        <v>351440.03</v>
      </c>
      <c r="G101" s="4" t="s">
        <v>120</v>
      </c>
      <c r="H101" s="4" t="s">
        <v>121</v>
      </c>
      <c r="I101" s="4"/>
      <c r="J101" s="4"/>
      <c r="K101" s="4">
        <v>217</v>
      </c>
      <c r="L101" s="4">
        <v>18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3" x14ac:dyDescent="0.2">
      <c r="A102" s="4">
        <v>50</v>
      </c>
      <c r="B102" s="4">
        <v>0</v>
      </c>
      <c r="C102" s="4">
        <v>0</v>
      </c>
      <c r="D102" s="4">
        <v>1</v>
      </c>
      <c r="E102" s="4">
        <v>230</v>
      </c>
      <c r="F102" s="4">
        <f>ROUND(Source!BA82,O102)</f>
        <v>0</v>
      </c>
      <c r="G102" s="4" t="s">
        <v>122</v>
      </c>
      <c r="H102" s="4" t="s">
        <v>123</v>
      </c>
      <c r="I102" s="4"/>
      <c r="J102" s="4"/>
      <c r="K102" s="4">
        <v>230</v>
      </c>
      <c r="L102" s="4">
        <v>19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3" x14ac:dyDescent="0.2">
      <c r="A103" s="4">
        <v>50</v>
      </c>
      <c r="B103" s="4">
        <v>0</v>
      </c>
      <c r="C103" s="4">
        <v>0</v>
      </c>
      <c r="D103" s="4">
        <v>1</v>
      </c>
      <c r="E103" s="4">
        <v>206</v>
      </c>
      <c r="F103" s="4">
        <f>ROUND(Source!T82,O103)</f>
        <v>0</v>
      </c>
      <c r="G103" s="4" t="s">
        <v>124</v>
      </c>
      <c r="H103" s="4" t="s">
        <v>125</v>
      </c>
      <c r="I103" s="4"/>
      <c r="J103" s="4"/>
      <c r="K103" s="4">
        <v>206</v>
      </c>
      <c r="L103" s="4">
        <v>20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3" x14ac:dyDescent="0.2">
      <c r="A104" s="4">
        <v>50</v>
      </c>
      <c r="B104" s="4">
        <v>0</v>
      </c>
      <c r="C104" s="4">
        <v>0</v>
      </c>
      <c r="D104" s="4">
        <v>1</v>
      </c>
      <c r="E104" s="4">
        <v>207</v>
      </c>
      <c r="F104" s="4">
        <f>Source!U82</f>
        <v>669.75290600000005</v>
      </c>
      <c r="G104" s="4" t="s">
        <v>126</v>
      </c>
      <c r="H104" s="4" t="s">
        <v>127</v>
      </c>
      <c r="I104" s="4"/>
      <c r="J104" s="4"/>
      <c r="K104" s="4">
        <v>207</v>
      </c>
      <c r="L104" s="4">
        <v>21</v>
      </c>
      <c r="M104" s="4">
        <v>3</v>
      </c>
      <c r="N104" s="4" t="s">
        <v>3</v>
      </c>
      <c r="O104" s="4">
        <v>-1</v>
      </c>
      <c r="P104" s="4"/>
      <c r="Q104" s="4"/>
      <c r="R104" s="4"/>
      <c r="S104" s="4"/>
      <c r="T104" s="4"/>
      <c r="U104" s="4"/>
      <c r="V104" s="4"/>
      <c r="W104" s="4"/>
    </row>
    <row r="105" spans="1:23" x14ac:dyDescent="0.2">
      <c r="A105" s="4">
        <v>50</v>
      </c>
      <c r="B105" s="4">
        <v>0</v>
      </c>
      <c r="C105" s="4">
        <v>0</v>
      </c>
      <c r="D105" s="4">
        <v>1</v>
      </c>
      <c r="E105" s="4">
        <v>208</v>
      </c>
      <c r="F105" s="4">
        <f>Source!V82</f>
        <v>0.84744000000000008</v>
      </c>
      <c r="G105" s="4" t="s">
        <v>128</v>
      </c>
      <c r="H105" s="4" t="s">
        <v>129</v>
      </c>
      <c r="I105" s="4"/>
      <c r="J105" s="4"/>
      <c r="K105" s="4">
        <v>208</v>
      </c>
      <c r="L105" s="4">
        <v>22</v>
      </c>
      <c r="M105" s="4">
        <v>3</v>
      </c>
      <c r="N105" s="4" t="s">
        <v>3</v>
      </c>
      <c r="O105" s="4">
        <v>-1</v>
      </c>
      <c r="P105" s="4"/>
      <c r="Q105" s="4"/>
      <c r="R105" s="4"/>
      <c r="S105" s="4"/>
      <c r="T105" s="4"/>
      <c r="U105" s="4"/>
      <c r="V105" s="4"/>
      <c r="W105" s="4"/>
    </row>
    <row r="106" spans="1:23" x14ac:dyDescent="0.2">
      <c r="A106" s="4">
        <v>50</v>
      </c>
      <c r="B106" s="4">
        <v>0</v>
      </c>
      <c r="C106" s="4">
        <v>0</v>
      </c>
      <c r="D106" s="4">
        <v>1</v>
      </c>
      <c r="E106" s="4">
        <v>209</v>
      </c>
      <c r="F106" s="4">
        <f>ROUND(Source!W82,O106)</f>
        <v>0</v>
      </c>
      <c r="G106" s="4" t="s">
        <v>130</v>
      </c>
      <c r="H106" s="4" t="s">
        <v>131</v>
      </c>
      <c r="I106" s="4"/>
      <c r="J106" s="4"/>
      <c r="K106" s="4">
        <v>209</v>
      </c>
      <c r="L106" s="4">
        <v>23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3" x14ac:dyDescent="0.2">
      <c r="A107" s="4">
        <v>50</v>
      </c>
      <c r="B107" s="4">
        <v>0</v>
      </c>
      <c r="C107" s="4">
        <v>0</v>
      </c>
      <c r="D107" s="4">
        <v>1</v>
      </c>
      <c r="E107" s="4">
        <v>233</v>
      </c>
      <c r="F107" s="4">
        <f>ROUND(Source!BD82,O107)</f>
        <v>0</v>
      </c>
      <c r="G107" s="4" t="s">
        <v>132</v>
      </c>
      <c r="H107" s="4" t="s">
        <v>133</v>
      </c>
      <c r="I107" s="4"/>
      <c r="J107" s="4"/>
      <c r="K107" s="4">
        <v>233</v>
      </c>
      <c r="L107" s="4">
        <v>24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3" x14ac:dyDescent="0.2">
      <c r="A108" s="4">
        <v>50</v>
      </c>
      <c r="B108" s="4">
        <v>1</v>
      </c>
      <c r="C108" s="4">
        <v>0</v>
      </c>
      <c r="D108" s="4">
        <v>1</v>
      </c>
      <c r="E108" s="4">
        <v>210</v>
      </c>
      <c r="F108" s="4">
        <f>ROUND(Source!X82,O108)</f>
        <v>209011.3</v>
      </c>
      <c r="G108" s="4" t="s">
        <v>134</v>
      </c>
      <c r="H108" s="4" t="s">
        <v>135</v>
      </c>
      <c r="I108" s="4"/>
      <c r="J108" s="4"/>
      <c r="K108" s="4">
        <v>210</v>
      </c>
      <c r="L108" s="4">
        <v>25</v>
      </c>
      <c r="M108" s="4">
        <v>1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3" x14ac:dyDescent="0.2">
      <c r="A109" s="4">
        <v>50</v>
      </c>
      <c r="B109" s="4">
        <v>1</v>
      </c>
      <c r="C109" s="4">
        <v>0</v>
      </c>
      <c r="D109" s="4">
        <v>1</v>
      </c>
      <c r="E109" s="4">
        <v>211</v>
      </c>
      <c r="F109" s="4">
        <f>ROUND(Source!Y82,O109)</f>
        <v>123910.63</v>
      </c>
      <c r="G109" s="4" t="s">
        <v>136</v>
      </c>
      <c r="H109" s="4" t="s">
        <v>137</v>
      </c>
      <c r="I109" s="4"/>
      <c r="J109" s="4"/>
      <c r="K109" s="4">
        <v>211</v>
      </c>
      <c r="L109" s="4">
        <v>26</v>
      </c>
      <c r="M109" s="4">
        <v>1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3" x14ac:dyDescent="0.2">
      <c r="A110" s="4">
        <v>50</v>
      </c>
      <c r="B110" s="4">
        <v>1</v>
      </c>
      <c r="C110" s="4">
        <v>0</v>
      </c>
      <c r="D110" s="4">
        <v>1</v>
      </c>
      <c r="E110" s="4">
        <v>224</v>
      </c>
      <c r="F110" s="4">
        <f>ROUND(Source!AR82,O110)</f>
        <v>901917.34</v>
      </c>
      <c r="G110" s="4" t="s">
        <v>138</v>
      </c>
      <c r="H110" s="4" t="s">
        <v>139</v>
      </c>
      <c r="I110" s="4"/>
      <c r="J110" s="4"/>
      <c r="K110" s="4">
        <v>224</v>
      </c>
      <c r="L110" s="4">
        <v>27</v>
      </c>
      <c r="M110" s="4">
        <v>1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3" x14ac:dyDescent="0.2">
      <c r="A111" s="4">
        <v>50</v>
      </c>
      <c r="B111" s="4">
        <v>0</v>
      </c>
      <c r="C111" s="4">
        <v>0</v>
      </c>
      <c r="D111" s="4">
        <v>2</v>
      </c>
      <c r="E111" s="4">
        <v>0</v>
      </c>
      <c r="F111" s="4">
        <f>0</f>
        <v>0</v>
      </c>
      <c r="G111" s="4" t="s">
        <v>140</v>
      </c>
      <c r="H111" s="4" t="s">
        <v>141</v>
      </c>
      <c r="I111" s="4"/>
      <c r="J111" s="4"/>
      <c r="K111" s="4">
        <v>212</v>
      </c>
      <c r="L111" s="4">
        <v>28</v>
      </c>
      <c r="M111" s="4">
        <v>1</v>
      </c>
      <c r="N111" s="4" t="s">
        <v>3</v>
      </c>
      <c r="O111" s="4">
        <v>-1</v>
      </c>
      <c r="P111" s="4"/>
      <c r="Q111" s="4"/>
      <c r="R111" s="4"/>
      <c r="S111" s="4"/>
      <c r="T111" s="4"/>
      <c r="U111" s="4"/>
      <c r="V111" s="4"/>
      <c r="W111" s="4"/>
    </row>
    <row r="112" spans="1:23" x14ac:dyDescent="0.2">
      <c r="A112" s="4">
        <v>50</v>
      </c>
      <c r="B112" s="4">
        <v>0</v>
      </c>
      <c r="C112" s="4">
        <v>0</v>
      </c>
      <c r="D112" s="4">
        <v>2</v>
      </c>
      <c r="E112" s="4">
        <v>0</v>
      </c>
      <c r="F112" s="4">
        <f>ROUND(IF(F111=0,0,F110/100*F111),O112)</f>
        <v>0</v>
      </c>
      <c r="G112" s="4" t="s">
        <v>142</v>
      </c>
      <c r="H112" s="4" t="s">
        <v>143</v>
      </c>
      <c r="I112" s="4"/>
      <c r="J112" s="4"/>
      <c r="K112" s="4">
        <v>212</v>
      </c>
      <c r="L112" s="4">
        <v>29</v>
      </c>
      <c r="M112" s="4">
        <v>1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06" x14ac:dyDescent="0.2">
      <c r="A113" s="4">
        <v>50</v>
      </c>
      <c r="B113" s="4">
        <v>0</v>
      </c>
      <c r="C113" s="4">
        <v>0</v>
      </c>
      <c r="D113" s="4">
        <v>2</v>
      </c>
      <c r="E113" s="4">
        <v>0</v>
      </c>
      <c r="F113" s="4">
        <f>ROUND(IF(F111=0,0,F110+F112),O113)</f>
        <v>0</v>
      </c>
      <c r="G113" s="4" t="s">
        <v>144</v>
      </c>
      <c r="H113" s="4" t="s">
        <v>145</v>
      </c>
      <c r="I113" s="4"/>
      <c r="J113" s="4"/>
      <c r="K113" s="4">
        <v>212</v>
      </c>
      <c r="L113" s="4">
        <v>30</v>
      </c>
      <c r="M113" s="4">
        <v>1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06" x14ac:dyDescent="0.2">
      <c r="A114" s="4">
        <v>50</v>
      </c>
      <c r="B114" s="4">
        <v>0</v>
      </c>
      <c r="C114" s="4">
        <v>0</v>
      </c>
      <c r="D114" s="4">
        <v>2</v>
      </c>
      <c r="E114" s="4">
        <v>0</v>
      </c>
      <c r="F114" s="4">
        <f>0</f>
        <v>0</v>
      </c>
      <c r="G114" s="4" t="s">
        <v>146</v>
      </c>
      <c r="H114" s="4" t="s">
        <v>147</v>
      </c>
      <c r="I114" s="4"/>
      <c r="J114" s="4"/>
      <c r="K114" s="4">
        <v>212</v>
      </c>
      <c r="L114" s="4">
        <v>31</v>
      </c>
      <c r="M114" s="4">
        <v>1</v>
      </c>
      <c r="N114" s="4" t="s">
        <v>3</v>
      </c>
      <c r="O114" s="4">
        <v>-1</v>
      </c>
      <c r="P114" s="4"/>
      <c r="Q114" s="4"/>
      <c r="R114" s="4"/>
      <c r="S114" s="4"/>
      <c r="T114" s="4"/>
      <c r="U114" s="4"/>
      <c r="V114" s="4"/>
      <c r="W114" s="4"/>
    </row>
    <row r="115" spans="1:206" x14ac:dyDescent="0.2">
      <c r="A115" s="4">
        <v>50</v>
      </c>
      <c r="B115" s="4">
        <v>0</v>
      </c>
      <c r="C115" s="4">
        <v>0</v>
      </c>
      <c r="D115" s="4">
        <v>2</v>
      </c>
      <c r="E115" s="4">
        <v>0</v>
      </c>
      <c r="F115" s="4">
        <f>ROUND(IF(F114=0,0,(F110+F112)/100*F114),O115)</f>
        <v>0</v>
      </c>
      <c r="G115" s="4" t="s">
        <v>148</v>
      </c>
      <c r="H115" s="4" t="s">
        <v>149</v>
      </c>
      <c r="I115" s="4"/>
      <c r="J115" s="4"/>
      <c r="K115" s="4">
        <v>212</v>
      </c>
      <c r="L115" s="4">
        <v>32</v>
      </c>
      <c r="M115" s="4">
        <v>1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06" x14ac:dyDescent="0.2">
      <c r="A116" s="4">
        <v>50</v>
      </c>
      <c r="B116" s="4">
        <v>0</v>
      </c>
      <c r="C116" s="4">
        <v>0</v>
      </c>
      <c r="D116" s="4">
        <v>2</v>
      </c>
      <c r="E116" s="4">
        <v>0</v>
      </c>
      <c r="F116" s="4">
        <f>ROUND(IF(F115=0,0,F110+F112+F115),O116)</f>
        <v>0</v>
      </c>
      <c r="G116" s="4" t="s">
        <v>150</v>
      </c>
      <c r="H116" s="4" t="s">
        <v>151</v>
      </c>
      <c r="I116" s="4"/>
      <c r="J116" s="4"/>
      <c r="K116" s="4">
        <v>212</v>
      </c>
      <c r="L116" s="4">
        <v>33</v>
      </c>
      <c r="M116" s="4">
        <v>1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06" x14ac:dyDescent="0.2">
      <c r="A117" s="4">
        <v>50</v>
      </c>
      <c r="B117" s="4">
        <v>1</v>
      </c>
      <c r="C117" s="4">
        <v>0</v>
      </c>
      <c r="D117" s="4">
        <v>2</v>
      </c>
      <c r="E117" s="4">
        <v>0</v>
      </c>
      <c r="F117" s="4">
        <f>2</f>
        <v>2</v>
      </c>
      <c r="G117" s="4" t="s">
        <v>152</v>
      </c>
      <c r="H117" s="4" t="s">
        <v>153</v>
      </c>
      <c r="I117" s="4"/>
      <c r="J117" s="4"/>
      <c r="K117" s="4">
        <v>212</v>
      </c>
      <c r="L117" s="4">
        <v>34</v>
      </c>
      <c r="M117" s="4">
        <v>1</v>
      </c>
      <c r="N117" s="4" t="s">
        <v>3</v>
      </c>
      <c r="O117" s="4">
        <v>-1</v>
      </c>
      <c r="P117" s="4"/>
      <c r="Q117" s="4"/>
      <c r="R117" s="4"/>
      <c r="S117" s="4"/>
      <c r="T117" s="4"/>
      <c r="U117" s="4"/>
      <c r="V117" s="4"/>
      <c r="W117" s="4"/>
    </row>
    <row r="118" spans="1:206" x14ac:dyDescent="0.2">
      <c r="A118" s="4">
        <v>50</v>
      </c>
      <c r="B118" s="4">
        <v>1</v>
      </c>
      <c r="C118" s="4">
        <v>0</v>
      </c>
      <c r="D118" s="4">
        <v>2</v>
      </c>
      <c r="E118" s="4">
        <v>0</v>
      </c>
      <c r="F118" s="4">
        <f>ROUND(IF(F117=0,0,(F110+F112+F115)/100*F117),O118)</f>
        <v>18038.349999999999</v>
      </c>
      <c r="G118" s="4" t="s">
        <v>154</v>
      </c>
      <c r="H118" s="4" t="s">
        <v>155</v>
      </c>
      <c r="I118" s="4"/>
      <c r="J118" s="4"/>
      <c r="K118" s="4">
        <v>212</v>
      </c>
      <c r="L118" s="4">
        <v>35</v>
      </c>
      <c r="M118" s="4">
        <v>1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06" x14ac:dyDescent="0.2">
      <c r="A119" s="4">
        <v>50</v>
      </c>
      <c r="B119" s="4">
        <v>1</v>
      </c>
      <c r="C119" s="4">
        <v>0</v>
      </c>
      <c r="D119" s="4">
        <v>2</v>
      </c>
      <c r="E119" s="4">
        <v>0</v>
      </c>
      <c r="F119" s="4">
        <f>ROUND(IF(F118=0,0,F110+F112+F115+F118),O119)</f>
        <v>919955.69</v>
      </c>
      <c r="G119" s="4" t="s">
        <v>156</v>
      </c>
      <c r="H119" s="4" t="s">
        <v>157</v>
      </c>
      <c r="I119" s="4"/>
      <c r="J119" s="4"/>
      <c r="K119" s="4">
        <v>212</v>
      </c>
      <c r="L119" s="4">
        <v>36</v>
      </c>
      <c r="M119" s="4">
        <v>1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06" x14ac:dyDescent="0.2">
      <c r="A120" s="4">
        <v>50</v>
      </c>
      <c r="B120" s="4">
        <v>0</v>
      </c>
      <c r="C120" s="4">
        <v>0</v>
      </c>
      <c r="D120" s="4">
        <v>2</v>
      </c>
      <c r="E120" s="4">
        <v>0</v>
      </c>
      <c r="F120" s="4">
        <f>ROUND(F110+F112+F115+F118,O120)</f>
        <v>919955.69</v>
      </c>
      <c r="G120" s="4" t="s">
        <v>158</v>
      </c>
      <c r="H120" s="4" t="s">
        <v>159</v>
      </c>
      <c r="I120" s="4"/>
      <c r="J120" s="4"/>
      <c r="K120" s="4">
        <v>212</v>
      </c>
      <c r="L120" s="4">
        <v>37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06" x14ac:dyDescent="0.2">
      <c r="A121" s="4">
        <v>50</v>
      </c>
      <c r="B121" s="4">
        <v>1</v>
      </c>
      <c r="C121" s="4">
        <v>0</v>
      </c>
      <c r="D121" s="4">
        <v>2</v>
      </c>
      <c r="E121" s="4">
        <v>0</v>
      </c>
      <c r="F121" s="4">
        <f>ROUND(ROUND(F120*0.2,2),O121)</f>
        <v>183991.14</v>
      </c>
      <c r="G121" s="4" t="s">
        <v>160</v>
      </c>
      <c r="H121" s="4" t="s">
        <v>161</v>
      </c>
      <c r="I121" s="4"/>
      <c r="J121" s="4"/>
      <c r="K121" s="4">
        <v>212</v>
      </c>
      <c r="L121" s="4">
        <v>38</v>
      </c>
      <c r="M121" s="4">
        <v>1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06" x14ac:dyDescent="0.2">
      <c r="A122" s="4">
        <v>50</v>
      </c>
      <c r="B122" s="4">
        <v>1</v>
      </c>
      <c r="C122" s="4">
        <v>0</v>
      </c>
      <c r="D122" s="4">
        <v>2</v>
      </c>
      <c r="E122" s="4">
        <v>213</v>
      </c>
      <c r="F122" s="4">
        <f>ROUND(F120+F121,O122)</f>
        <v>1103946.83</v>
      </c>
      <c r="G122" s="4" t="s">
        <v>162</v>
      </c>
      <c r="H122" s="4" t="s">
        <v>163</v>
      </c>
      <c r="I122" s="4"/>
      <c r="J122" s="4"/>
      <c r="K122" s="4">
        <v>212</v>
      </c>
      <c r="L122" s="4">
        <v>39</v>
      </c>
      <c r="M122" s="4">
        <v>1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4" spans="1:206" x14ac:dyDescent="0.2">
      <c r="A124" s="2">
        <v>51</v>
      </c>
      <c r="B124" s="2">
        <f>B12</f>
        <v>195</v>
      </c>
      <c r="C124" s="2">
        <f>A12</f>
        <v>1</v>
      </c>
      <c r="D124" s="2">
        <f>ROW(A12)</f>
        <v>12</v>
      </c>
      <c r="E124" s="2"/>
      <c r="F124" s="2" t="str">
        <f>IF(F12&lt;&gt;"",F12,"")</f>
        <v>Новый объект_(Копия)_(Копия)_(Копия)_(Копия)_(Копия)_(Копия)</v>
      </c>
      <c r="G124" s="2" t="str">
        <f>IF(G12&lt;&gt;"",G12,"")</f>
        <v>Смета №2 факт последнее</v>
      </c>
      <c r="H124" s="2">
        <v>0</v>
      </c>
      <c r="I124" s="2"/>
      <c r="J124" s="2"/>
      <c r="K124" s="2"/>
      <c r="L124" s="2"/>
      <c r="M124" s="2"/>
      <c r="N124" s="2"/>
      <c r="O124" s="2">
        <f t="shared" ref="O124:T124" si="65">ROUND(O82,2)</f>
        <v>568995.41</v>
      </c>
      <c r="P124" s="2">
        <f t="shared" si="65"/>
        <v>235079.94</v>
      </c>
      <c r="Q124" s="2">
        <f t="shared" si="65"/>
        <v>3840.39</v>
      </c>
      <c r="R124" s="2">
        <f t="shared" si="65"/>
        <v>546.80999999999995</v>
      </c>
      <c r="S124" s="2">
        <f t="shared" si="65"/>
        <v>330075.08</v>
      </c>
      <c r="T124" s="2">
        <f t="shared" si="65"/>
        <v>0</v>
      </c>
      <c r="U124" s="2">
        <f>U82</f>
        <v>669.75290600000005</v>
      </c>
      <c r="V124" s="2">
        <f>V82</f>
        <v>0.84744000000000008</v>
      </c>
      <c r="W124" s="2">
        <f>ROUND(W82,2)</f>
        <v>0</v>
      </c>
      <c r="X124" s="2">
        <f>ROUND(X82,2)</f>
        <v>209011.3</v>
      </c>
      <c r="Y124" s="2">
        <f>ROUND(Y82,2)</f>
        <v>123910.63</v>
      </c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>
        <f t="shared" ref="AO124:BD124" si="66">ROUND(AO82,2)</f>
        <v>0</v>
      </c>
      <c r="AP124" s="2">
        <f t="shared" si="66"/>
        <v>0</v>
      </c>
      <c r="AQ124" s="2">
        <f t="shared" si="66"/>
        <v>0</v>
      </c>
      <c r="AR124" s="2">
        <f t="shared" si="66"/>
        <v>901917.34</v>
      </c>
      <c r="AS124" s="2">
        <f t="shared" si="66"/>
        <v>95319.61</v>
      </c>
      <c r="AT124" s="2">
        <f t="shared" si="66"/>
        <v>455157.7</v>
      </c>
      <c r="AU124" s="2">
        <f t="shared" si="66"/>
        <v>351440.03</v>
      </c>
      <c r="AV124" s="2">
        <f t="shared" si="66"/>
        <v>235079.94</v>
      </c>
      <c r="AW124" s="2">
        <f t="shared" si="66"/>
        <v>235079.94</v>
      </c>
      <c r="AX124" s="2">
        <f t="shared" si="66"/>
        <v>0</v>
      </c>
      <c r="AY124" s="2">
        <f t="shared" si="66"/>
        <v>235079.94</v>
      </c>
      <c r="AZ124" s="2">
        <f t="shared" si="66"/>
        <v>0</v>
      </c>
      <c r="BA124" s="2">
        <f t="shared" si="66"/>
        <v>0</v>
      </c>
      <c r="BB124" s="2">
        <f t="shared" si="66"/>
        <v>0</v>
      </c>
      <c r="BC124" s="2">
        <f t="shared" si="66"/>
        <v>0</v>
      </c>
      <c r="BD124" s="2">
        <f t="shared" si="66"/>
        <v>0</v>
      </c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>
        <v>0</v>
      </c>
    </row>
    <row r="126" spans="1:206" x14ac:dyDescent="0.2">
      <c r="A126" s="4">
        <v>50</v>
      </c>
      <c r="B126" s="4">
        <v>1</v>
      </c>
      <c r="C126" s="4">
        <v>0</v>
      </c>
      <c r="D126" s="4">
        <v>1</v>
      </c>
      <c r="E126" s="4">
        <v>201</v>
      </c>
      <c r="F126" s="4">
        <f>ROUND(Source!O124,O126)</f>
        <v>568995.41</v>
      </c>
      <c r="G126" s="4" t="s">
        <v>86</v>
      </c>
      <c r="H126" s="4" t="s">
        <v>87</v>
      </c>
      <c r="I126" s="4"/>
      <c r="J126" s="4"/>
      <c r="K126" s="4">
        <v>201</v>
      </c>
      <c r="L126" s="4">
        <v>1</v>
      </c>
      <c r="M126" s="4">
        <v>1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06" x14ac:dyDescent="0.2">
      <c r="A127" s="4">
        <v>50</v>
      </c>
      <c r="B127" s="4">
        <v>1</v>
      </c>
      <c r="C127" s="4">
        <v>0</v>
      </c>
      <c r="D127" s="4">
        <v>1</v>
      </c>
      <c r="E127" s="4">
        <v>202</v>
      </c>
      <c r="F127" s="4">
        <f>ROUND(Source!P124,O127)</f>
        <v>235079.94</v>
      </c>
      <c r="G127" s="4" t="s">
        <v>88</v>
      </c>
      <c r="H127" s="4" t="s">
        <v>89</v>
      </c>
      <c r="I127" s="4"/>
      <c r="J127" s="4"/>
      <c r="K127" s="4">
        <v>202</v>
      </c>
      <c r="L127" s="4">
        <v>2</v>
      </c>
      <c r="M127" s="4">
        <v>1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06" x14ac:dyDescent="0.2">
      <c r="A128" s="4">
        <v>50</v>
      </c>
      <c r="B128" s="4">
        <v>0</v>
      </c>
      <c r="C128" s="4">
        <v>0</v>
      </c>
      <c r="D128" s="4">
        <v>1</v>
      </c>
      <c r="E128" s="4">
        <v>222</v>
      </c>
      <c r="F128" s="4">
        <f>ROUND(Source!AO124,O128)</f>
        <v>0</v>
      </c>
      <c r="G128" s="4" t="s">
        <v>90</v>
      </c>
      <c r="H128" s="4" t="s">
        <v>91</v>
      </c>
      <c r="I128" s="4"/>
      <c r="J128" s="4"/>
      <c r="K128" s="4">
        <v>222</v>
      </c>
      <c r="L128" s="4">
        <v>3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225</v>
      </c>
      <c r="F129" s="4">
        <f>ROUND(Source!AV124,O129)</f>
        <v>235079.94</v>
      </c>
      <c r="G129" s="4" t="s">
        <v>92</v>
      </c>
      <c r="H129" s="4" t="s">
        <v>93</v>
      </c>
      <c r="I129" s="4"/>
      <c r="J129" s="4"/>
      <c r="K129" s="4">
        <v>225</v>
      </c>
      <c r="L129" s="4">
        <v>4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226</v>
      </c>
      <c r="F130" s="4">
        <f>ROUND(Source!AW124,O130)</f>
        <v>235079.94</v>
      </c>
      <c r="G130" s="4" t="s">
        <v>94</v>
      </c>
      <c r="H130" s="4" t="s">
        <v>95</v>
      </c>
      <c r="I130" s="4"/>
      <c r="J130" s="4"/>
      <c r="K130" s="4">
        <v>226</v>
      </c>
      <c r="L130" s="4">
        <v>5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227</v>
      </c>
      <c r="F131" s="4">
        <f>ROUND(Source!AX124,O131)</f>
        <v>0</v>
      </c>
      <c r="G131" s="4" t="s">
        <v>96</v>
      </c>
      <c r="H131" s="4" t="s">
        <v>97</v>
      </c>
      <c r="I131" s="4"/>
      <c r="J131" s="4"/>
      <c r="K131" s="4">
        <v>227</v>
      </c>
      <c r="L131" s="4">
        <v>6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228</v>
      </c>
      <c r="F132" s="4">
        <f>ROUND(Source!AY124,O132)</f>
        <v>235079.94</v>
      </c>
      <c r="G132" s="4" t="s">
        <v>98</v>
      </c>
      <c r="H132" s="4" t="s">
        <v>99</v>
      </c>
      <c r="I132" s="4"/>
      <c r="J132" s="4"/>
      <c r="K132" s="4">
        <v>228</v>
      </c>
      <c r="L132" s="4">
        <v>7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216</v>
      </c>
      <c r="F133" s="4">
        <f>ROUND(Source!AP124,O133)</f>
        <v>0</v>
      </c>
      <c r="G133" s="4" t="s">
        <v>100</v>
      </c>
      <c r="H133" s="4" t="s">
        <v>101</v>
      </c>
      <c r="I133" s="4"/>
      <c r="J133" s="4"/>
      <c r="K133" s="4">
        <v>216</v>
      </c>
      <c r="L133" s="4">
        <v>8</v>
      </c>
      <c r="M133" s="4">
        <v>1</v>
      </c>
      <c r="N133" s="4" t="s">
        <v>3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223</v>
      </c>
      <c r="F134" s="4">
        <f>ROUND(Source!AQ124,O134)</f>
        <v>0</v>
      </c>
      <c r="G134" s="4" t="s">
        <v>102</v>
      </c>
      <c r="H134" s="4" t="s">
        <v>103</v>
      </c>
      <c r="I134" s="4"/>
      <c r="J134" s="4"/>
      <c r="K134" s="4">
        <v>223</v>
      </c>
      <c r="L134" s="4">
        <v>9</v>
      </c>
      <c r="M134" s="4">
        <v>3</v>
      </c>
      <c r="N134" s="4" t="s">
        <v>3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229</v>
      </c>
      <c r="F135" s="4">
        <f>ROUND(Source!AZ124,O135)</f>
        <v>0</v>
      </c>
      <c r="G135" s="4" t="s">
        <v>104</v>
      </c>
      <c r="H135" s="4" t="s">
        <v>105</v>
      </c>
      <c r="I135" s="4"/>
      <c r="J135" s="4"/>
      <c r="K135" s="4">
        <v>229</v>
      </c>
      <c r="L135" s="4">
        <v>10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1</v>
      </c>
      <c r="C136" s="4">
        <v>0</v>
      </c>
      <c r="D136" s="4">
        <v>1</v>
      </c>
      <c r="E136" s="4">
        <v>203</v>
      </c>
      <c r="F136" s="4">
        <f>ROUND(Source!Q124,O136)</f>
        <v>3840.39</v>
      </c>
      <c r="G136" s="4" t="s">
        <v>106</v>
      </c>
      <c r="H136" s="4" t="s">
        <v>107</v>
      </c>
      <c r="I136" s="4"/>
      <c r="J136" s="4"/>
      <c r="K136" s="4">
        <v>203</v>
      </c>
      <c r="L136" s="4">
        <v>11</v>
      </c>
      <c r="M136" s="4">
        <v>1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231</v>
      </c>
      <c r="F137" s="4">
        <f>ROUND(Source!BB124,O137)</f>
        <v>0</v>
      </c>
      <c r="G137" s="4" t="s">
        <v>108</v>
      </c>
      <c r="H137" s="4" t="s">
        <v>109</v>
      </c>
      <c r="I137" s="4"/>
      <c r="J137" s="4"/>
      <c r="K137" s="4">
        <v>231</v>
      </c>
      <c r="L137" s="4">
        <v>12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 x14ac:dyDescent="0.2">
      <c r="A138" s="4">
        <v>50</v>
      </c>
      <c r="B138" s="4">
        <v>1</v>
      </c>
      <c r="C138" s="4">
        <v>0</v>
      </c>
      <c r="D138" s="4">
        <v>1</v>
      </c>
      <c r="E138" s="4">
        <v>204</v>
      </c>
      <c r="F138" s="4">
        <f>ROUND(Source!R124,O138)</f>
        <v>546.80999999999995</v>
      </c>
      <c r="G138" s="4" t="s">
        <v>110</v>
      </c>
      <c r="H138" s="4" t="s">
        <v>111</v>
      </c>
      <c r="I138" s="4"/>
      <c r="J138" s="4"/>
      <c r="K138" s="4">
        <v>204</v>
      </c>
      <c r="L138" s="4">
        <v>13</v>
      </c>
      <c r="M138" s="4">
        <v>1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39" spans="1:23" x14ac:dyDescent="0.2">
      <c r="A139" s="4">
        <v>50</v>
      </c>
      <c r="B139" s="4">
        <v>1</v>
      </c>
      <c r="C139" s="4">
        <v>0</v>
      </c>
      <c r="D139" s="4">
        <v>1</v>
      </c>
      <c r="E139" s="4">
        <v>205</v>
      </c>
      <c r="F139" s="4">
        <f>ROUND(Source!S124,O139)</f>
        <v>330075.08</v>
      </c>
      <c r="G139" s="4" t="s">
        <v>112</v>
      </c>
      <c r="H139" s="4" t="s">
        <v>113</v>
      </c>
      <c r="I139" s="4"/>
      <c r="J139" s="4"/>
      <c r="K139" s="4">
        <v>205</v>
      </c>
      <c r="L139" s="4">
        <v>14</v>
      </c>
      <c r="M139" s="4">
        <v>1</v>
      </c>
      <c r="N139" s="4" t="s">
        <v>3</v>
      </c>
      <c r="O139" s="4">
        <v>2</v>
      </c>
      <c r="P139" s="4"/>
      <c r="Q139" s="4"/>
      <c r="R139" s="4"/>
      <c r="S139" s="4"/>
      <c r="T139" s="4"/>
      <c r="U139" s="4"/>
      <c r="V139" s="4"/>
      <c r="W139" s="4"/>
    </row>
    <row r="140" spans="1:23" x14ac:dyDescent="0.2">
      <c r="A140" s="4">
        <v>50</v>
      </c>
      <c r="B140" s="4">
        <v>0</v>
      </c>
      <c r="C140" s="4">
        <v>0</v>
      </c>
      <c r="D140" s="4">
        <v>1</v>
      </c>
      <c r="E140" s="4">
        <v>232</v>
      </c>
      <c r="F140" s="4">
        <f>ROUND(Source!BC124,O140)</f>
        <v>0</v>
      </c>
      <c r="G140" s="4" t="s">
        <v>114</v>
      </c>
      <c r="H140" s="4" t="s">
        <v>115</v>
      </c>
      <c r="I140" s="4"/>
      <c r="J140" s="4"/>
      <c r="K140" s="4">
        <v>232</v>
      </c>
      <c r="L140" s="4">
        <v>15</v>
      </c>
      <c r="M140" s="4">
        <v>3</v>
      </c>
      <c r="N140" s="4" t="s">
        <v>3</v>
      </c>
      <c r="O140" s="4">
        <v>2</v>
      </c>
      <c r="P140" s="4"/>
      <c r="Q140" s="4"/>
      <c r="R140" s="4"/>
      <c r="S140" s="4"/>
      <c r="T140" s="4"/>
      <c r="U140" s="4"/>
      <c r="V140" s="4"/>
      <c r="W140" s="4"/>
    </row>
    <row r="141" spans="1:23" x14ac:dyDescent="0.2">
      <c r="A141" s="4">
        <v>50</v>
      </c>
      <c r="B141" s="4">
        <v>0</v>
      </c>
      <c r="C141" s="4">
        <v>0</v>
      </c>
      <c r="D141" s="4">
        <v>1</v>
      </c>
      <c r="E141" s="4">
        <v>214</v>
      </c>
      <c r="F141" s="4">
        <f>ROUND(Source!AS124,O141)</f>
        <v>95319.61</v>
      </c>
      <c r="G141" s="4" t="s">
        <v>116</v>
      </c>
      <c r="H141" s="4" t="s">
        <v>117</v>
      </c>
      <c r="I141" s="4"/>
      <c r="J141" s="4"/>
      <c r="K141" s="4">
        <v>214</v>
      </c>
      <c r="L141" s="4">
        <v>16</v>
      </c>
      <c r="M141" s="4">
        <v>3</v>
      </c>
      <c r="N141" s="4" t="s">
        <v>3</v>
      </c>
      <c r="O141" s="4">
        <v>2</v>
      </c>
      <c r="P141" s="4"/>
      <c r="Q141" s="4"/>
      <c r="R141" s="4"/>
      <c r="S141" s="4"/>
      <c r="T141" s="4"/>
      <c r="U141" s="4"/>
      <c r="V141" s="4"/>
      <c r="W141" s="4"/>
    </row>
    <row r="142" spans="1:23" x14ac:dyDescent="0.2">
      <c r="A142" s="4">
        <v>50</v>
      </c>
      <c r="B142" s="4">
        <v>0</v>
      </c>
      <c r="C142" s="4">
        <v>0</v>
      </c>
      <c r="D142" s="4">
        <v>1</v>
      </c>
      <c r="E142" s="4">
        <v>215</v>
      </c>
      <c r="F142" s="4">
        <f>ROUND(Source!AT124,O142)</f>
        <v>455157.7</v>
      </c>
      <c r="G142" s="4" t="s">
        <v>118</v>
      </c>
      <c r="H142" s="4" t="s">
        <v>119</v>
      </c>
      <c r="I142" s="4"/>
      <c r="J142" s="4"/>
      <c r="K142" s="4">
        <v>215</v>
      </c>
      <c r="L142" s="4">
        <v>17</v>
      </c>
      <c r="M142" s="4">
        <v>3</v>
      </c>
      <c r="N142" s="4" t="s">
        <v>3</v>
      </c>
      <c r="O142" s="4">
        <v>2</v>
      </c>
      <c r="P142" s="4"/>
      <c r="Q142" s="4"/>
      <c r="R142" s="4"/>
      <c r="S142" s="4"/>
      <c r="T142" s="4"/>
      <c r="U142" s="4"/>
      <c r="V142" s="4"/>
      <c r="W142" s="4"/>
    </row>
    <row r="143" spans="1:23" x14ac:dyDescent="0.2">
      <c r="A143" s="4">
        <v>50</v>
      </c>
      <c r="B143" s="4">
        <v>0</v>
      </c>
      <c r="C143" s="4">
        <v>0</v>
      </c>
      <c r="D143" s="4">
        <v>1</v>
      </c>
      <c r="E143" s="4">
        <v>217</v>
      </c>
      <c r="F143" s="4">
        <f>ROUND(Source!AU124,O143)</f>
        <v>351440.03</v>
      </c>
      <c r="G143" s="4" t="s">
        <v>120</v>
      </c>
      <c r="H143" s="4" t="s">
        <v>121</v>
      </c>
      <c r="I143" s="4"/>
      <c r="J143" s="4"/>
      <c r="K143" s="4">
        <v>217</v>
      </c>
      <c r="L143" s="4">
        <v>18</v>
      </c>
      <c r="M143" s="4">
        <v>3</v>
      </c>
      <c r="N143" s="4" t="s">
        <v>3</v>
      </c>
      <c r="O143" s="4">
        <v>2</v>
      </c>
      <c r="P143" s="4"/>
      <c r="Q143" s="4"/>
      <c r="R143" s="4"/>
      <c r="S143" s="4"/>
      <c r="T143" s="4"/>
      <c r="U143" s="4"/>
      <c r="V143" s="4"/>
      <c r="W143" s="4"/>
    </row>
    <row r="144" spans="1:23" x14ac:dyDescent="0.2">
      <c r="A144" s="4">
        <v>50</v>
      </c>
      <c r="B144" s="4">
        <v>0</v>
      </c>
      <c r="C144" s="4">
        <v>0</v>
      </c>
      <c r="D144" s="4">
        <v>1</v>
      </c>
      <c r="E144" s="4">
        <v>230</v>
      </c>
      <c r="F144" s="4">
        <f>ROUND(Source!BA124,O144)</f>
        <v>0</v>
      </c>
      <c r="G144" s="4" t="s">
        <v>122</v>
      </c>
      <c r="H144" s="4" t="s">
        <v>123</v>
      </c>
      <c r="I144" s="4"/>
      <c r="J144" s="4"/>
      <c r="K144" s="4">
        <v>230</v>
      </c>
      <c r="L144" s="4">
        <v>19</v>
      </c>
      <c r="M144" s="4">
        <v>3</v>
      </c>
      <c r="N144" s="4" t="s">
        <v>3</v>
      </c>
      <c r="O144" s="4">
        <v>2</v>
      </c>
      <c r="P144" s="4"/>
      <c r="Q144" s="4"/>
      <c r="R144" s="4"/>
      <c r="S144" s="4"/>
      <c r="T144" s="4"/>
      <c r="U144" s="4"/>
      <c r="V144" s="4"/>
      <c r="W144" s="4"/>
    </row>
    <row r="145" spans="1:23" x14ac:dyDescent="0.2">
      <c r="A145" s="4">
        <v>50</v>
      </c>
      <c r="B145" s="4">
        <v>0</v>
      </c>
      <c r="C145" s="4">
        <v>0</v>
      </c>
      <c r="D145" s="4">
        <v>1</v>
      </c>
      <c r="E145" s="4">
        <v>206</v>
      </c>
      <c r="F145" s="4">
        <f>ROUND(Source!T124,O145)</f>
        <v>0</v>
      </c>
      <c r="G145" s="4" t="s">
        <v>124</v>
      </c>
      <c r="H145" s="4" t="s">
        <v>125</v>
      </c>
      <c r="I145" s="4"/>
      <c r="J145" s="4"/>
      <c r="K145" s="4">
        <v>206</v>
      </c>
      <c r="L145" s="4">
        <v>20</v>
      </c>
      <c r="M145" s="4">
        <v>3</v>
      </c>
      <c r="N145" s="4" t="s">
        <v>3</v>
      </c>
      <c r="O145" s="4">
        <v>2</v>
      </c>
      <c r="P145" s="4"/>
      <c r="Q145" s="4"/>
      <c r="R145" s="4"/>
      <c r="S145" s="4"/>
      <c r="T145" s="4"/>
      <c r="U145" s="4"/>
      <c r="V145" s="4"/>
      <c r="W145" s="4"/>
    </row>
    <row r="146" spans="1:23" x14ac:dyDescent="0.2">
      <c r="A146" s="4">
        <v>50</v>
      </c>
      <c r="B146" s="4">
        <v>0</v>
      </c>
      <c r="C146" s="4">
        <v>0</v>
      </c>
      <c r="D146" s="4">
        <v>1</v>
      </c>
      <c r="E146" s="4">
        <v>207</v>
      </c>
      <c r="F146" s="4">
        <f>Source!U124</f>
        <v>669.75290600000005</v>
      </c>
      <c r="G146" s="4" t="s">
        <v>126</v>
      </c>
      <c r="H146" s="4" t="s">
        <v>127</v>
      </c>
      <c r="I146" s="4"/>
      <c r="J146" s="4"/>
      <c r="K146" s="4">
        <v>207</v>
      </c>
      <c r="L146" s="4">
        <v>21</v>
      </c>
      <c r="M146" s="4">
        <v>3</v>
      </c>
      <c r="N146" s="4" t="s">
        <v>3</v>
      </c>
      <c r="O146" s="4">
        <v>-1</v>
      </c>
      <c r="P146" s="4"/>
      <c r="Q146" s="4"/>
      <c r="R146" s="4"/>
      <c r="S146" s="4"/>
      <c r="T146" s="4"/>
      <c r="U146" s="4"/>
      <c r="V146" s="4"/>
      <c r="W146" s="4"/>
    </row>
    <row r="147" spans="1:23" x14ac:dyDescent="0.2">
      <c r="A147" s="4">
        <v>50</v>
      </c>
      <c r="B147" s="4">
        <v>0</v>
      </c>
      <c r="C147" s="4">
        <v>0</v>
      </c>
      <c r="D147" s="4">
        <v>1</v>
      </c>
      <c r="E147" s="4">
        <v>208</v>
      </c>
      <c r="F147" s="4">
        <f>Source!V124</f>
        <v>0.84744000000000008</v>
      </c>
      <c r="G147" s="4" t="s">
        <v>128</v>
      </c>
      <c r="H147" s="4" t="s">
        <v>129</v>
      </c>
      <c r="I147" s="4"/>
      <c r="J147" s="4"/>
      <c r="K147" s="4">
        <v>208</v>
      </c>
      <c r="L147" s="4">
        <v>22</v>
      </c>
      <c r="M147" s="4">
        <v>3</v>
      </c>
      <c r="N147" s="4" t="s">
        <v>3</v>
      </c>
      <c r="O147" s="4">
        <v>-1</v>
      </c>
      <c r="P147" s="4"/>
      <c r="Q147" s="4"/>
      <c r="R147" s="4"/>
      <c r="S147" s="4"/>
      <c r="T147" s="4"/>
      <c r="U147" s="4"/>
      <c r="V147" s="4"/>
      <c r="W147" s="4"/>
    </row>
    <row r="148" spans="1:23" x14ac:dyDescent="0.2">
      <c r="A148" s="4">
        <v>50</v>
      </c>
      <c r="B148" s="4">
        <v>0</v>
      </c>
      <c r="C148" s="4">
        <v>0</v>
      </c>
      <c r="D148" s="4">
        <v>1</v>
      </c>
      <c r="E148" s="4">
        <v>209</v>
      </c>
      <c r="F148" s="4">
        <f>ROUND(Source!W124,O148)</f>
        <v>0</v>
      </c>
      <c r="G148" s="4" t="s">
        <v>130</v>
      </c>
      <c r="H148" s="4" t="s">
        <v>131</v>
      </c>
      <c r="I148" s="4"/>
      <c r="J148" s="4"/>
      <c r="K148" s="4">
        <v>209</v>
      </c>
      <c r="L148" s="4">
        <v>23</v>
      </c>
      <c r="M148" s="4">
        <v>3</v>
      </c>
      <c r="N148" s="4" t="s">
        <v>3</v>
      </c>
      <c r="O148" s="4">
        <v>2</v>
      </c>
      <c r="P148" s="4"/>
      <c r="Q148" s="4"/>
      <c r="R148" s="4"/>
      <c r="S148" s="4"/>
      <c r="T148" s="4"/>
      <c r="U148" s="4"/>
      <c r="V148" s="4"/>
      <c r="W148" s="4"/>
    </row>
    <row r="149" spans="1:23" x14ac:dyDescent="0.2">
      <c r="A149" s="4">
        <v>50</v>
      </c>
      <c r="B149" s="4">
        <v>0</v>
      </c>
      <c r="C149" s="4">
        <v>0</v>
      </c>
      <c r="D149" s="4">
        <v>1</v>
      </c>
      <c r="E149" s="4">
        <v>233</v>
      </c>
      <c r="F149" s="4">
        <f>ROUND(Source!BD124,O149)</f>
        <v>0</v>
      </c>
      <c r="G149" s="4" t="s">
        <v>132</v>
      </c>
      <c r="H149" s="4" t="s">
        <v>133</v>
      </c>
      <c r="I149" s="4"/>
      <c r="J149" s="4"/>
      <c r="K149" s="4">
        <v>233</v>
      </c>
      <c r="L149" s="4">
        <v>24</v>
      </c>
      <c r="M149" s="4">
        <v>3</v>
      </c>
      <c r="N149" s="4" t="s">
        <v>3</v>
      </c>
      <c r="O149" s="4">
        <v>2</v>
      </c>
      <c r="P149" s="4"/>
      <c r="Q149" s="4"/>
      <c r="R149" s="4"/>
      <c r="S149" s="4"/>
      <c r="T149" s="4"/>
      <c r="U149" s="4"/>
      <c r="V149" s="4"/>
      <c r="W149" s="4"/>
    </row>
    <row r="150" spans="1:23" x14ac:dyDescent="0.2">
      <c r="A150" s="4">
        <v>50</v>
      </c>
      <c r="B150" s="4">
        <v>1</v>
      </c>
      <c r="C150" s="4">
        <v>0</v>
      </c>
      <c r="D150" s="4">
        <v>1</v>
      </c>
      <c r="E150" s="4">
        <v>210</v>
      </c>
      <c r="F150" s="4">
        <f>ROUND(Source!X124,O150)</f>
        <v>209011.3</v>
      </c>
      <c r="G150" s="4" t="s">
        <v>134</v>
      </c>
      <c r="H150" s="4" t="s">
        <v>135</v>
      </c>
      <c r="I150" s="4"/>
      <c r="J150" s="4"/>
      <c r="K150" s="4">
        <v>210</v>
      </c>
      <c r="L150" s="4">
        <v>25</v>
      </c>
      <c r="M150" s="4">
        <v>1</v>
      </c>
      <c r="N150" s="4" t="s">
        <v>3</v>
      </c>
      <c r="O150" s="4">
        <v>2</v>
      </c>
      <c r="P150" s="4"/>
      <c r="Q150" s="4"/>
      <c r="R150" s="4"/>
      <c r="S150" s="4"/>
      <c r="T150" s="4"/>
      <c r="U150" s="4"/>
      <c r="V150" s="4"/>
      <c r="W150" s="4"/>
    </row>
    <row r="151" spans="1:23" x14ac:dyDescent="0.2">
      <c r="A151" s="4">
        <v>50</v>
      </c>
      <c r="B151" s="4">
        <v>1</v>
      </c>
      <c r="C151" s="4">
        <v>0</v>
      </c>
      <c r="D151" s="4">
        <v>1</v>
      </c>
      <c r="E151" s="4">
        <v>211</v>
      </c>
      <c r="F151" s="4">
        <f>ROUND(Source!Y124,O151)</f>
        <v>123910.63</v>
      </c>
      <c r="G151" s="4" t="s">
        <v>136</v>
      </c>
      <c r="H151" s="4" t="s">
        <v>137</v>
      </c>
      <c r="I151" s="4"/>
      <c r="J151" s="4"/>
      <c r="K151" s="4">
        <v>211</v>
      </c>
      <c r="L151" s="4">
        <v>26</v>
      </c>
      <c r="M151" s="4">
        <v>1</v>
      </c>
      <c r="N151" s="4" t="s">
        <v>3</v>
      </c>
      <c r="O151" s="4">
        <v>2</v>
      </c>
      <c r="P151" s="4"/>
      <c r="Q151" s="4"/>
      <c r="R151" s="4"/>
      <c r="S151" s="4"/>
      <c r="T151" s="4"/>
      <c r="U151" s="4"/>
      <c r="V151" s="4"/>
      <c r="W151" s="4"/>
    </row>
    <row r="152" spans="1:23" x14ac:dyDescent="0.2">
      <c r="A152" s="4">
        <v>50</v>
      </c>
      <c r="B152" s="4">
        <v>1</v>
      </c>
      <c r="C152" s="4">
        <v>0</v>
      </c>
      <c r="D152" s="4">
        <v>1</v>
      </c>
      <c r="E152" s="4">
        <v>224</v>
      </c>
      <c r="F152" s="4">
        <f>ROUND(Source!AR124,O152)</f>
        <v>901917.34</v>
      </c>
      <c r="G152" s="4" t="s">
        <v>138</v>
      </c>
      <c r="H152" s="4" t="s">
        <v>139</v>
      </c>
      <c r="I152" s="4"/>
      <c r="J152" s="4"/>
      <c r="K152" s="4">
        <v>224</v>
      </c>
      <c r="L152" s="4">
        <v>27</v>
      </c>
      <c r="M152" s="4">
        <v>1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3" x14ac:dyDescent="0.2">
      <c r="A153" s="4">
        <v>50</v>
      </c>
      <c r="B153" s="4">
        <v>0</v>
      </c>
      <c r="C153" s="4">
        <v>0</v>
      </c>
      <c r="D153" s="4">
        <v>2</v>
      </c>
      <c r="E153" s="4">
        <v>0</v>
      </c>
      <c r="F153" s="4">
        <f>0</f>
        <v>0</v>
      </c>
      <c r="G153" s="4" t="s">
        <v>140</v>
      </c>
      <c r="H153" s="4" t="s">
        <v>141</v>
      </c>
      <c r="I153" s="4"/>
      <c r="J153" s="4"/>
      <c r="K153" s="4">
        <v>212</v>
      </c>
      <c r="L153" s="4">
        <v>28</v>
      </c>
      <c r="M153" s="4">
        <v>1</v>
      </c>
      <c r="N153" s="4" t="s">
        <v>3</v>
      </c>
      <c r="O153" s="4">
        <v>-1</v>
      </c>
      <c r="P153" s="4"/>
      <c r="Q153" s="4"/>
      <c r="R153" s="4"/>
      <c r="S153" s="4"/>
      <c r="T153" s="4"/>
      <c r="U153" s="4"/>
      <c r="V153" s="4"/>
      <c r="W153" s="4"/>
    </row>
    <row r="154" spans="1:23" x14ac:dyDescent="0.2">
      <c r="A154" s="4">
        <v>50</v>
      </c>
      <c r="B154" s="4">
        <v>0</v>
      </c>
      <c r="C154" s="4">
        <v>0</v>
      </c>
      <c r="D154" s="4">
        <v>2</v>
      </c>
      <c r="E154" s="4">
        <v>0</v>
      </c>
      <c r="F154" s="4">
        <f>ROUND(IF(F153=0,0,F152/100*F153),O154)</f>
        <v>0</v>
      </c>
      <c r="G154" s="4" t="s">
        <v>142</v>
      </c>
      <c r="H154" s="4" t="s">
        <v>143</v>
      </c>
      <c r="I154" s="4"/>
      <c r="J154" s="4"/>
      <c r="K154" s="4">
        <v>212</v>
      </c>
      <c r="L154" s="4">
        <v>29</v>
      </c>
      <c r="M154" s="4">
        <v>1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3" x14ac:dyDescent="0.2">
      <c r="A155" s="4">
        <v>50</v>
      </c>
      <c r="B155" s="4">
        <v>0</v>
      </c>
      <c r="C155" s="4">
        <v>0</v>
      </c>
      <c r="D155" s="4">
        <v>2</v>
      </c>
      <c r="E155" s="4">
        <v>0</v>
      </c>
      <c r="F155" s="4">
        <f>ROUND(IF(F153=0,0,F152+F154),O155)</f>
        <v>0</v>
      </c>
      <c r="G155" s="4" t="s">
        <v>144</v>
      </c>
      <c r="H155" s="4" t="s">
        <v>145</v>
      </c>
      <c r="I155" s="4"/>
      <c r="J155" s="4"/>
      <c r="K155" s="4">
        <v>212</v>
      </c>
      <c r="L155" s="4">
        <v>30</v>
      </c>
      <c r="M155" s="4">
        <v>1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3" x14ac:dyDescent="0.2">
      <c r="A156" s="4">
        <v>50</v>
      </c>
      <c r="B156" s="4">
        <v>0</v>
      </c>
      <c r="C156" s="4">
        <v>0</v>
      </c>
      <c r="D156" s="4">
        <v>2</v>
      </c>
      <c r="E156" s="4">
        <v>0</v>
      </c>
      <c r="F156" s="4">
        <f>0</f>
        <v>0</v>
      </c>
      <c r="G156" s="4" t="s">
        <v>146</v>
      </c>
      <c r="H156" s="4" t="s">
        <v>147</v>
      </c>
      <c r="I156" s="4"/>
      <c r="J156" s="4"/>
      <c r="K156" s="4">
        <v>212</v>
      </c>
      <c r="L156" s="4">
        <v>31</v>
      </c>
      <c r="M156" s="4">
        <v>1</v>
      </c>
      <c r="N156" s="4" t="s">
        <v>3</v>
      </c>
      <c r="O156" s="4">
        <v>-1</v>
      </c>
      <c r="P156" s="4"/>
      <c r="Q156" s="4"/>
      <c r="R156" s="4"/>
      <c r="S156" s="4"/>
      <c r="T156" s="4"/>
      <c r="U156" s="4"/>
      <c r="V156" s="4"/>
      <c r="W156" s="4"/>
    </row>
    <row r="157" spans="1:23" x14ac:dyDescent="0.2">
      <c r="A157" s="4">
        <v>50</v>
      </c>
      <c r="B157" s="4">
        <v>0</v>
      </c>
      <c r="C157" s="4">
        <v>0</v>
      </c>
      <c r="D157" s="4">
        <v>2</v>
      </c>
      <c r="E157" s="4">
        <v>0</v>
      </c>
      <c r="F157" s="4">
        <f>ROUND(IF(F156=0,0,(F152+F154)/100*F156),O157)</f>
        <v>0</v>
      </c>
      <c r="G157" s="4" t="s">
        <v>148</v>
      </c>
      <c r="H157" s="4" t="s">
        <v>149</v>
      </c>
      <c r="I157" s="4"/>
      <c r="J157" s="4"/>
      <c r="K157" s="4">
        <v>212</v>
      </c>
      <c r="L157" s="4">
        <v>32</v>
      </c>
      <c r="M157" s="4">
        <v>1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3" x14ac:dyDescent="0.2">
      <c r="A158" s="4">
        <v>50</v>
      </c>
      <c r="B158" s="4">
        <v>0</v>
      </c>
      <c r="C158" s="4">
        <v>0</v>
      </c>
      <c r="D158" s="4">
        <v>2</v>
      </c>
      <c r="E158" s="4">
        <v>0</v>
      </c>
      <c r="F158" s="4">
        <f>ROUND(IF(F157=0,0,F152+F154+F157),O158)</f>
        <v>0</v>
      </c>
      <c r="G158" s="4" t="s">
        <v>150</v>
      </c>
      <c r="H158" s="4" t="s">
        <v>151</v>
      </c>
      <c r="I158" s="4"/>
      <c r="J158" s="4"/>
      <c r="K158" s="4">
        <v>212</v>
      </c>
      <c r="L158" s="4">
        <v>33</v>
      </c>
      <c r="M158" s="4">
        <v>1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3" x14ac:dyDescent="0.2">
      <c r="A159" s="4">
        <v>50</v>
      </c>
      <c r="B159" s="4">
        <v>1</v>
      </c>
      <c r="C159" s="4">
        <v>0</v>
      </c>
      <c r="D159" s="4">
        <v>2</v>
      </c>
      <c r="E159" s="4">
        <v>0</v>
      </c>
      <c r="F159" s="4">
        <f>2</f>
        <v>2</v>
      </c>
      <c r="G159" s="4" t="s">
        <v>152</v>
      </c>
      <c r="H159" s="4" t="s">
        <v>153</v>
      </c>
      <c r="I159" s="4"/>
      <c r="J159" s="4"/>
      <c r="K159" s="4">
        <v>212</v>
      </c>
      <c r="L159" s="4">
        <v>34</v>
      </c>
      <c r="M159" s="4">
        <v>1</v>
      </c>
      <c r="N159" s="4" t="s">
        <v>3</v>
      </c>
      <c r="O159" s="4">
        <v>-1</v>
      </c>
      <c r="P159" s="4"/>
      <c r="Q159" s="4"/>
      <c r="R159" s="4"/>
      <c r="S159" s="4"/>
      <c r="T159" s="4"/>
      <c r="U159" s="4"/>
      <c r="V159" s="4"/>
      <c r="W159" s="4"/>
    </row>
    <row r="160" spans="1:23" x14ac:dyDescent="0.2">
      <c r="A160" s="4">
        <v>50</v>
      </c>
      <c r="B160" s="4">
        <v>1</v>
      </c>
      <c r="C160" s="4">
        <v>0</v>
      </c>
      <c r="D160" s="4">
        <v>2</v>
      </c>
      <c r="E160" s="4">
        <v>0</v>
      </c>
      <c r="F160" s="4">
        <f>ROUND(IF(F159=0,0,(F152+F154+F157)/100*F159),O160)</f>
        <v>18038.349999999999</v>
      </c>
      <c r="G160" s="4" t="s">
        <v>154</v>
      </c>
      <c r="H160" s="4" t="s">
        <v>155</v>
      </c>
      <c r="I160" s="4"/>
      <c r="J160" s="4"/>
      <c r="K160" s="4">
        <v>212</v>
      </c>
      <c r="L160" s="4">
        <v>35</v>
      </c>
      <c r="M160" s="4">
        <v>1</v>
      </c>
      <c r="N160" s="4" t="s">
        <v>3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23" x14ac:dyDescent="0.2">
      <c r="A161" s="4">
        <v>50</v>
      </c>
      <c r="B161" s="4">
        <v>1</v>
      </c>
      <c r="C161" s="4">
        <v>0</v>
      </c>
      <c r="D161" s="4">
        <v>2</v>
      </c>
      <c r="E161" s="4">
        <v>0</v>
      </c>
      <c r="F161" s="4">
        <f>ROUND(IF(F160=0,0,F152+F154+F157+F160),O161)</f>
        <v>919955.69</v>
      </c>
      <c r="G161" s="4" t="s">
        <v>156</v>
      </c>
      <c r="H161" s="4" t="s">
        <v>157</v>
      </c>
      <c r="I161" s="4"/>
      <c r="J161" s="4"/>
      <c r="K161" s="4">
        <v>212</v>
      </c>
      <c r="L161" s="4">
        <v>36</v>
      </c>
      <c r="M161" s="4">
        <v>1</v>
      </c>
      <c r="N161" s="4" t="s">
        <v>3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23" x14ac:dyDescent="0.2">
      <c r="A162" s="4">
        <v>50</v>
      </c>
      <c r="B162" s="4">
        <v>0</v>
      </c>
      <c r="C162" s="4">
        <v>0</v>
      </c>
      <c r="D162" s="4">
        <v>2</v>
      </c>
      <c r="E162" s="4">
        <v>0</v>
      </c>
      <c r="F162" s="4">
        <f>ROUND(F152+F154+F157+F160,O162)</f>
        <v>919955.69</v>
      </c>
      <c r="G162" s="4" t="s">
        <v>158</v>
      </c>
      <c r="H162" s="4" t="s">
        <v>159</v>
      </c>
      <c r="I162" s="4"/>
      <c r="J162" s="4"/>
      <c r="K162" s="4">
        <v>212</v>
      </c>
      <c r="L162" s="4">
        <v>37</v>
      </c>
      <c r="M162" s="4">
        <v>3</v>
      </c>
      <c r="N162" s="4" t="s">
        <v>3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23" x14ac:dyDescent="0.2">
      <c r="A163" s="4">
        <v>50</v>
      </c>
      <c r="B163" s="4">
        <v>1</v>
      </c>
      <c r="C163" s="4">
        <v>0</v>
      </c>
      <c r="D163" s="4">
        <v>2</v>
      </c>
      <c r="E163" s="4">
        <v>0</v>
      </c>
      <c r="F163" s="4">
        <f>ROUND(ROUND(F162*0.2,2),O163)</f>
        <v>183991.14</v>
      </c>
      <c r="G163" s="4" t="s">
        <v>160</v>
      </c>
      <c r="H163" s="4" t="s">
        <v>161</v>
      </c>
      <c r="I163" s="4"/>
      <c r="J163" s="4"/>
      <c r="K163" s="4">
        <v>212</v>
      </c>
      <c r="L163" s="4">
        <v>38</v>
      </c>
      <c r="M163" s="4">
        <v>1</v>
      </c>
      <c r="N163" s="4" t="s">
        <v>3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23" x14ac:dyDescent="0.2">
      <c r="A164" s="4">
        <v>50</v>
      </c>
      <c r="B164" s="4">
        <v>1</v>
      </c>
      <c r="C164" s="4">
        <v>0</v>
      </c>
      <c r="D164" s="4">
        <v>2</v>
      </c>
      <c r="E164" s="4">
        <v>213</v>
      </c>
      <c r="F164" s="4">
        <f>ROUND(F162+F163,O164)</f>
        <v>1103946.83</v>
      </c>
      <c r="G164" s="4" t="s">
        <v>162</v>
      </c>
      <c r="H164" s="4" t="s">
        <v>163</v>
      </c>
      <c r="I164" s="4"/>
      <c r="J164" s="4"/>
      <c r="K164" s="4">
        <v>212</v>
      </c>
      <c r="L164" s="4">
        <v>39</v>
      </c>
      <c r="M164" s="4">
        <v>1</v>
      </c>
      <c r="N164" s="4" t="s">
        <v>3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7" spans="1:23" x14ac:dyDescent="0.2">
      <c r="A167">
        <v>70</v>
      </c>
      <c r="B167">
        <v>1</v>
      </c>
      <c r="D167">
        <v>1</v>
      </c>
      <c r="E167" t="s">
        <v>164</v>
      </c>
      <c r="F167" t="s">
        <v>165</v>
      </c>
      <c r="G167">
        <v>0</v>
      </c>
      <c r="H167">
        <v>0</v>
      </c>
      <c r="I167" t="s">
        <v>3</v>
      </c>
      <c r="J167">
        <v>1</v>
      </c>
      <c r="K167">
        <v>0</v>
      </c>
      <c r="L167" t="s">
        <v>3</v>
      </c>
      <c r="M167" t="s">
        <v>3</v>
      </c>
      <c r="N167">
        <v>0</v>
      </c>
    </row>
    <row r="168" spans="1:23" x14ac:dyDescent="0.2">
      <c r="A168">
        <v>70</v>
      </c>
      <c r="B168">
        <v>1</v>
      </c>
      <c r="D168">
        <v>2</v>
      </c>
      <c r="E168" t="s">
        <v>166</v>
      </c>
      <c r="F168" t="s">
        <v>167</v>
      </c>
      <c r="G168">
        <v>1</v>
      </c>
      <c r="H168">
        <v>0</v>
      </c>
      <c r="I168" t="s">
        <v>3</v>
      </c>
      <c r="J168">
        <v>1</v>
      </c>
      <c r="K168">
        <v>0</v>
      </c>
      <c r="L168" t="s">
        <v>3</v>
      </c>
      <c r="M168" t="s">
        <v>3</v>
      </c>
      <c r="N168">
        <v>0</v>
      </c>
    </row>
    <row r="169" spans="1:23" x14ac:dyDescent="0.2">
      <c r="A169">
        <v>70</v>
      </c>
      <c r="B169">
        <v>1</v>
      </c>
      <c r="D169">
        <v>3</v>
      </c>
      <c r="E169" t="s">
        <v>168</v>
      </c>
      <c r="F169" t="s">
        <v>169</v>
      </c>
      <c r="G169">
        <v>0</v>
      </c>
      <c r="H169">
        <v>0</v>
      </c>
      <c r="I169" t="s">
        <v>3</v>
      </c>
      <c r="J169">
        <v>1</v>
      </c>
      <c r="K169">
        <v>0</v>
      </c>
      <c r="L169" t="s">
        <v>3</v>
      </c>
      <c r="M169" t="s">
        <v>3</v>
      </c>
      <c r="N169">
        <v>0</v>
      </c>
    </row>
    <row r="170" spans="1:23" x14ac:dyDescent="0.2">
      <c r="A170">
        <v>70</v>
      </c>
      <c r="B170">
        <v>1</v>
      </c>
      <c r="D170">
        <v>4</v>
      </c>
      <c r="E170" t="s">
        <v>170</v>
      </c>
      <c r="F170" t="s">
        <v>171</v>
      </c>
      <c r="G170">
        <v>0</v>
      </c>
      <c r="H170">
        <v>0</v>
      </c>
      <c r="I170" t="s">
        <v>172</v>
      </c>
      <c r="J170">
        <v>0</v>
      </c>
      <c r="K170">
        <v>0</v>
      </c>
      <c r="L170" t="s">
        <v>3</v>
      </c>
      <c r="M170" t="s">
        <v>3</v>
      </c>
      <c r="N170">
        <v>0</v>
      </c>
    </row>
    <row r="171" spans="1:23" x14ac:dyDescent="0.2">
      <c r="A171">
        <v>70</v>
      </c>
      <c r="B171">
        <v>1</v>
      </c>
      <c r="D171">
        <v>5</v>
      </c>
      <c r="E171" t="s">
        <v>173</v>
      </c>
      <c r="F171" t="s">
        <v>174</v>
      </c>
      <c r="G171">
        <v>0</v>
      </c>
      <c r="H171">
        <v>0</v>
      </c>
      <c r="I171" t="s">
        <v>175</v>
      </c>
      <c r="J171">
        <v>0</v>
      </c>
      <c r="K171">
        <v>0</v>
      </c>
      <c r="L171" t="s">
        <v>3</v>
      </c>
      <c r="M171" t="s">
        <v>3</v>
      </c>
      <c r="N171">
        <v>0</v>
      </c>
    </row>
    <row r="172" spans="1:23" x14ac:dyDescent="0.2">
      <c r="A172">
        <v>70</v>
      </c>
      <c r="B172">
        <v>1</v>
      </c>
      <c r="D172">
        <v>6</v>
      </c>
      <c r="E172" t="s">
        <v>176</v>
      </c>
      <c r="F172" t="s">
        <v>177</v>
      </c>
      <c r="G172">
        <v>0</v>
      </c>
      <c r="H172">
        <v>0</v>
      </c>
      <c r="I172" t="s">
        <v>178</v>
      </c>
      <c r="J172">
        <v>0</v>
      </c>
      <c r="K172">
        <v>0</v>
      </c>
      <c r="L172" t="s">
        <v>3</v>
      </c>
      <c r="M172" t="s">
        <v>3</v>
      </c>
      <c r="N172">
        <v>0</v>
      </c>
    </row>
    <row r="173" spans="1:23" x14ac:dyDescent="0.2">
      <c r="A173">
        <v>70</v>
      </c>
      <c r="B173">
        <v>1</v>
      </c>
      <c r="D173">
        <v>7</v>
      </c>
      <c r="E173" t="s">
        <v>179</v>
      </c>
      <c r="F173" t="s">
        <v>180</v>
      </c>
      <c r="G173">
        <v>0</v>
      </c>
      <c r="H173">
        <v>0</v>
      </c>
      <c r="I173" t="s">
        <v>3</v>
      </c>
      <c r="J173">
        <v>0</v>
      </c>
      <c r="K173">
        <v>0</v>
      </c>
      <c r="L173" t="s">
        <v>3</v>
      </c>
      <c r="M173" t="s">
        <v>3</v>
      </c>
      <c r="N173">
        <v>0</v>
      </c>
    </row>
    <row r="174" spans="1:23" x14ac:dyDescent="0.2">
      <c r="A174">
        <v>70</v>
      </c>
      <c r="B174">
        <v>1</v>
      </c>
      <c r="D174">
        <v>8</v>
      </c>
      <c r="E174" t="s">
        <v>181</v>
      </c>
      <c r="F174" t="s">
        <v>182</v>
      </c>
      <c r="G174">
        <v>0</v>
      </c>
      <c r="H174">
        <v>0</v>
      </c>
      <c r="I174" t="s">
        <v>183</v>
      </c>
      <c r="J174">
        <v>0</v>
      </c>
      <c r="K174">
        <v>0</v>
      </c>
      <c r="L174" t="s">
        <v>3</v>
      </c>
      <c r="M174" t="s">
        <v>3</v>
      </c>
      <c r="N174">
        <v>0</v>
      </c>
    </row>
    <row r="175" spans="1:23" x14ac:dyDescent="0.2">
      <c r="A175">
        <v>70</v>
      </c>
      <c r="B175">
        <v>1</v>
      </c>
      <c r="D175">
        <v>9</v>
      </c>
      <c r="E175" t="s">
        <v>184</v>
      </c>
      <c r="F175" t="s">
        <v>185</v>
      </c>
      <c r="G175">
        <v>0</v>
      </c>
      <c r="H175">
        <v>0</v>
      </c>
      <c r="I175" t="s">
        <v>186</v>
      </c>
      <c r="J175">
        <v>0</v>
      </c>
      <c r="K175">
        <v>0</v>
      </c>
      <c r="L175" t="s">
        <v>3</v>
      </c>
      <c r="M175" t="s">
        <v>3</v>
      </c>
      <c r="N175">
        <v>0</v>
      </c>
    </row>
    <row r="176" spans="1:23" x14ac:dyDescent="0.2">
      <c r="A176">
        <v>70</v>
      </c>
      <c r="B176">
        <v>1</v>
      </c>
      <c r="D176">
        <v>10</v>
      </c>
      <c r="E176" t="s">
        <v>187</v>
      </c>
      <c r="F176" t="s">
        <v>188</v>
      </c>
      <c r="G176">
        <v>0</v>
      </c>
      <c r="H176">
        <v>0</v>
      </c>
      <c r="I176" t="s">
        <v>189</v>
      </c>
      <c r="J176">
        <v>0</v>
      </c>
      <c r="K176">
        <v>0</v>
      </c>
      <c r="L176" t="s">
        <v>3</v>
      </c>
      <c r="M176" t="s">
        <v>3</v>
      </c>
      <c r="N176">
        <v>0</v>
      </c>
    </row>
    <row r="177" spans="1:14" x14ac:dyDescent="0.2">
      <c r="A177">
        <v>70</v>
      </c>
      <c r="B177">
        <v>1</v>
      </c>
      <c r="D177">
        <v>11</v>
      </c>
      <c r="E177" t="s">
        <v>190</v>
      </c>
      <c r="F177" t="s">
        <v>191</v>
      </c>
      <c r="G177">
        <v>0</v>
      </c>
      <c r="H177">
        <v>0</v>
      </c>
      <c r="I177" t="s">
        <v>192</v>
      </c>
      <c r="J177">
        <v>0</v>
      </c>
      <c r="K177">
        <v>0</v>
      </c>
      <c r="L177" t="s">
        <v>3</v>
      </c>
      <c r="M177" t="s">
        <v>3</v>
      </c>
      <c r="N177">
        <v>0</v>
      </c>
    </row>
    <row r="178" spans="1:14" x14ac:dyDescent="0.2">
      <c r="A178">
        <v>70</v>
      </c>
      <c r="B178">
        <v>1</v>
      </c>
      <c r="D178">
        <v>12</v>
      </c>
      <c r="E178" t="s">
        <v>193</v>
      </c>
      <c r="F178" t="s">
        <v>194</v>
      </c>
      <c r="G178">
        <v>0</v>
      </c>
      <c r="H178">
        <v>0</v>
      </c>
      <c r="I178" t="s">
        <v>3</v>
      </c>
      <c r="J178">
        <v>0</v>
      </c>
      <c r="K178">
        <v>0</v>
      </c>
      <c r="L178" t="s">
        <v>3</v>
      </c>
      <c r="M178" t="s">
        <v>3</v>
      </c>
      <c r="N178">
        <v>0</v>
      </c>
    </row>
    <row r="179" spans="1:14" x14ac:dyDescent="0.2">
      <c r="A179">
        <v>70</v>
      </c>
      <c r="B179">
        <v>1</v>
      </c>
      <c r="D179">
        <v>1</v>
      </c>
      <c r="E179" t="s">
        <v>195</v>
      </c>
      <c r="F179" t="s">
        <v>196</v>
      </c>
      <c r="G179">
        <v>0.9</v>
      </c>
      <c r="H179">
        <v>1</v>
      </c>
      <c r="I179" t="s">
        <v>197</v>
      </c>
      <c r="J179">
        <v>0</v>
      </c>
      <c r="K179">
        <v>0</v>
      </c>
      <c r="L179" t="s">
        <v>3</v>
      </c>
      <c r="M179" t="s">
        <v>3</v>
      </c>
      <c r="N179">
        <v>0</v>
      </c>
    </row>
    <row r="180" spans="1:14" x14ac:dyDescent="0.2">
      <c r="A180">
        <v>70</v>
      </c>
      <c r="B180">
        <v>1</v>
      </c>
      <c r="D180">
        <v>2</v>
      </c>
      <c r="E180" t="s">
        <v>198</v>
      </c>
      <c r="F180" t="s">
        <v>199</v>
      </c>
      <c r="G180">
        <v>0.85</v>
      </c>
      <c r="H180">
        <v>1</v>
      </c>
      <c r="I180" t="s">
        <v>200</v>
      </c>
      <c r="J180">
        <v>0</v>
      </c>
      <c r="K180">
        <v>0</v>
      </c>
      <c r="L180" t="s">
        <v>3</v>
      </c>
      <c r="M180" t="s">
        <v>3</v>
      </c>
      <c r="N180">
        <v>0</v>
      </c>
    </row>
    <row r="181" spans="1:14" x14ac:dyDescent="0.2">
      <c r="A181">
        <v>70</v>
      </c>
      <c r="B181">
        <v>1</v>
      </c>
      <c r="D181">
        <v>3</v>
      </c>
      <c r="E181" t="s">
        <v>201</v>
      </c>
      <c r="F181" t="s">
        <v>202</v>
      </c>
      <c r="G181">
        <v>1</v>
      </c>
      <c r="H181">
        <v>0.85</v>
      </c>
      <c r="I181" t="s">
        <v>203</v>
      </c>
      <c r="J181">
        <v>0</v>
      </c>
      <c r="K181">
        <v>0</v>
      </c>
      <c r="L181" t="s">
        <v>3</v>
      </c>
      <c r="M181" t="s">
        <v>3</v>
      </c>
      <c r="N181">
        <v>0</v>
      </c>
    </row>
    <row r="182" spans="1:14" x14ac:dyDescent="0.2">
      <c r="A182">
        <v>70</v>
      </c>
      <c r="B182">
        <v>1</v>
      </c>
      <c r="D182">
        <v>4</v>
      </c>
      <c r="E182" t="s">
        <v>204</v>
      </c>
      <c r="F182" t="s">
        <v>205</v>
      </c>
      <c r="G182">
        <v>1</v>
      </c>
      <c r="H182">
        <v>0</v>
      </c>
      <c r="I182" t="s">
        <v>3</v>
      </c>
      <c r="J182">
        <v>0</v>
      </c>
      <c r="K182">
        <v>0</v>
      </c>
      <c r="L182" t="s">
        <v>3</v>
      </c>
      <c r="M182" t="s">
        <v>3</v>
      </c>
      <c r="N182">
        <v>0</v>
      </c>
    </row>
    <row r="183" spans="1:14" x14ac:dyDescent="0.2">
      <c r="A183">
        <v>70</v>
      </c>
      <c r="B183">
        <v>1</v>
      </c>
      <c r="D183">
        <v>5</v>
      </c>
      <c r="E183" t="s">
        <v>206</v>
      </c>
      <c r="F183" t="s">
        <v>207</v>
      </c>
      <c r="G183">
        <v>1</v>
      </c>
      <c r="H183">
        <v>0.8</v>
      </c>
      <c r="I183" t="s">
        <v>208</v>
      </c>
      <c r="J183">
        <v>0</v>
      </c>
      <c r="K183">
        <v>0</v>
      </c>
      <c r="L183" t="s">
        <v>3</v>
      </c>
      <c r="M183" t="s">
        <v>3</v>
      </c>
      <c r="N183">
        <v>0</v>
      </c>
    </row>
    <row r="184" spans="1:14" x14ac:dyDescent="0.2">
      <c r="A184">
        <v>70</v>
      </c>
      <c r="B184">
        <v>1</v>
      </c>
      <c r="D184">
        <v>6</v>
      </c>
      <c r="E184" t="s">
        <v>209</v>
      </c>
      <c r="F184" t="s">
        <v>210</v>
      </c>
      <c r="G184">
        <v>0.85</v>
      </c>
      <c r="H184">
        <v>0</v>
      </c>
      <c r="I184" t="s">
        <v>3</v>
      </c>
      <c r="J184">
        <v>0</v>
      </c>
      <c r="K184">
        <v>0</v>
      </c>
      <c r="L184" t="s">
        <v>3</v>
      </c>
      <c r="M184" t="s">
        <v>3</v>
      </c>
      <c r="N184">
        <v>0</v>
      </c>
    </row>
    <row r="185" spans="1:14" x14ac:dyDescent="0.2">
      <c r="A185">
        <v>70</v>
      </c>
      <c r="B185">
        <v>1</v>
      </c>
      <c r="D185">
        <v>7</v>
      </c>
      <c r="E185" t="s">
        <v>211</v>
      </c>
      <c r="F185" t="s">
        <v>212</v>
      </c>
      <c r="G185">
        <v>0.8</v>
      </c>
      <c r="H185">
        <v>0</v>
      </c>
      <c r="I185" t="s">
        <v>3</v>
      </c>
      <c r="J185">
        <v>0</v>
      </c>
      <c r="K185">
        <v>0</v>
      </c>
      <c r="L185" t="s">
        <v>3</v>
      </c>
      <c r="M185" t="s">
        <v>3</v>
      </c>
      <c r="N185">
        <v>0</v>
      </c>
    </row>
    <row r="186" spans="1:14" x14ac:dyDescent="0.2">
      <c r="A186">
        <v>70</v>
      </c>
      <c r="B186">
        <v>1</v>
      </c>
      <c r="D186">
        <v>8</v>
      </c>
      <c r="E186" t="s">
        <v>213</v>
      </c>
      <c r="F186" t="s">
        <v>214</v>
      </c>
      <c r="G186">
        <v>0.94</v>
      </c>
      <c r="H186">
        <v>0</v>
      </c>
      <c r="I186" t="s">
        <v>3</v>
      </c>
      <c r="J186">
        <v>0</v>
      </c>
      <c r="K186">
        <v>0</v>
      </c>
      <c r="L186" t="s">
        <v>3</v>
      </c>
      <c r="M186" t="s">
        <v>3</v>
      </c>
      <c r="N186">
        <v>0</v>
      </c>
    </row>
    <row r="187" spans="1:14" x14ac:dyDescent="0.2">
      <c r="A187">
        <v>70</v>
      </c>
      <c r="B187">
        <v>1</v>
      </c>
      <c r="D187">
        <v>9</v>
      </c>
      <c r="E187" t="s">
        <v>215</v>
      </c>
      <c r="F187" t="s">
        <v>216</v>
      </c>
      <c r="G187">
        <v>0.9</v>
      </c>
      <c r="H187">
        <v>0</v>
      </c>
      <c r="I187" t="s">
        <v>3</v>
      </c>
      <c r="J187">
        <v>0</v>
      </c>
      <c r="K187">
        <v>0</v>
      </c>
      <c r="L187" t="s">
        <v>3</v>
      </c>
      <c r="M187" t="s">
        <v>3</v>
      </c>
      <c r="N187">
        <v>0</v>
      </c>
    </row>
    <row r="188" spans="1:14" x14ac:dyDescent="0.2">
      <c r="A188">
        <v>70</v>
      </c>
      <c r="B188">
        <v>1</v>
      </c>
      <c r="D188">
        <v>10</v>
      </c>
      <c r="E188" t="s">
        <v>217</v>
      </c>
      <c r="F188" t="s">
        <v>218</v>
      </c>
      <c r="G188">
        <v>0.6</v>
      </c>
      <c r="H188">
        <v>0</v>
      </c>
      <c r="I188" t="s">
        <v>3</v>
      </c>
      <c r="J188">
        <v>0</v>
      </c>
      <c r="K188">
        <v>0</v>
      </c>
      <c r="L188" t="s">
        <v>3</v>
      </c>
      <c r="M188" t="s">
        <v>3</v>
      </c>
      <c r="N188">
        <v>0</v>
      </c>
    </row>
    <row r="189" spans="1:14" x14ac:dyDescent="0.2">
      <c r="A189">
        <v>70</v>
      </c>
      <c r="B189">
        <v>1</v>
      </c>
      <c r="D189">
        <v>11</v>
      </c>
      <c r="E189" t="s">
        <v>219</v>
      </c>
      <c r="F189" t="s">
        <v>220</v>
      </c>
      <c r="G189">
        <v>1.2</v>
      </c>
      <c r="H189">
        <v>0</v>
      </c>
      <c r="I189" t="s">
        <v>3</v>
      </c>
      <c r="J189">
        <v>0</v>
      </c>
      <c r="K189">
        <v>0</v>
      </c>
      <c r="L189" t="s">
        <v>3</v>
      </c>
      <c r="M189" t="s">
        <v>3</v>
      </c>
      <c r="N189">
        <v>0</v>
      </c>
    </row>
    <row r="190" spans="1:14" x14ac:dyDescent="0.2">
      <c r="A190">
        <v>70</v>
      </c>
      <c r="B190">
        <v>1</v>
      </c>
      <c r="D190">
        <v>12</v>
      </c>
      <c r="E190" t="s">
        <v>221</v>
      </c>
      <c r="F190" t="s">
        <v>222</v>
      </c>
      <c r="G190">
        <v>0</v>
      </c>
      <c r="H190">
        <v>0</v>
      </c>
      <c r="I190" t="s">
        <v>3</v>
      </c>
      <c r="J190">
        <v>0</v>
      </c>
      <c r="K190">
        <v>0</v>
      </c>
      <c r="L190" t="s">
        <v>3</v>
      </c>
      <c r="M190" t="s">
        <v>3</v>
      </c>
      <c r="N190">
        <v>0</v>
      </c>
    </row>
    <row r="191" spans="1:14" x14ac:dyDescent="0.2">
      <c r="A191">
        <v>70</v>
      </c>
      <c r="B191">
        <v>1</v>
      </c>
      <c r="D191">
        <v>13</v>
      </c>
      <c r="E191" t="s">
        <v>223</v>
      </c>
      <c r="F191" t="s">
        <v>224</v>
      </c>
      <c r="G191">
        <v>0.94</v>
      </c>
      <c r="H191">
        <v>0</v>
      </c>
      <c r="I191" t="s">
        <v>3</v>
      </c>
      <c r="J191">
        <v>0</v>
      </c>
      <c r="K191">
        <v>0</v>
      </c>
      <c r="L191" t="s">
        <v>3</v>
      </c>
      <c r="M191" t="s">
        <v>3</v>
      </c>
      <c r="N191">
        <v>0</v>
      </c>
    </row>
    <row r="193" spans="1:27" x14ac:dyDescent="0.2">
      <c r="A193">
        <v>-1</v>
      </c>
    </row>
    <row r="195" spans="1:27" x14ac:dyDescent="0.2">
      <c r="A195" s="3">
        <v>75</v>
      </c>
      <c r="B195" s="3" t="s">
        <v>225</v>
      </c>
      <c r="C195" s="3">
        <v>2020</v>
      </c>
      <c r="D195" s="3">
        <v>0</v>
      </c>
      <c r="E195" s="3">
        <v>1</v>
      </c>
      <c r="F195" s="3"/>
      <c r="G195" s="3">
        <v>0</v>
      </c>
      <c r="H195" s="3">
        <v>1</v>
      </c>
      <c r="I195" s="3">
        <v>0</v>
      </c>
      <c r="J195" s="3">
        <v>1</v>
      </c>
      <c r="K195" s="3">
        <v>0</v>
      </c>
      <c r="L195" s="3">
        <v>0</v>
      </c>
      <c r="M195" s="3">
        <v>0</v>
      </c>
      <c r="N195" s="3">
        <v>30528041</v>
      </c>
      <c r="O195" s="3">
        <v>1</v>
      </c>
    </row>
    <row r="196" spans="1:27" x14ac:dyDescent="0.2">
      <c r="A196" s="5">
        <v>1</v>
      </c>
      <c r="B196" s="5" t="s">
        <v>226</v>
      </c>
      <c r="C196" s="5" t="s">
        <v>227</v>
      </c>
      <c r="D196" s="5">
        <v>2020</v>
      </c>
      <c r="E196" s="5">
        <v>1</v>
      </c>
      <c r="F196" s="5">
        <v>1</v>
      </c>
      <c r="G196" s="5">
        <v>1</v>
      </c>
      <c r="H196" s="5">
        <v>0</v>
      </c>
      <c r="I196" s="5">
        <v>2</v>
      </c>
      <c r="J196" s="5">
        <v>1</v>
      </c>
      <c r="K196" s="5">
        <v>1</v>
      </c>
      <c r="L196" s="5">
        <v>1</v>
      </c>
      <c r="M196" s="5">
        <v>1</v>
      </c>
      <c r="N196" s="5">
        <v>1</v>
      </c>
      <c r="O196" s="5">
        <v>1</v>
      </c>
      <c r="P196" s="5">
        <v>1</v>
      </c>
      <c r="Q196" s="5">
        <v>1</v>
      </c>
      <c r="R196" s="5" t="s">
        <v>3</v>
      </c>
      <c r="S196" s="5" t="s">
        <v>3</v>
      </c>
      <c r="T196" s="5" t="s">
        <v>3</v>
      </c>
      <c r="U196" s="5" t="s">
        <v>3</v>
      </c>
      <c r="V196" s="5" t="s">
        <v>3</v>
      </c>
      <c r="W196" s="5" t="s">
        <v>3</v>
      </c>
      <c r="X196" s="5" t="s">
        <v>3</v>
      </c>
      <c r="Y196" s="5" t="s">
        <v>3</v>
      </c>
      <c r="Z196" s="5" t="s">
        <v>3</v>
      </c>
      <c r="AA196" s="5" t="s">
        <v>3</v>
      </c>
    </row>
    <row r="200" spans="1:27" x14ac:dyDescent="0.2">
      <c r="A200">
        <v>65</v>
      </c>
      <c r="C200">
        <v>1</v>
      </c>
      <c r="D200">
        <v>0</v>
      </c>
      <c r="E20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6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228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65963</v>
      </c>
      <c r="M1">
        <v>24323694</v>
      </c>
      <c r="N1">
        <v>11</v>
      </c>
      <c r="O1">
        <v>1</v>
      </c>
      <c r="P1">
        <v>0</v>
      </c>
      <c r="Q1">
        <v>1</v>
      </c>
    </row>
    <row r="12" spans="1:133" x14ac:dyDescent="0.2">
      <c r="A12" s="1">
        <v>1</v>
      </c>
      <c r="B12" s="1">
        <v>63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1</v>
      </c>
      <c r="BN12" s="1">
        <v>0</v>
      </c>
      <c r="BO12" s="1">
        <v>0</v>
      </c>
      <c r="BP12" s="1">
        <v>6</v>
      </c>
      <c r="BQ12" s="1">
        <v>2</v>
      </c>
      <c r="BR12" s="1">
        <v>1</v>
      </c>
      <c r="BS12" s="1">
        <v>0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30528041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(Source!F99)/1000</f>
        <v>95.319609999999997</v>
      </c>
      <c r="F16" s="7">
        <f>(Source!F100)/1000</f>
        <v>455.15770000000003</v>
      </c>
      <c r="G16" s="7">
        <f>(Source!F91)/1000</f>
        <v>0</v>
      </c>
      <c r="H16" s="7">
        <f>(Source!F101)/1000+(Source!F102)/1000</f>
        <v>351.44003000000004</v>
      </c>
      <c r="I16" s="7">
        <f>E16+F16+G16+H16</f>
        <v>901.91733999999997</v>
      </c>
      <c r="J16" s="7">
        <f>(Source!F97)/1000</f>
        <v>330.07508000000001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92449.51</v>
      </c>
      <c r="AU16" s="7">
        <v>39154.589999999997</v>
      </c>
      <c r="AV16" s="7">
        <v>0</v>
      </c>
      <c r="AW16" s="7">
        <v>0</v>
      </c>
      <c r="AX16" s="7">
        <v>0</v>
      </c>
      <c r="AY16" s="7">
        <v>754.02</v>
      </c>
      <c r="AZ16" s="7">
        <v>93.39</v>
      </c>
      <c r="BA16" s="7">
        <v>52540.9</v>
      </c>
      <c r="BB16" s="7">
        <v>15398.33</v>
      </c>
      <c r="BC16" s="7">
        <v>72156.09</v>
      </c>
      <c r="BD16" s="7">
        <v>57472.81</v>
      </c>
      <c r="BE16" s="7">
        <v>0</v>
      </c>
      <c r="BF16" s="7">
        <v>278.75160000000005</v>
      </c>
      <c r="BG16" s="7">
        <v>0.39600000000000002</v>
      </c>
      <c r="BH16" s="7">
        <v>0</v>
      </c>
      <c r="BI16" s="7">
        <v>33038.9</v>
      </c>
      <c r="BJ16" s="7">
        <v>19538.82</v>
      </c>
      <c r="BK16" s="7">
        <v>145027.23000000001</v>
      </c>
    </row>
    <row r="18" spans="1:19" x14ac:dyDescent="0.2">
      <c r="A18">
        <v>51</v>
      </c>
      <c r="E18" s="8">
        <f>SUMIF(A16:A17,3,E16:E17)</f>
        <v>95.319609999999997</v>
      </c>
      <c r="F18" s="8">
        <f>SUMIF(A16:A17,3,F16:F17)</f>
        <v>455.15770000000003</v>
      </c>
      <c r="G18" s="8">
        <f>SUMIF(A16:A17,3,G16:G17)</f>
        <v>0</v>
      </c>
      <c r="H18" s="8">
        <f>SUMIF(A16:A17,3,H16:H17)</f>
        <v>351.44003000000004</v>
      </c>
      <c r="I18" s="8">
        <f>SUMIF(A16:A17,3,I16:I17)</f>
        <v>901.91733999999997</v>
      </c>
      <c r="J18" s="8">
        <f>SUMIF(A16:A17,3,J16:J17)</f>
        <v>330.07508000000001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f>IF(SourceObSm!F20&lt;&gt;0,1,0)</f>
        <v>1</v>
      </c>
      <c r="C20" s="4">
        <v>0</v>
      </c>
      <c r="D20" s="4">
        <v>1</v>
      </c>
      <c r="E20" s="4">
        <v>201</v>
      </c>
      <c r="F20" s="4">
        <v>92449.51</v>
      </c>
      <c r="G20" s="4" t="s">
        <v>86</v>
      </c>
      <c r="H20" s="4" t="s">
        <v>87</v>
      </c>
      <c r="I20" s="4"/>
      <c r="J20" s="4"/>
      <c r="K20" s="4">
        <v>201</v>
      </c>
      <c r="L20" s="4">
        <v>1</v>
      </c>
      <c r="M20" s="4">
        <v>1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f>IF(SourceObSm!F21&lt;&gt;0,1,0)</f>
        <v>1</v>
      </c>
      <c r="C21" s="4">
        <v>0</v>
      </c>
      <c r="D21" s="4">
        <v>1</v>
      </c>
      <c r="E21" s="4">
        <v>202</v>
      </c>
      <c r="F21" s="4">
        <v>39154.589999999997</v>
      </c>
      <c r="G21" s="4" t="s">
        <v>88</v>
      </c>
      <c r="H21" s="4" t="s">
        <v>89</v>
      </c>
      <c r="I21" s="4"/>
      <c r="J21" s="4"/>
      <c r="K21" s="4">
        <v>202</v>
      </c>
      <c r="L21" s="4">
        <v>2</v>
      </c>
      <c r="M21" s="4">
        <v>1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90</v>
      </c>
      <c r="H22" s="4" t="s">
        <v>91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39154.589999999997</v>
      </c>
      <c r="G23" s="4" t="s">
        <v>92</v>
      </c>
      <c r="H23" s="4" t="s">
        <v>93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39154.589999999997</v>
      </c>
      <c r="G24" s="4" t="s">
        <v>94</v>
      </c>
      <c r="H24" s="4" t="s">
        <v>95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96</v>
      </c>
      <c r="H25" s="4" t="s">
        <v>97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39154.589999999997</v>
      </c>
      <c r="G26" s="4" t="s">
        <v>98</v>
      </c>
      <c r="H26" s="4" t="s">
        <v>99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f>IF(SourceObSm!F27&lt;&gt;0,1,0)</f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100</v>
      </c>
      <c r="H27" s="4" t="s">
        <v>101</v>
      </c>
      <c r="I27" s="4"/>
      <c r="J27" s="4"/>
      <c r="K27" s="4">
        <v>216</v>
      </c>
      <c r="L27" s="4">
        <v>8</v>
      </c>
      <c r="M27" s="4">
        <v>1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102</v>
      </c>
      <c r="H28" s="4" t="s">
        <v>103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104</v>
      </c>
      <c r="H29" s="4" t="s">
        <v>105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f>IF(SourceObSm!F30&lt;&gt;0,1,0)</f>
        <v>1</v>
      </c>
      <c r="C30" s="4">
        <v>0</v>
      </c>
      <c r="D30" s="4">
        <v>1</v>
      </c>
      <c r="E30" s="4">
        <v>203</v>
      </c>
      <c r="F30" s="4">
        <v>754.02</v>
      </c>
      <c r="G30" s="4" t="s">
        <v>106</v>
      </c>
      <c r="H30" s="4" t="s">
        <v>107</v>
      </c>
      <c r="I30" s="4"/>
      <c r="J30" s="4"/>
      <c r="K30" s="4">
        <v>203</v>
      </c>
      <c r="L30" s="4">
        <v>11</v>
      </c>
      <c r="M30" s="4">
        <v>1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108</v>
      </c>
      <c r="H31" s="4" t="s">
        <v>109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f>IF(SourceObSm!F32&lt;&gt;0,1,0)</f>
        <v>1</v>
      </c>
      <c r="C32" s="4">
        <v>0</v>
      </c>
      <c r="D32" s="4">
        <v>1</v>
      </c>
      <c r="E32" s="4">
        <v>204</v>
      </c>
      <c r="F32" s="4">
        <v>93.39</v>
      </c>
      <c r="G32" s="4" t="s">
        <v>110</v>
      </c>
      <c r="H32" s="4" t="s">
        <v>111</v>
      </c>
      <c r="I32" s="4"/>
      <c r="J32" s="4"/>
      <c r="K32" s="4">
        <v>204</v>
      </c>
      <c r="L32" s="4">
        <v>13</v>
      </c>
      <c r="M32" s="4">
        <v>1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f>IF(SourceObSm!F33&lt;&gt;0,1,0)</f>
        <v>1</v>
      </c>
      <c r="C33" s="4">
        <v>0</v>
      </c>
      <c r="D33" s="4">
        <v>1</v>
      </c>
      <c r="E33" s="4">
        <v>205</v>
      </c>
      <c r="F33" s="4">
        <v>52540.9</v>
      </c>
      <c r="G33" s="4" t="s">
        <v>112</v>
      </c>
      <c r="H33" s="4" t="s">
        <v>113</v>
      </c>
      <c r="I33" s="4"/>
      <c r="J33" s="4"/>
      <c r="K33" s="4">
        <v>205</v>
      </c>
      <c r="L33" s="4">
        <v>14</v>
      </c>
      <c r="M33" s="4">
        <v>1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114</v>
      </c>
      <c r="H34" s="4" t="s">
        <v>115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15398.33</v>
      </c>
      <c r="G35" s="4" t="s">
        <v>116</v>
      </c>
      <c r="H35" s="4" t="s">
        <v>117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72156.09</v>
      </c>
      <c r="G36" s="4" t="s">
        <v>118</v>
      </c>
      <c r="H36" s="4" t="s">
        <v>119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57472.81</v>
      </c>
      <c r="G37" s="4" t="s">
        <v>120</v>
      </c>
      <c r="H37" s="4" t="s">
        <v>121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122</v>
      </c>
      <c r="H38" s="4" t="s">
        <v>123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124</v>
      </c>
      <c r="H39" s="4" t="s">
        <v>125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278.75160000000005</v>
      </c>
      <c r="G40" s="4" t="s">
        <v>126</v>
      </c>
      <c r="H40" s="4" t="s">
        <v>127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0.39600000000000002</v>
      </c>
      <c r="G41" s="4" t="s">
        <v>128</v>
      </c>
      <c r="H41" s="4" t="s">
        <v>129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130</v>
      </c>
      <c r="H42" s="4" t="s">
        <v>131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233</v>
      </c>
      <c r="F43" s="4">
        <v>0</v>
      </c>
      <c r="G43" s="4" t="s">
        <v>132</v>
      </c>
      <c r="H43" s="4" t="s">
        <v>133</v>
      </c>
      <c r="I43" s="4"/>
      <c r="J43" s="4"/>
      <c r="K43" s="4">
        <v>233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f>IF(SourceObSm!F44&lt;&gt;0,1,0)</f>
        <v>1</v>
      </c>
      <c r="C44" s="4">
        <v>0</v>
      </c>
      <c r="D44" s="4">
        <v>1</v>
      </c>
      <c r="E44" s="4">
        <v>210</v>
      </c>
      <c r="F44" s="4">
        <v>33038.9</v>
      </c>
      <c r="G44" s="4" t="s">
        <v>134</v>
      </c>
      <c r="H44" s="4" t="s">
        <v>135</v>
      </c>
      <c r="I44" s="4"/>
      <c r="J44" s="4"/>
      <c r="K44" s="4">
        <v>210</v>
      </c>
      <c r="L44" s="4">
        <v>25</v>
      </c>
      <c r="M44" s="4">
        <v>1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f>IF(SourceObSm!F45&lt;&gt;0,1,0)</f>
        <v>1</v>
      </c>
      <c r="C45" s="4">
        <v>0</v>
      </c>
      <c r="D45" s="4">
        <v>1</v>
      </c>
      <c r="E45" s="4">
        <v>211</v>
      </c>
      <c r="F45" s="4">
        <v>19538.82</v>
      </c>
      <c r="G45" s="4" t="s">
        <v>136</v>
      </c>
      <c r="H45" s="4" t="s">
        <v>137</v>
      </c>
      <c r="I45" s="4"/>
      <c r="J45" s="4"/>
      <c r="K45" s="4">
        <v>211</v>
      </c>
      <c r="L45" s="4">
        <v>26</v>
      </c>
      <c r="M45" s="4">
        <v>1</v>
      </c>
      <c r="N45" s="4" t="s">
        <v>3</v>
      </c>
      <c r="O45" s="4">
        <v>2</v>
      </c>
      <c r="P45" s="4"/>
    </row>
    <row r="46" spans="1:16" x14ac:dyDescent="0.2">
      <c r="A46" s="4">
        <v>50</v>
      </c>
      <c r="B46" s="4">
        <f>IF(SourceObSm!F46&lt;&gt;0,1,0)</f>
        <v>1</v>
      </c>
      <c r="C46" s="4">
        <v>0</v>
      </c>
      <c r="D46" s="4">
        <v>1</v>
      </c>
      <c r="E46" s="4">
        <v>224</v>
      </c>
      <c r="F46" s="4">
        <v>145027.23000000001</v>
      </c>
      <c r="G46" s="4" t="s">
        <v>138</v>
      </c>
      <c r="H46" s="4" t="s">
        <v>139</v>
      </c>
      <c r="I46" s="4"/>
      <c r="J46" s="4"/>
      <c r="K46" s="4">
        <v>224</v>
      </c>
      <c r="L46" s="4">
        <v>27</v>
      </c>
      <c r="M46" s="4">
        <v>1</v>
      </c>
      <c r="N46" s="4" t="s">
        <v>3</v>
      </c>
      <c r="O46" s="4">
        <v>2</v>
      </c>
      <c r="P46" s="4"/>
    </row>
    <row r="47" spans="1:16" x14ac:dyDescent="0.2">
      <c r="A47" s="4">
        <v>50</v>
      </c>
      <c r="B47" s="4">
        <f>IF(SourceObSm!F47&lt;&gt;0,1,0)</f>
        <v>0</v>
      </c>
      <c r="C47" s="4">
        <v>0</v>
      </c>
      <c r="D47" s="4">
        <v>2</v>
      </c>
      <c r="E47" s="4">
        <v>0</v>
      </c>
      <c r="F47" s="4">
        <v>0</v>
      </c>
      <c r="G47" s="4" t="s">
        <v>140</v>
      </c>
      <c r="H47" s="4" t="s">
        <v>141</v>
      </c>
      <c r="I47" s="4"/>
      <c r="J47" s="4"/>
      <c r="K47" s="4">
        <v>212</v>
      </c>
      <c r="L47" s="4">
        <v>28</v>
      </c>
      <c r="M47" s="4">
        <v>1</v>
      </c>
      <c r="N47" s="4" t="s">
        <v>3</v>
      </c>
      <c r="O47" s="4">
        <v>-1</v>
      </c>
      <c r="P47" s="4"/>
    </row>
    <row r="48" spans="1:16" x14ac:dyDescent="0.2">
      <c r="A48" s="4">
        <v>50</v>
      </c>
      <c r="B48" s="4">
        <f>IF(SourceObSm!F48&lt;&gt;0,1,0)</f>
        <v>0</v>
      </c>
      <c r="C48" s="4">
        <v>0</v>
      </c>
      <c r="D48" s="4">
        <v>2</v>
      </c>
      <c r="E48" s="4">
        <v>0</v>
      </c>
      <c r="F48" s="4">
        <v>0</v>
      </c>
      <c r="G48" s="4" t="s">
        <v>142</v>
      </c>
      <c r="H48" s="4" t="s">
        <v>143</v>
      </c>
      <c r="I48" s="4"/>
      <c r="J48" s="4"/>
      <c r="K48" s="4">
        <v>212</v>
      </c>
      <c r="L48" s="4">
        <v>29</v>
      </c>
      <c r="M48" s="4">
        <v>1</v>
      </c>
      <c r="N48" s="4" t="s">
        <v>3</v>
      </c>
      <c r="O48" s="4">
        <v>2</v>
      </c>
      <c r="P48" s="4"/>
    </row>
    <row r="49" spans="1:27" x14ac:dyDescent="0.2">
      <c r="A49" s="4">
        <v>50</v>
      </c>
      <c r="B49" s="4">
        <f>IF(SourceObSm!F49&lt;&gt;0,1,0)</f>
        <v>0</v>
      </c>
      <c r="C49" s="4">
        <v>0</v>
      </c>
      <c r="D49" s="4">
        <v>2</v>
      </c>
      <c r="E49" s="4">
        <v>0</v>
      </c>
      <c r="F49" s="4">
        <v>0</v>
      </c>
      <c r="G49" s="4" t="s">
        <v>144</v>
      </c>
      <c r="H49" s="4" t="s">
        <v>145</v>
      </c>
      <c r="I49" s="4"/>
      <c r="J49" s="4"/>
      <c r="K49" s="4">
        <v>212</v>
      </c>
      <c r="L49" s="4">
        <v>30</v>
      </c>
      <c r="M49" s="4">
        <v>1</v>
      </c>
      <c r="N49" s="4" t="s">
        <v>3</v>
      </c>
      <c r="O49" s="4">
        <v>2</v>
      </c>
      <c r="P49" s="4"/>
    </row>
    <row r="50" spans="1:27" x14ac:dyDescent="0.2">
      <c r="A50" s="4">
        <v>50</v>
      </c>
      <c r="B50" s="4">
        <f>IF(SourceObSm!F50&lt;&gt;0,1,0)</f>
        <v>0</v>
      </c>
      <c r="C50" s="4">
        <v>0</v>
      </c>
      <c r="D50" s="4">
        <v>2</v>
      </c>
      <c r="E50" s="4">
        <v>0</v>
      </c>
      <c r="F50" s="4">
        <v>0</v>
      </c>
      <c r="G50" s="4" t="s">
        <v>146</v>
      </c>
      <c r="H50" s="4" t="s">
        <v>147</v>
      </c>
      <c r="I50" s="4"/>
      <c r="J50" s="4"/>
      <c r="K50" s="4">
        <v>212</v>
      </c>
      <c r="L50" s="4">
        <v>31</v>
      </c>
      <c r="M50" s="4">
        <v>1</v>
      </c>
      <c r="N50" s="4" t="s">
        <v>3</v>
      </c>
      <c r="O50" s="4">
        <v>-1</v>
      </c>
      <c r="P50" s="4"/>
    </row>
    <row r="51" spans="1:27" x14ac:dyDescent="0.2">
      <c r="A51" s="4">
        <v>50</v>
      </c>
      <c r="B51" s="4">
        <f>IF(SourceObSm!F51&lt;&gt;0,1,0)</f>
        <v>0</v>
      </c>
      <c r="C51" s="4">
        <v>0</v>
      </c>
      <c r="D51" s="4">
        <v>2</v>
      </c>
      <c r="E51" s="4">
        <v>0</v>
      </c>
      <c r="F51" s="4">
        <v>0</v>
      </c>
      <c r="G51" s="4" t="s">
        <v>148</v>
      </c>
      <c r="H51" s="4" t="s">
        <v>149</v>
      </c>
      <c r="I51" s="4"/>
      <c r="J51" s="4"/>
      <c r="K51" s="4">
        <v>212</v>
      </c>
      <c r="L51" s="4">
        <v>32</v>
      </c>
      <c r="M51" s="4">
        <v>1</v>
      </c>
      <c r="N51" s="4" t="s">
        <v>3</v>
      </c>
      <c r="O51" s="4">
        <v>2</v>
      </c>
      <c r="P51" s="4"/>
    </row>
    <row r="52" spans="1:27" x14ac:dyDescent="0.2">
      <c r="A52" s="4">
        <v>50</v>
      </c>
      <c r="B52" s="4">
        <f>IF(SourceObSm!F52&lt;&gt;0,1,0)</f>
        <v>0</v>
      </c>
      <c r="C52" s="4">
        <v>0</v>
      </c>
      <c r="D52" s="4">
        <v>2</v>
      </c>
      <c r="E52" s="4">
        <v>0</v>
      </c>
      <c r="F52" s="4">
        <v>0</v>
      </c>
      <c r="G52" s="4" t="s">
        <v>150</v>
      </c>
      <c r="H52" s="4" t="s">
        <v>151</v>
      </c>
      <c r="I52" s="4"/>
      <c r="J52" s="4"/>
      <c r="K52" s="4">
        <v>212</v>
      </c>
      <c r="L52" s="4">
        <v>33</v>
      </c>
      <c r="M52" s="4">
        <v>1</v>
      </c>
      <c r="N52" s="4" t="s">
        <v>3</v>
      </c>
      <c r="O52" s="4">
        <v>2</v>
      </c>
      <c r="P52" s="4"/>
    </row>
    <row r="53" spans="1:27" x14ac:dyDescent="0.2">
      <c r="A53" s="4">
        <v>50</v>
      </c>
      <c r="B53" s="4">
        <f>IF(SourceObSm!F53&lt;&gt;0,1,0)</f>
        <v>1</v>
      </c>
      <c r="C53" s="4">
        <v>0</v>
      </c>
      <c r="D53" s="4">
        <v>2</v>
      </c>
      <c r="E53" s="4">
        <v>0</v>
      </c>
      <c r="F53" s="4">
        <v>2</v>
      </c>
      <c r="G53" s="4" t="s">
        <v>152</v>
      </c>
      <c r="H53" s="4" t="s">
        <v>153</v>
      </c>
      <c r="I53" s="4"/>
      <c r="J53" s="4"/>
      <c r="K53" s="4">
        <v>212</v>
      </c>
      <c r="L53" s="4">
        <v>34</v>
      </c>
      <c r="M53" s="4">
        <v>1</v>
      </c>
      <c r="N53" s="4" t="s">
        <v>3</v>
      </c>
      <c r="O53" s="4">
        <v>-1</v>
      </c>
      <c r="P53" s="4"/>
    </row>
    <row r="54" spans="1:27" x14ac:dyDescent="0.2">
      <c r="A54" s="4">
        <v>50</v>
      </c>
      <c r="B54" s="4">
        <f>IF(SourceObSm!F54&lt;&gt;0,1,0)</f>
        <v>1</v>
      </c>
      <c r="C54" s="4">
        <v>0</v>
      </c>
      <c r="D54" s="4">
        <v>2</v>
      </c>
      <c r="E54" s="4">
        <v>0</v>
      </c>
      <c r="F54" s="4">
        <v>2900.54</v>
      </c>
      <c r="G54" s="4" t="s">
        <v>154</v>
      </c>
      <c r="H54" s="4" t="s">
        <v>155</v>
      </c>
      <c r="I54" s="4"/>
      <c r="J54" s="4"/>
      <c r="K54" s="4">
        <v>212</v>
      </c>
      <c r="L54" s="4">
        <v>35</v>
      </c>
      <c r="M54" s="4">
        <v>1</v>
      </c>
      <c r="N54" s="4" t="s">
        <v>3</v>
      </c>
      <c r="O54" s="4">
        <v>2</v>
      </c>
      <c r="P54" s="4"/>
    </row>
    <row r="55" spans="1:27" x14ac:dyDescent="0.2">
      <c r="A55" s="4">
        <v>50</v>
      </c>
      <c r="B55" s="4">
        <f>IF(SourceObSm!F55&lt;&gt;0,1,0)</f>
        <v>1</v>
      </c>
      <c r="C55" s="4">
        <v>0</v>
      </c>
      <c r="D55" s="4">
        <v>2</v>
      </c>
      <c r="E55" s="4">
        <v>0</v>
      </c>
      <c r="F55" s="4">
        <v>147927.76999999999</v>
      </c>
      <c r="G55" s="4" t="s">
        <v>156</v>
      </c>
      <c r="H55" s="4" t="s">
        <v>157</v>
      </c>
      <c r="I55" s="4"/>
      <c r="J55" s="4"/>
      <c r="K55" s="4">
        <v>212</v>
      </c>
      <c r="L55" s="4">
        <v>36</v>
      </c>
      <c r="M55" s="4">
        <v>1</v>
      </c>
      <c r="N55" s="4" t="s">
        <v>3</v>
      </c>
      <c r="O55" s="4">
        <v>2</v>
      </c>
      <c r="P55" s="4"/>
    </row>
    <row r="56" spans="1:27" x14ac:dyDescent="0.2">
      <c r="A56" s="4">
        <v>50</v>
      </c>
      <c r="B56" s="4">
        <v>0</v>
      </c>
      <c r="C56" s="4">
        <v>0</v>
      </c>
      <c r="D56" s="4">
        <v>2</v>
      </c>
      <c r="E56" s="4">
        <v>0</v>
      </c>
      <c r="F56" s="4">
        <v>147927.76999999999</v>
      </c>
      <c r="G56" s="4" t="s">
        <v>158</v>
      </c>
      <c r="H56" s="4" t="s">
        <v>159</v>
      </c>
      <c r="I56" s="4"/>
      <c r="J56" s="4"/>
      <c r="K56" s="4">
        <v>212</v>
      </c>
      <c r="L56" s="4">
        <v>37</v>
      </c>
      <c r="M56" s="4">
        <v>3</v>
      </c>
      <c r="N56" s="4" t="s">
        <v>3</v>
      </c>
      <c r="O56" s="4">
        <v>2</v>
      </c>
      <c r="P56" s="4"/>
    </row>
    <row r="57" spans="1:27" x14ac:dyDescent="0.2">
      <c r="A57" s="4">
        <v>50</v>
      </c>
      <c r="B57" s="4">
        <f>IF(SourceObSm!F57&lt;&gt;0,1,0)</f>
        <v>1</v>
      </c>
      <c r="C57" s="4">
        <v>0</v>
      </c>
      <c r="D57" s="4">
        <v>2</v>
      </c>
      <c r="E57" s="4">
        <v>0</v>
      </c>
      <c r="F57" s="4">
        <v>29585.55</v>
      </c>
      <c r="G57" s="4" t="s">
        <v>160</v>
      </c>
      <c r="H57" s="4" t="s">
        <v>161</v>
      </c>
      <c r="I57" s="4"/>
      <c r="J57" s="4"/>
      <c r="K57" s="4">
        <v>212</v>
      </c>
      <c r="L57" s="4">
        <v>38</v>
      </c>
      <c r="M57" s="4">
        <v>1</v>
      </c>
      <c r="N57" s="4" t="s">
        <v>3</v>
      </c>
      <c r="O57" s="4">
        <v>2</v>
      </c>
      <c r="P57" s="4"/>
    </row>
    <row r="58" spans="1:27" x14ac:dyDescent="0.2">
      <c r="A58" s="4">
        <v>50</v>
      </c>
      <c r="B58" s="4">
        <f>IF(SourceObSm!F58&lt;&gt;0,1,0)</f>
        <v>1</v>
      </c>
      <c r="C58" s="4">
        <v>0</v>
      </c>
      <c r="D58" s="4">
        <v>2</v>
      </c>
      <c r="E58" s="4">
        <v>213</v>
      </c>
      <c r="F58" s="4">
        <v>177513.32</v>
      </c>
      <c r="G58" s="4" t="s">
        <v>162</v>
      </c>
      <c r="H58" s="4" t="s">
        <v>163</v>
      </c>
      <c r="I58" s="4"/>
      <c r="J58" s="4"/>
      <c r="K58" s="4">
        <v>212</v>
      </c>
      <c r="L58" s="4">
        <v>39</v>
      </c>
      <c r="M58" s="4">
        <v>1</v>
      </c>
      <c r="N58" s="4" t="s">
        <v>3</v>
      </c>
      <c r="O58" s="4">
        <v>2</v>
      </c>
      <c r="P58" s="4"/>
    </row>
    <row r="60" spans="1:27" x14ac:dyDescent="0.2">
      <c r="A60">
        <v>-1</v>
      </c>
    </row>
    <row r="63" spans="1:27" x14ac:dyDescent="0.2">
      <c r="A63" s="3">
        <v>75</v>
      </c>
      <c r="B63" s="3" t="s">
        <v>225</v>
      </c>
      <c r="C63" s="3">
        <v>2020</v>
      </c>
      <c r="D63" s="3">
        <v>0</v>
      </c>
      <c r="E63" s="3">
        <v>1</v>
      </c>
      <c r="F63" s="3"/>
      <c r="G63" s="3">
        <v>0</v>
      </c>
      <c r="H63" s="3">
        <v>1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30528041</v>
      </c>
      <c r="O63" s="3">
        <v>1</v>
      </c>
    </row>
    <row r="64" spans="1:27" x14ac:dyDescent="0.2">
      <c r="A64" s="5">
        <v>1</v>
      </c>
      <c r="B64" s="5" t="s">
        <v>226</v>
      </c>
      <c r="C64" s="5" t="s">
        <v>227</v>
      </c>
      <c r="D64" s="5">
        <v>2020</v>
      </c>
      <c r="E64" s="5">
        <v>1</v>
      </c>
      <c r="F64" s="5">
        <v>1</v>
      </c>
      <c r="G64" s="5">
        <v>1</v>
      </c>
      <c r="H64" s="5">
        <v>0</v>
      </c>
      <c r="I64" s="5">
        <v>2</v>
      </c>
      <c r="J64" s="5">
        <v>1</v>
      </c>
      <c r="K64" s="5">
        <v>1</v>
      </c>
      <c r="L64" s="5">
        <v>1</v>
      </c>
      <c r="M64" s="5">
        <v>1</v>
      </c>
      <c r="N64" s="5">
        <v>1</v>
      </c>
      <c r="O64" s="5">
        <v>1</v>
      </c>
      <c r="P64" s="5">
        <v>1</v>
      </c>
      <c r="Q64" s="5">
        <v>1</v>
      </c>
      <c r="R64" s="5" t="s">
        <v>3</v>
      </c>
      <c r="S64" s="5" t="s">
        <v>3</v>
      </c>
      <c r="T64" s="5" t="s">
        <v>3</v>
      </c>
      <c r="U64" s="5" t="s">
        <v>3</v>
      </c>
      <c r="V64" s="5" t="s">
        <v>3</v>
      </c>
      <c r="W64" s="5" t="s">
        <v>3</v>
      </c>
      <c r="X64" s="5" t="s">
        <v>3</v>
      </c>
      <c r="Y64" s="5" t="s">
        <v>3</v>
      </c>
      <c r="Z64" s="5" t="s">
        <v>3</v>
      </c>
      <c r="AA64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30528041</v>
      </c>
      <c r="C1">
        <v>30528163</v>
      </c>
      <c r="D1">
        <v>23195439</v>
      </c>
      <c r="E1">
        <v>1</v>
      </c>
      <c r="F1">
        <v>1</v>
      </c>
      <c r="G1">
        <v>1</v>
      </c>
      <c r="H1">
        <v>1</v>
      </c>
      <c r="I1" t="s">
        <v>229</v>
      </c>
      <c r="J1" t="s">
        <v>3</v>
      </c>
      <c r="K1" t="s">
        <v>230</v>
      </c>
      <c r="L1">
        <v>1476</v>
      </c>
      <c r="N1">
        <v>1013</v>
      </c>
      <c r="O1" t="s">
        <v>231</v>
      </c>
      <c r="P1" t="s">
        <v>232</v>
      </c>
      <c r="Q1">
        <v>1</v>
      </c>
      <c r="W1">
        <v>0</v>
      </c>
      <c r="X1">
        <v>-1079280024</v>
      </c>
      <c r="Y1">
        <v>217.35</v>
      </c>
      <c r="AA1">
        <v>0</v>
      </c>
      <c r="AB1">
        <v>0</v>
      </c>
      <c r="AC1">
        <v>0</v>
      </c>
      <c r="AD1">
        <v>8.3800000000000008</v>
      </c>
      <c r="AE1">
        <v>0</v>
      </c>
      <c r="AF1">
        <v>0</v>
      </c>
      <c r="AG1">
        <v>0</v>
      </c>
      <c r="AH1">
        <v>8.3800000000000008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189</v>
      </c>
      <c r="AU1" t="s">
        <v>20</v>
      </c>
      <c r="AV1">
        <v>1</v>
      </c>
      <c r="AW1">
        <v>2</v>
      </c>
      <c r="AX1">
        <v>30528165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39.122999999999998</v>
      </c>
      <c r="CY1">
        <f t="shared" ref="CY1:CY7" si="0">AD1</f>
        <v>8.3800000000000008</v>
      </c>
      <c r="CZ1">
        <f t="shared" ref="CZ1:CZ7" si="1">AH1</f>
        <v>8.3800000000000008</v>
      </c>
      <c r="DA1">
        <f t="shared" ref="DA1:DA7" si="2">AL1</f>
        <v>1</v>
      </c>
      <c r="DB1">
        <f>ROUND((ROUND(AT1*CZ1,2)*1.15),6)</f>
        <v>1821.393</v>
      </c>
      <c r="DC1">
        <f>ROUND((ROUND(AT1*AG1,2)*1.15),6)</f>
        <v>0</v>
      </c>
    </row>
    <row r="2" spans="1:107" x14ac:dyDescent="0.2">
      <c r="A2">
        <f>ROW(Source!A29)</f>
        <v>29</v>
      </c>
      <c r="B2">
        <v>30528041</v>
      </c>
      <c r="C2">
        <v>30528166</v>
      </c>
      <c r="D2">
        <v>23196964</v>
      </c>
      <c r="E2">
        <v>1</v>
      </c>
      <c r="F2">
        <v>1</v>
      </c>
      <c r="G2">
        <v>1</v>
      </c>
      <c r="H2">
        <v>1</v>
      </c>
      <c r="I2" t="s">
        <v>233</v>
      </c>
      <c r="J2" t="s">
        <v>3</v>
      </c>
      <c r="K2" t="s">
        <v>234</v>
      </c>
      <c r="L2">
        <v>1476</v>
      </c>
      <c r="N2">
        <v>1013</v>
      </c>
      <c r="O2" t="s">
        <v>231</v>
      </c>
      <c r="P2" t="s">
        <v>232</v>
      </c>
      <c r="Q2">
        <v>1</v>
      </c>
      <c r="W2">
        <v>0</v>
      </c>
      <c r="X2">
        <v>-1604643325</v>
      </c>
      <c r="Y2">
        <v>97.2</v>
      </c>
      <c r="AA2">
        <v>0</v>
      </c>
      <c r="AB2">
        <v>0</v>
      </c>
      <c r="AC2">
        <v>0</v>
      </c>
      <c r="AD2">
        <v>7.5</v>
      </c>
      <c r="AE2">
        <v>0</v>
      </c>
      <c r="AF2">
        <v>0</v>
      </c>
      <c r="AG2">
        <v>0</v>
      </c>
      <c r="AH2">
        <v>7.5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97.2</v>
      </c>
      <c r="AU2" t="s">
        <v>3</v>
      </c>
      <c r="AV2">
        <v>1</v>
      </c>
      <c r="AW2">
        <v>2</v>
      </c>
      <c r="AX2">
        <v>30528168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Y2*Source!I29</f>
        <v>17.495999999999999</v>
      </c>
      <c r="CY2">
        <f t="shared" si="0"/>
        <v>7.5</v>
      </c>
      <c r="CZ2">
        <f t="shared" si="1"/>
        <v>7.5</v>
      </c>
      <c r="DA2">
        <f t="shared" si="2"/>
        <v>1</v>
      </c>
      <c r="DB2">
        <f t="shared" ref="DB2:DB31" si="3">ROUND(ROUND(AT2*CZ2,2),6)</f>
        <v>729</v>
      </c>
      <c r="DC2">
        <f t="shared" ref="DC2:DC31" si="4">ROUND(ROUND(AT2*AG2,2),6)</f>
        <v>0</v>
      </c>
    </row>
    <row r="3" spans="1:107" x14ac:dyDescent="0.2">
      <c r="A3">
        <f>ROW(Source!A30)</f>
        <v>30</v>
      </c>
      <c r="B3">
        <v>30528041</v>
      </c>
      <c r="C3">
        <v>30528169</v>
      </c>
      <c r="D3">
        <v>23645604</v>
      </c>
      <c r="E3">
        <v>1</v>
      </c>
      <c r="F3">
        <v>1</v>
      </c>
      <c r="G3">
        <v>1</v>
      </c>
      <c r="H3">
        <v>1</v>
      </c>
      <c r="I3" t="s">
        <v>235</v>
      </c>
      <c r="J3" t="s">
        <v>3</v>
      </c>
      <c r="K3" t="s">
        <v>236</v>
      </c>
      <c r="L3">
        <v>1369</v>
      </c>
      <c r="N3">
        <v>1013</v>
      </c>
      <c r="O3" t="s">
        <v>237</v>
      </c>
      <c r="P3" t="s">
        <v>237</v>
      </c>
      <c r="Q3">
        <v>1</v>
      </c>
      <c r="W3">
        <v>0</v>
      </c>
      <c r="X3">
        <v>-1338681994</v>
      </c>
      <c r="Y3">
        <v>16.2</v>
      </c>
      <c r="AA3">
        <v>0</v>
      </c>
      <c r="AB3">
        <v>0</v>
      </c>
      <c r="AC3">
        <v>0</v>
      </c>
      <c r="AD3">
        <v>12.92</v>
      </c>
      <c r="AE3">
        <v>0</v>
      </c>
      <c r="AF3">
        <v>0</v>
      </c>
      <c r="AG3">
        <v>0</v>
      </c>
      <c r="AH3">
        <v>12.92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16.2</v>
      </c>
      <c r="AU3" t="s">
        <v>3</v>
      </c>
      <c r="AV3">
        <v>1</v>
      </c>
      <c r="AW3">
        <v>2</v>
      </c>
      <c r="AX3">
        <v>30528172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Y3*Source!I30</f>
        <v>16.2</v>
      </c>
      <c r="CY3">
        <f t="shared" si="0"/>
        <v>12.92</v>
      </c>
      <c r="CZ3">
        <f t="shared" si="1"/>
        <v>12.92</v>
      </c>
      <c r="DA3">
        <f t="shared" si="2"/>
        <v>1</v>
      </c>
      <c r="DB3">
        <f t="shared" si="3"/>
        <v>209.3</v>
      </c>
      <c r="DC3">
        <f t="shared" si="4"/>
        <v>0</v>
      </c>
    </row>
    <row r="4" spans="1:107" x14ac:dyDescent="0.2">
      <c r="A4">
        <f>ROW(Source!A30)</f>
        <v>30</v>
      </c>
      <c r="B4">
        <v>30528041</v>
      </c>
      <c r="C4">
        <v>30528169</v>
      </c>
      <c r="D4">
        <v>23644644</v>
      </c>
      <c r="E4">
        <v>1</v>
      </c>
      <c r="F4">
        <v>1</v>
      </c>
      <c r="G4">
        <v>1</v>
      </c>
      <c r="H4">
        <v>1</v>
      </c>
      <c r="I4" t="s">
        <v>238</v>
      </c>
      <c r="J4" t="s">
        <v>3</v>
      </c>
      <c r="K4" t="s">
        <v>239</v>
      </c>
      <c r="L4">
        <v>1369</v>
      </c>
      <c r="N4">
        <v>1013</v>
      </c>
      <c r="O4" t="s">
        <v>237</v>
      </c>
      <c r="P4" t="s">
        <v>237</v>
      </c>
      <c r="Q4">
        <v>1</v>
      </c>
      <c r="W4">
        <v>0</v>
      </c>
      <c r="X4">
        <v>-958407747</v>
      </c>
      <c r="Y4">
        <v>16.2</v>
      </c>
      <c r="AA4">
        <v>0</v>
      </c>
      <c r="AB4">
        <v>0</v>
      </c>
      <c r="AC4">
        <v>0</v>
      </c>
      <c r="AD4">
        <v>12.69</v>
      </c>
      <c r="AE4">
        <v>0</v>
      </c>
      <c r="AF4">
        <v>0</v>
      </c>
      <c r="AG4">
        <v>0</v>
      </c>
      <c r="AH4">
        <v>12.69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16.2</v>
      </c>
      <c r="AU4" t="s">
        <v>3</v>
      </c>
      <c r="AV4">
        <v>1</v>
      </c>
      <c r="AW4">
        <v>2</v>
      </c>
      <c r="AX4">
        <v>30528173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Y4*Source!I30</f>
        <v>16.2</v>
      </c>
      <c r="CY4">
        <f t="shared" si="0"/>
        <v>12.69</v>
      </c>
      <c r="CZ4">
        <f t="shared" si="1"/>
        <v>12.69</v>
      </c>
      <c r="DA4">
        <f t="shared" si="2"/>
        <v>1</v>
      </c>
      <c r="DB4">
        <f t="shared" si="3"/>
        <v>205.58</v>
      </c>
      <c r="DC4">
        <f t="shared" si="4"/>
        <v>0</v>
      </c>
    </row>
    <row r="5" spans="1:107" x14ac:dyDescent="0.2">
      <c r="A5">
        <f>ROW(Source!A31)</f>
        <v>31</v>
      </c>
      <c r="B5">
        <v>30528041</v>
      </c>
      <c r="C5">
        <v>30528174</v>
      </c>
      <c r="D5">
        <v>23645604</v>
      </c>
      <c r="E5">
        <v>1</v>
      </c>
      <c r="F5">
        <v>1</v>
      </c>
      <c r="G5">
        <v>1</v>
      </c>
      <c r="H5">
        <v>1</v>
      </c>
      <c r="I5" t="s">
        <v>235</v>
      </c>
      <c r="J5" t="s">
        <v>3</v>
      </c>
      <c r="K5" t="s">
        <v>236</v>
      </c>
      <c r="L5">
        <v>1369</v>
      </c>
      <c r="N5">
        <v>1013</v>
      </c>
      <c r="O5" t="s">
        <v>237</v>
      </c>
      <c r="P5" t="s">
        <v>237</v>
      </c>
      <c r="Q5">
        <v>1</v>
      </c>
      <c r="W5">
        <v>0</v>
      </c>
      <c r="X5">
        <v>-1338681994</v>
      </c>
      <c r="Y5">
        <v>6.08</v>
      </c>
      <c r="AA5">
        <v>0</v>
      </c>
      <c r="AB5">
        <v>0</v>
      </c>
      <c r="AC5">
        <v>0</v>
      </c>
      <c r="AD5">
        <v>12.92</v>
      </c>
      <c r="AE5">
        <v>0</v>
      </c>
      <c r="AF5">
        <v>0</v>
      </c>
      <c r="AG5">
        <v>0</v>
      </c>
      <c r="AH5">
        <v>12.92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6.08</v>
      </c>
      <c r="AU5" t="s">
        <v>3</v>
      </c>
      <c r="AV5">
        <v>1</v>
      </c>
      <c r="AW5">
        <v>2</v>
      </c>
      <c r="AX5">
        <v>30528177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Y5*Source!I31</f>
        <v>39.276800000000001</v>
      </c>
      <c r="CY5">
        <f t="shared" si="0"/>
        <v>12.92</v>
      </c>
      <c r="CZ5">
        <f t="shared" si="1"/>
        <v>12.92</v>
      </c>
      <c r="DA5">
        <f t="shared" si="2"/>
        <v>1</v>
      </c>
      <c r="DB5">
        <f t="shared" si="3"/>
        <v>78.55</v>
      </c>
      <c r="DC5">
        <f t="shared" si="4"/>
        <v>0</v>
      </c>
    </row>
    <row r="6" spans="1:107" x14ac:dyDescent="0.2">
      <c r="A6">
        <f>ROW(Source!A31)</f>
        <v>31</v>
      </c>
      <c r="B6">
        <v>30528041</v>
      </c>
      <c r="C6">
        <v>30528174</v>
      </c>
      <c r="D6">
        <v>23644644</v>
      </c>
      <c r="E6">
        <v>1</v>
      </c>
      <c r="F6">
        <v>1</v>
      </c>
      <c r="G6">
        <v>1</v>
      </c>
      <c r="H6">
        <v>1</v>
      </c>
      <c r="I6" t="s">
        <v>238</v>
      </c>
      <c r="J6" t="s">
        <v>3</v>
      </c>
      <c r="K6" t="s">
        <v>239</v>
      </c>
      <c r="L6">
        <v>1369</v>
      </c>
      <c r="N6">
        <v>1013</v>
      </c>
      <c r="O6" t="s">
        <v>237</v>
      </c>
      <c r="P6" t="s">
        <v>237</v>
      </c>
      <c r="Q6">
        <v>1</v>
      </c>
      <c r="W6">
        <v>0</v>
      </c>
      <c r="X6">
        <v>-958407747</v>
      </c>
      <c r="Y6">
        <v>6.08</v>
      </c>
      <c r="AA6">
        <v>0</v>
      </c>
      <c r="AB6">
        <v>0</v>
      </c>
      <c r="AC6">
        <v>0</v>
      </c>
      <c r="AD6">
        <v>12.69</v>
      </c>
      <c r="AE6">
        <v>0</v>
      </c>
      <c r="AF6">
        <v>0</v>
      </c>
      <c r="AG6">
        <v>0</v>
      </c>
      <c r="AH6">
        <v>12.69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6.08</v>
      </c>
      <c r="AU6" t="s">
        <v>3</v>
      </c>
      <c r="AV6">
        <v>1</v>
      </c>
      <c r="AW6">
        <v>2</v>
      </c>
      <c r="AX6">
        <v>30528178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Y6*Source!I31</f>
        <v>39.276800000000001</v>
      </c>
      <c r="CY6">
        <f t="shared" si="0"/>
        <v>12.69</v>
      </c>
      <c r="CZ6">
        <f t="shared" si="1"/>
        <v>12.69</v>
      </c>
      <c r="DA6">
        <f t="shared" si="2"/>
        <v>1</v>
      </c>
      <c r="DB6">
        <f t="shared" si="3"/>
        <v>77.16</v>
      </c>
      <c r="DC6">
        <f t="shared" si="4"/>
        <v>0</v>
      </c>
    </row>
    <row r="7" spans="1:107" x14ac:dyDescent="0.2">
      <c r="A7">
        <f>ROW(Source!A32)</f>
        <v>32</v>
      </c>
      <c r="B7">
        <v>30528041</v>
      </c>
      <c r="C7">
        <v>30528179</v>
      </c>
      <c r="D7">
        <v>23425365</v>
      </c>
      <c r="E7">
        <v>1</v>
      </c>
      <c r="F7">
        <v>1</v>
      </c>
      <c r="G7">
        <v>1</v>
      </c>
      <c r="H7">
        <v>1</v>
      </c>
      <c r="I7" t="s">
        <v>240</v>
      </c>
      <c r="J7" t="s">
        <v>3</v>
      </c>
      <c r="K7" t="s">
        <v>241</v>
      </c>
      <c r="L7">
        <v>1476</v>
      </c>
      <c r="N7">
        <v>1013</v>
      </c>
      <c r="O7" t="s">
        <v>231</v>
      </c>
      <c r="P7" t="s">
        <v>232</v>
      </c>
      <c r="Q7">
        <v>1</v>
      </c>
      <c r="W7">
        <v>0</v>
      </c>
      <c r="X7">
        <v>887203420</v>
      </c>
      <c r="Y7">
        <v>12.8</v>
      </c>
      <c r="AA7">
        <v>0</v>
      </c>
      <c r="AB7">
        <v>0</v>
      </c>
      <c r="AC7">
        <v>0</v>
      </c>
      <c r="AD7">
        <v>9.6199999999999992</v>
      </c>
      <c r="AE7">
        <v>0</v>
      </c>
      <c r="AF7">
        <v>0</v>
      </c>
      <c r="AG7">
        <v>0</v>
      </c>
      <c r="AH7">
        <v>9.6199999999999992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12.8</v>
      </c>
      <c r="AU7" t="s">
        <v>3</v>
      </c>
      <c r="AV7">
        <v>1</v>
      </c>
      <c r="AW7">
        <v>2</v>
      </c>
      <c r="AX7">
        <v>30528186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Y7*Source!I32</f>
        <v>76.800000000000011</v>
      </c>
      <c r="CY7">
        <f t="shared" si="0"/>
        <v>9.6199999999999992</v>
      </c>
      <c r="CZ7">
        <f t="shared" si="1"/>
        <v>9.6199999999999992</v>
      </c>
      <c r="DA7">
        <f t="shared" si="2"/>
        <v>1</v>
      </c>
      <c r="DB7">
        <f t="shared" si="3"/>
        <v>123.14</v>
      </c>
      <c r="DC7">
        <f t="shared" si="4"/>
        <v>0</v>
      </c>
    </row>
    <row r="8" spans="1:107" x14ac:dyDescent="0.2">
      <c r="A8">
        <f>ROW(Source!A32)</f>
        <v>32</v>
      </c>
      <c r="B8">
        <v>30528041</v>
      </c>
      <c r="C8">
        <v>30528179</v>
      </c>
      <c r="D8">
        <v>23093687</v>
      </c>
      <c r="E8">
        <v>1</v>
      </c>
      <c r="F8">
        <v>1</v>
      </c>
      <c r="G8">
        <v>1</v>
      </c>
      <c r="H8">
        <v>3</v>
      </c>
      <c r="I8" t="s">
        <v>242</v>
      </c>
      <c r="J8" t="s">
        <v>243</v>
      </c>
      <c r="K8" t="s">
        <v>244</v>
      </c>
      <c r="L8">
        <v>1348</v>
      </c>
      <c r="N8">
        <v>1009</v>
      </c>
      <c r="O8" t="s">
        <v>245</v>
      </c>
      <c r="P8" t="s">
        <v>245</v>
      </c>
      <c r="Q8">
        <v>1000</v>
      </c>
      <c r="W8">
        <v>0</v>
      </c>
      <c r="X8">
        <v>-340191221</v>
      </c>
      <c r="Y8">
        <v>2.3999999999999998E-3</v>
      </c>
      <c r="AA8">
        <v>32213.25</v>
      </c>
      <c r="AB8">
        <v>0</v>
      </c>
      <c r="AC8">
        <v>0</v>
      </c>
      <c r="AD8">
        <v>0</v>
      </c>
      <c r="AE8">
        <v>4866.05</v>
      </c>
      <c r="AF8">
        <v>0</v>
      </c>
      <c r="AG8">
        <v>0</v>
      </c>
      <c r="AH8">
        <v>0</v>
      </c>
      <c r="AI8">
        <v>6.62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2.3999999999999998E-3</v>
      </c>
      <c r="AU8" t="s">
        <v>3</v>
      </c>
      <c r="AV8">
        <v>0</v>
      </c>
      <c r="AW8">
        <v>2</v>
      </c>
      <c r="AX8">
        <v>30528187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Y8*Source!I32</f>
        <v>1.44E-2</v>
      </c>
      <c r="CY8">
        <f>AA8</f>
        <v>32213.25</v>
      </c>
      <c r="CZ8">
        <f>AE8</f>
        <v>4866.05</v>
      </c>
      <c r="DA8">
        <f>AI8</f>
        <v>6.62</v>
      </c>
      <c r="DB8">
        <f t="shared" si="3"/>
        <v>11.68</v>
      </c>
      <c r="DC8">
        <f t="shared" si="4"/>
        <v>0</v>
      </c>
    </row>
    <row r="9" spans="1:107" x14ac:dyDescent="0.2">
      <c r="A9">
        <f>ROW(Source!A32)</f>
        <v>32</v>
      </c>
      <c r="B9">
        <v>30528041</v>
      </c>
      <c r="C9">
        <v>30528179</v>
      </c>
      <c r="D9">
        <v>23097812</v>
      </c>
      <c r="E9">
        <v>1</v>
      </c>
      <c r="F9">
        <v>1</v>
      </c>
      <c r="G9">
        <v>1</v>
      </c>
      <c r="H9">
        <v>3</v>
      </c>
      <c r="I9" t="s">
        <v>246</v>
      </c>
      <c r="J9" t="s">
        <v>247</v>
      </c>
      <c r="K9" t="s">
        <v>248</v>
      </c>
      <c r="L9">
        <v>1308</v>
      </c>
      <c r="N9">
        <v>1003</v>
      </c>
      <c r="O9" t="s">
        <v>249</v>
      </c>
      <c r="P9" t="s">
        <v>249</v>
      </c>
      <c r="Q9">
        <v>100</v>
      </c>
      <c r="W9">
        <v>0</v>
      </c>
      <c r="X9">
        <v>-1390721167</v>
      </c>
      <c r="Y9">
        <v>7.1999999999999998E-3</v>
      </c>
      <c r="AA9">
        <v>635.57000000000005</v>
      </c>
      <c r="AB9">
        <v>0</v>
      </c>
      <c r="AC9">
        <v>0</v>
      </c>
      <c r="AD9">
        <v>0</v>
      </c>
      <c r="AE9">
        <v>112.69</v>
      </c>
      <c r="AF9">
        <v>0</v>
      </c>
      <c r="AG9">
        <v>0</v>
      </c>
      <c r="AH9">
        <v>0</v>
      </c>
      <c r="AI9">
        <v>5.64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7.1999999999999998E-3</v>
      </c>
      <c r="AU9" t="s">
        <v>3</v>
      </c>
      <c r="AV9">
        <v>0</v>
      </c>
      <c r="AW9">
        <v>2</v>
      </c>
      <c r="AX9">
        <v>30528188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Y9*Source!I32</f>
        <v>4.3200000000000002E-2</v>
      </c>
      <c r="CY9">
        <f>AA9</f>
        <v>635.57000000000005</v>
      </c>
      <c r="CZ9">
        <f>AE9</f>
        <v>112.69</v>
      </c>
      <c r="DA9">
        <f>AI9</f>
        <v>5.64</v>
      </c>
      <c r="DB9">
        <f t="shared" si="3"/>
        <v>0.81</v>
      </c>
      <c r="DC9">
        <f t="shared" si="4"/>
        <v>0</v>
      </c>
    </row>
    <row r="10" spans="1:107" x14ac:dyDescent="0.2">
      <c r="A10">
        <f>ROW(Source!A32)</f>
        <v>32</v>
      </c>
      <c r="B10">
        <v>30528041</v>
      </c>
      <c r="C10">
        <v>30528179</v>
      </c>
      <c r="D10">
        <v>23163561</v>
      </c>
      <c r="E10">
        <v>1</v>
      </c>
      <c r="F10">
        <v>1</v>
      </c>
      <c r="G10">
        <v>1</v>
      </c>
      <c r="H10">
        <v>3</v>
      </c>
      <c r="I10" t="s">
        <v>54</v>
      </c>
      <c r="J10" t="s">
        <v>57</v>
      </c>
      <c r="K10" t="s">
        <v>55</v>
      </c>
      <c r="L10">
        <v>1354</v>
      </c>
      <c r="N10">
        <v>1010</v>
      </c>
      <c r="O10" t="s">
        <v>56</v>
      </c>
      <c r="P10" t="s">
        <v>56</v>
      </c>
      <c r="Q10">
        <v>1</v>
      </c>
      <c r="W10">
        <v>0</v>
      </c>
      <c r="X10">
        <v>1048833068</v>
      </c>
      <c r="Y10">
        <v>1</v>
      </c>
      <c r="AA10">
        <v>3842.87</v>
      </c>
      <c r="AB10">
        <v>0</v>
      </c>
      <c r="AC10">
        <v>0</v>
      </c>
      <c r="AD10">
        <v>0</v>
      </c>
      <c r="AE10">
        <v>671.83</v>
      </c>
      <c r="AF10">
        <v>0</v>
      </c>
      <c r="AG10">
        <v>0</v>
      </c>
      <c r="AH10">
        <v>0</v>
      </c>
      <c r="AI10">
        <v>5.72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3</v>
      </c>
      <c r="AT10">
        <v>1</v>
      </c>
      <c r="AU10" t="s">
        <v>3</v>
      </c>
      <c r="AV10">
        <v>0</v>
      </c>
      <c r="AW10">
        <v>1</v>
      </c>
      <c r="AX10">
        <v>-1</v>
      </c>
      <c r="AY10">
        <v>0</v>
      </c>
      <c r="AZ10">
        <v>0</v>
      </c>
      <c r="BA10" t="s">
        <v>3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Y10*Source!I32</f>
        <v>6</v>
      </c>
      <c r="CY10">
        <f>AA10</f>
        <v>3842.87</v>
      </c>
      <c r="CZ10">
        <f>AE10</f>
        <v>671.83</v>
      </c>
      <c r="DA10">
        <f>AI10</f>
        <v>5.72</v>
      </c>
      <c r="DB10">
        <f t="shared" si="3"/>
        <v>671.83</v>
      </c>
      <c r="DC10">
        <f t="shared" si="4"/>
        <v>0</v>
      </c>
    </row>
    <row r="11" spans="1:107" x14ac:dyDescent="0.2">
      <c r="A11">
        <f>ROW(Source!A32)</f>
        <v>32</v>
      </c>
      <c r="B11">
        <v>30528041</v>
      </c>
      <c r="C11">
        <v>30528179</v>
      </c>
      <c r="D11">
        <v>23190186</v>
      </c>
      <c r="E11">
        <v>1</v>
      </c>
      <c r="F11">
        <v>1</v>
      </c>
      <c r="G11">
        <v>1</v>
      </c>
      <c r="H11">
        <v>3</v>
      </c>
      <c r="I11" t="s">
        <v>250</v>
      </c>
      <c r="J11" t="s">
        <v>251</v>
      </c>
      <c r="K11" t="s">
        <v>252</v>
      </c>
      <c r="L11">
        <v>1348</v>
      </c>
      <c r="N11">
        <v>1009</v>
      </c>
      <c r="O11" t="s">
        <v>245</v>
      </c>
      <c r="P11" t="s">
        <v>245</v>
      </c>
      <c r="Q11">
        <v>1000</v>
      </c>
      <c r="W11">
        <v>0</v>
      </c>
      <c r="X11">
        <v>62542010</v>
      </c>
      <c r="Y11">
        <v>1.0000000000000001E-5</v>
      </c>
      <c r="AA11">
        <v>59426.06</v>
      </c>
      <c r="AB11">
        <v>0</v>
      </c>
      <c r="AC11">
        <v>0</v>
      </c>
      <c r="AD11">
        <v>0</v>
      </c>
      <c r="AE11">
        <v>8129.42</v>
      </c>
      <c r="AF11">
        <v>0</v>
      </c>
      <c r="AG11">
        <v>0</v>
      </c>
      <c r="AH11">
        <v>0</v>
      </c>
      <c r="AI11">
        <v>7.31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1.0000000000000001E-5</v>
      </c>
      <c r="AU11" t="s">
        <v>3</v>
      </c>
      <c r="AV11">
        <v>0</v>
      </c>
      <c r="AW11">
        <v>2</v>
      </c>
      <c r="AX11">
        <v>30528189</v>
      </c>
      <c r="AY11">
        <v>1</v>
      </c>
      <c r="AZ11">
        <v>0</v>
      </c>
      <c r="BA11">
        <v>10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Y11*Source!I32</f>
        <v>6.0000000000000008E-5</v>
      </c>
      <c r="CY11">
        <f>AA11</f>
        <v>59426.06</v>
      </c>
      <c r="CZ11">
        <f>AE11</f>
        <v>8129.42</v>
      </c>
      <c r="DA11">
        <f>AI11</f>
        <v>7.31</v>
      </c>
      <c r="DB11">
        <f t="shared" si="3"/>
        <v>0.08</v>
      </c>
      <c r="DC11">
        <f t="shared" si="4"/>
        <v>0</v>
      </c>
    </row>
    <row r="12" spans="1:107" x14ac:dyDescent="0.2">
      <c r="A12">
        <f>ROW(Source!A32)</f>
        <v>32</v>
      </c>
      <c r="B12">
        <v>30528041</v>
      </c>
      <c r="C12">
        <v>30528179</v>
      </c>
      <c r="D12">
        <v>23190308</v>
      </c>
      <c r="E12">
        <v>1</v>
      </c>
      <c r="F12">
        <v>1</v>
      </c>
      <c r="G12">
        <v>1</v>
      </c>
      <c r="H12">
        <v>3</v>
      </c>
      <c r="I12" t="s">
        <v>253</v>
      </c>
      <c r="J12" t="s">
        <v>254</v>
      </c>
      <c r="K12" t="s">
        <v>255</v>
      </c>
      <c r="L12">
        <v>1374</v>
      </c>
      <c r="N12">
        <v>1013</v>
      </c>
      <c r="O12" t="s">
        <v>256</v>
      </c>
      <c r="P12" t="s">
        <v>256</v>
      </c>
      <c r="Q12">
        <v>1</v>
      </c>
      <c r="W12">
        <v>0</v>
      </c>
      <c r="X12">
        <v>-975427110</v>
      </c>
      <c r="Y12">
        <v>2.46</v>
      </c>
      <c r="AA12">
        <v>1</v>
      </c>
      <c r="AB12">
        <v>0</v>
      </c>
      <c r="AC12">
        <v>0</v>
      </c>
      <c r="AD12">
        <v>0</v>
      </c>
      <c r="AE12">
        <v>1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2.46</v>
      </c>
      <c r="AU12" t="s">
        <v>3</v>
      </c>
      <c r="AV12">
        <v>0</v>
      </c>
      <c r="AW12">
        <v>2</v>
      </c>
      <c r="AX12">
        <v>30528190</v>
      </c>
      <c r="AY12">
        <v>1</v>
      </c>
      <c r="AZ12">
        <v>0</v>
      </c>
      <c r="BA12">
        <v>11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Y12*Source!I32</f>
        <v>14.76</v>
      </c>
      <c r="CY12">
        <f>AA12</f>
        <v>1</v>
      </c>
      <c r="CZ12">
        <f>AE12</f>
        <v>1</v>
      </c>
      <c r="DA12">
        <f>AI12</f>
        <v>1</v>
      </c>
      <c r="DB12">
        <f t="shared" si="3"/>
        <v>2.46</v>
      </c>
      <c r="DC12">
        <f t="shared" si="4"/>
        <v>0</v>
      </c>
    </row>
    <row r="13" spans="1:107" x14ac:dyDescent="0.2">
      <c r="A13">
        <f>ROW(Source!A34)</f>
        <v>34</v>
      </c>
      <c r="B13">
        <v>30528041</v>
      </c>
      <c r="C13">
        <v>30528192</v>
      </c>
      <c r="D13">
        <v>23425365</v>
      </c>
      <c r="E13">
        <v>1</v>
      </c>
      <c r="F13">
        <v>1</v>
      </c>
      <c r="G13">
        <v>1</v>
      </c>
      <c r="H13">
        <v>1</v>
      </c>
      <c r="I13" t="s">
        <v>240</v>
      </c>
      <c r="J13" t="s">
        <v>3</v>
      </c>
      <c r="K13" t="s">
        <v>241</v>
      </c>
      <c r="L13">
        <v>1476</v>
      </c>
      <c r="N13">
        <v>1013</v>
      </c>
      <c r="O13" t="s">
        <v>231</v>
      </c>
      <c r="P13" t="s">
        <v>232</v>
      </c>
      <c r="Q13">
        <v>1</v>
      </c>
      <c r="W13">
        <v>0</v>
      </c>
      <c r="X13">
        <v>887203420</v>
      </c>
      <c r="Y13">
        <v>17.440000000000001</v>
      </c>
      <c r="AA13">
        <v>0</v>
      </c>
      <c r="AB13">
        <v>0</v>
      </c>
      <c r="AC13">
        <v>0</v>
      </c>
      <c r="AD13">
        <v>9.6199999999999992</v>
      </c>
      <c r="AE13">
        <v>0</v>
      </c>
      <c r="AF13">
        <v>0</v>
      </c>
      <c r="AG13">
        <v>0</v>
      </c>
      <c r="AH13">
        <v>9.6199999999999992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17.440000000000001</v>
      </c>
      <c r="AU13" t="s">
        <v>3</v>
      </c>
      <c r="AV13">
        <v>1</v>
      </c>
      <c r="AW13">
        <v>2</v>
      </c>
      <c r="AX13">
        <v>30528208</v>
      </c>
      <c r="AY13">
        <v>1</v>
      </c>
      <c r="AZ13">
        <v>0</v>
      </c>
      <c r="BA13">
        <v>12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Y13*Source!I34</f>
        <v>5.2320000000000002</v>
      </c>
      <c r="CY13">
        <f>AD13</f>
        <v>9.6199999999999992</v>
      </c>
      <c r="CZ13">
        <f>AH13</f>
        <v>9.6199999999999992</v>
      </c>
      <c r="DA13">
        <f>AL13</f>
        <v>1</v>
      </c>
      <c r="DB13">
        <f t="shared" si="3"/>
        <v>167.77</v>
      </c>
      <c r="DC13">
        <f t="shared" si="4"/>
        <v>0</v>
      </c>
    </row>
    <row r="14" spans="1:107" x14ac:dyDescent="0.2">
      <c r="A14">
        <f>ROW(Source!A34)</f>
        <v>34</v>
      </c>
      <c r="B14">
        <v>30528041</v>
      </c>
      <c r="C14">
        <v>30528192</v>
      </c>
      <c r="D14">
        <v>121548</v>
      </c>
      <c r="E14">
        <v>1</v>
      </c>
      <c r="F14">
        <v>1</v>
      </c>
      <c r="G14">
        <v>1</v>
      </c>
      <c r="H14">
        <v>1</v>
      </c>
      <c r="I14" t="s">
        <v>28</v>
      </c>
      <c r="J14" t="s">
        <v>3</v>
      </c>
      <c r="K14" t="s">
        <v>257</v>
      </c>
      <c r="L14">
        <v>608254</v>
      </c>
      <c r="N14">
        <v>1013</v>
      </c>
      <c r="O14" t="s">
        <v>258</v>
      </c>
      <c r="P14" t="s">
        <v>258</v>
      </c>
      <c r="Q14">
        <v>1</v>
      </c>
      <c r="W14">
        <v>0</v>
      </c>
      <c r="X14">
        <v>-185737400</v>
      </c>
      <c r="Y14">
        <v>1.32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1.32</v>
      </c>
      <c r="AU14" t="s">
        <v>3</v>
      </c>
      <c r="AV14">
        <v>2</v>
      </c>
      <c r="AW14">
        <v>2</v>
      </c>
      <c r="AX14">
        <v>30528209</v>
      </c>
      <c r="AY14">
        <v>1</v>
      </c>
      <c r="AZ14">
        <v>0</v>
      </c>
      <c r="BA14">
        <v>13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Y14*Source!I34</f>
        <v>0.39600000000000002</v>
      </c>
      <c r="CY14">
        <f>AD14</f>
        <v>0</v>
      </c>
      <c r="CZ14">
        <f>AH14</f>
        <v>0</v>
      </c>
      <c r="DA14">
        <f>AL14</f>
        <v>1</v>
      </c>
      <c r="DB14">
        <f t="shared" si="3"/>
        <v>0</v>
      </c>
      <c r="DC14">
        <f t="shared" si="4"/>
        <v>0</v>
      </c>
    </row>
    <row r="15" spans="1:107" x14ac:dyDescent="0.2">
      <c r="A15">
        <f>ROW(Source!A34)</f>
        <v>34</v>
      </c>
      <c r="B15">
        <v>30528041</v>
      </c>
      <c r="C15">
        <v>30528192</v>
      </c>
      <c r="D15">
        <v>23124316</v>
      </c>
      <c r="E15">
        <v>1</v>
      </c>
      <c r="F15">
        <v>1</v>
      </c>
      <c r="G15">
        <v>1</v>
      </c>
      <c r="H15">
        <v>2</v>
      </c>
      <c r="I15" t="s">
        <v>259</v>
      </c>
      <c r="J15" t="s">
        <v>260</v>
      </c>
      <c r="K15" t="s">
        <v>261</v>
      </c>
      <c r="L15">
        <v>1368</v>
      </c>
      <c r="N15">
        <v>1011</v>
      </c>
      <c r="O15" t="s">
        <v>262</v>
      </c>
      <c r="P15" t="s">
        <v>262</v>
      </c>
      <c r="Q15">
        <v>1</v>
      </c>
      <c r="W15">
        <v>0</v>
      </c>
      <c r="X15">
        <v>256190746</v>
      </c>
      <c r="Y15">
        <v>1.32</v>
      </c>
      <c r="AA15">
        <v>0</v>
      </c>
      <c r="AB15">
        <v>1030.6199999999999</v>
      </c>
      <c r="AC15">
        <v>235.85</v>
      </c>
      <c r="AD15">
        <v>0</v>
      </c>
      <c r="AE15">
        <v>0</v>
      </c>
      <c r="AF15">
        <v>139.65</v>
      </c>
      <c r="AG15">
        <v>13.5</v>
      </c>
      <c r="AH15">
        <v>0</v>
      </c>
      <c r="AI15">
        <v>1</v>
      </c>
      <c r="AJ15">
        <v>7.38</v>
      </c>
      <c r="AK15">
        <v>17.47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1.32</v>
      </c>
      <c r="AU15" t="s">
        <v>3</v>
      </c>
      <c r="AV15">
        <v>0</v>
      </c>
      <c r="AW15">
        <v>2</v>
      </c>
      <c r="AX15">
        <v>30528210</v>
      </c>
      <c r="AY15">
        <v>1</v>
      </c>
      <c r="AZ15">
        <v>0</v>
      </c>
      <c r="BA15">
        <v>14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0.39600000000000002</v>
      </c>
      <c r="CY15">
        <f>AB15</f>
        <v>1030.6199999999999</v>
      </c>
      <c r="CZ15">
        <f>AF15</f>
        <v>139.65</v>
      </c>
      <c r="DA15">
        <f>AJ15</f>
        <v>7.38</v>
      </c>
      <c r="DB15">
        <f t="shared" si="3"/>
        <v>184.34</v>
      </c>
      <c r="DC15">
        <f t="shared" si="4"/>
        <v>17.82</v>
      </c>
    </row>
    <row r="16" spans="1:107" x14ac:dyDescent="0.2">
      <c r="A16">
        <f>ROW(Source!A34)</f>
        <v>34</v>
      </c>
      <c r="B16">
        <v>30528041</v>
      </c>
      <c r="C16">
        <v>30528192</v>
      </c>
      <c r="D16">
        <v>23124412</v>
      </c>
      <c r="E16">
        <v>1</v>
      </c>
      <c r="F16">
        <v>1</v>
      </c>
      <c r="G16">
        <v>1</v>
      </c>
      <c r="H16">
        <v>2</v>
      </c>
      <c r="I16" t="s">
        <v>263</v>
      </c>
      <c r="J16" t="s">
        <v>264</v>
      </c>
      <c r="K16" t="s">
        <v>265</v>
      </c>
      <c r="L16">
        <v>1368</v>
      </c>
      <c r="N16">
        <v>1011</v>
      </c>
      <c r="O16" t="s">
        <v>262</v>
      </c>
      <c r="P16" t="s">
        <v>262</v>
      </c>
      <c r="Q16">
        <v>1</v>
      </c>
      <c r="W16">
        <v>0</v>
      </c>
      <c r="X16">
        <v>1590071772</v>
      </c>
      <c r="Y16">
        <v>3.97</v>
      </c>
      <c r="AA16">
        <v>0</v>
      </c>
      <c r="AB16">
        <v>3.58</v>
      </c>
      <c r="AC16">
        <v>0</v>
      </c>
      <c r="AD16">
        <v>0</v>
      </c>
      <c r="AE16">
        <v>0</v>
      </c>
      <c r="AF16">
        <v>1.1000000000000001</v>
      </c>
      <c r="AG16">
        <v>0</v>
      </c>
      <c r="AH16">
        <v>0</v>
      </c>
      <c r="AI16">
        <v>1</v>
      </c>
      <c r="AJ16">
        <v>3.25</v>
      </c>
      <c r="AK16">
        <v>17.47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3.97</v>
      </c>
      <c r="AU16" t="s">
        <v>3</v>
      </c>
      <c r="AV16">
        <v>0</v>
      </c>
      <c r="AW16">
        <v>2</v>
      </c>
      <c r="AX16">
        <v>30528211</v>
      </c>
      <c r="AY16">
        <v>1</v>
      </c>
      <c r="AZ16">
        <v>0</v>
      </c>
      <c r="BA16">
        <v>15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1.1910000000000001</v>
      </c>
      <c r="CY16">
        <f>AB16</f>
        <v>3.58</v>
      </c>
      <c r="CZ16">
        <f>AF16</f>
        <v>1.1000000000000001</v>
      </c>
      <c r="DA16">
        <f>AJ16</f>
        <v>3.25</v>
      </c>
      <c r="DB16">
        <f t="shared" si="3"/>
        <v>4.37</v>
      </c>
      <c r="DC16">
        <f t="shared" si="4"/>
        <v>0</v>
      </c>
    </row>
    <row r="17" spans="1:107" x14ac:dyDescent="0.2">
      <c r="A17">
        <f>ROW(Source!A34)</f>
        <v>34</v>
      </c>
      <c r="B17">
        <v>30528041</v>
      </c>
      <c r="C17">
        <v>30528192</v>
      </c>
      <c r="D17">
        <v>23124426</v>
      </c>
      <c r="E17">
        <v>1</v>
      </c>
      <c r="F17">
        <v>1</v>
      </c>
      <c r="G17">
        <v>1</v>
      </c>
      <c r="H17">
        <v>2</v>
      </c>
      <c r="I17" t="s">
        <v>266</v>
      </c>
      <c r="J17" t="s">
        <v>267</v>
      </c>
      <c r="K17" t="s">
        <v>268</v>
      </c>
      <c r="L17">
        <v>1368</v>
      </c>
      <c r="N17">
        <v>1011</v>
      </c>
      <c r="O17" t="s">
        <v>262</v>
      </c>
      <c r="P17" t="s">
        <v>262</v>
      </c>
      <c r="Q17">
        <v>1</v>
      </c>
      <c r="W17">
        <v>0</v>
      </c>
      <c r="X17">
        <v>-1885440168</v>
      </c>
      <c r="Y17">
        <v>3.97</v>
      </c>
      <c r="AA17">
        <v>0</v>
      </c>
      <c r="AB17">
        <v>23.8</v>
      </c>
      <c r="AC17">
        <v>0</v>
      </c>
      <c r="AD17">
        <v>0</v>
      </c>
      <c r="AE17">
        <v>0</v>
      </c>
      <c r="AF17">
        <v>6.33</v>
      </c>
      <c r="AG17">
        <v>0</v>
      </c>
      <c r="AH17">
        <v>0</v>
      </c>
      <c r="AI17">
        <v>1</v>
      </c>
      <c r="AJ17">
        <v>3.76</v>
      </c>
      <c r="AK17">
        <v>17.47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3.97</v>
      </c>
      <c r="AU17" t="s">
        <v>3</v>
      </c>
      <c r="AV17">
        <v>0</v>
      </c>
      <c r="AW17">
        <v>2</v>
      </c>
      <c r="AX17">
        <v>30528212</v>
      </c>
      <c r="AY17">
        <v>1</v>
      </c>
      <c r="AZ17">
        <v>0</v>
      </c>
      <c r="BA17">
        <v>16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1.1910000000000001</v>
      </c>
      <c r="CY17">
        <f>AB17</f>
        <v>23.8</v>
      </c>
      <c r="CZ17">
        <f>AF17</f>
        <v>6.33</v>
      </c>
      <c r="DA17">
        <f>AJ17</f>
        <v>3.76</v>
      </c>
      <c r="DB17">
        <f t="shared" si="3"/>
        <v>25.13</v>
      </c>
      <c r="DC17">
        <f t="shared" si="4"/>
        <v>0</v>
      </c>
    </row>
    <row r="18" spans="1:107" x14ac:dyDescent="0.2">
      <c r="A18">
        <f>ROW(Source!A34)</f>
        <v>34</v>
      </c>
      <c r="B18">
        <v>30528041</v>
      </c>
      <c r="C18">
        <v>30528192</v>
      </c>
      <c r="D18">
        <v>23126170</v>
      </c>
      <c r="E18">
        <v>1</v>
      </c>
      <c r="F18">
        <v>1</v>
      </c>
      <c r="G18">
        <v>1</v>
      </c>
      <c r="H18">
        <v>2</v>
      </c>
      <c r="I18" t="s">
        <v>269</v>
      </c>
      <c r="J18" t="s">
        <v>270</v>
      </c>
      <c r="K18" t="s">
        <v>271</v>
      </c>
      <c r="L18">
        <v>1368</v>
      </c>
      <c r="N18">
        <v>1011</v>
      </c>
      <c r="O18" t="s">
        <v>262</v>
      </c>
      <c r="P18" t="s">
        <v>262</v>
      </c>
      <c r="Q18">
        <v>1</v>
      </c>
      <c r="W18">
        <v>0</v>
      </c>
      <c r="X18">
        <v>1249889143</v>
      </c>
      <c r="Y18">
        <v>1.32</v>
      </c>
      <c r="AA18">
        <v>0</v>
      </c>
      <c r="AB18">
        <v>790.17</v>
      </c>
      <c r="AC18">
        <v>0</v>
      </c>
      <c r="AD18">
        <v>0</v>
      </c>
      <c r="AE18">
        <v>0</v>
      </c>
      <c r="AF18">
        <v>84.33</v>
      </c>
      <c r="AG18">
        <v>0</v>
      </c>
      <c r="AH18">
        <v>0</v>
      </c>
      <c r="AI18">
        <v>1</v>
      </c>
      <c r="AJ18">
        <v>9.3699999999999992</v>
      </c>
      <c r="AK18">
        <v>17.47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1.32</v>
      </c>
      <c r="AU18" t="s">
        <v>3</v>
      </c>
      <c r="AV18">
        <v>0</v>
      </c>
      <c r="AW18">
        <v>2</v>
      </c>
      <c r="AX18">
        <v>30528213</v>
      </c>
      <c r="AY18">
        <v>1</v>
      </c>
      <c r="AZ18">
        <v>0</v>
      </c>
      <c r="BA18">
        <v>17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Y18*Source!I34</f>
        <v>0.39600000000000002</v>
      </c>
      <c r="CY18">
        <f>AB18</f>
        <v>790.17</v>
      </c>
      <c r="CZ18">
        <f>AF18</f>
        <v>84.33</v>
      </c>
      <c r="DA18">
        <f>AJ18</f>
        <v>9.3699999999999992</v>
      </c>
      <c r="DB18">
        <f t="shared" si="3"/>
        <v>111.32</v>
      </c>
      <c r="DC18">
        <f t="shared" si="4"/>
        <v>0</v>
      </c>
    </row>
    <row r="19" spans="1:107" x14ac:dyDescent="0.2">
      <c r="A19">
        <f>ROW(Source!A34)</f>
        <v>34</v>
      </c>
      <c r="B19">
        <v>30528041</v>
      </c>
      <c r="C19">
        <v>30528192</v>
      </c>
      <c r="D19">
        <v>23102071</v>
      </c>
      <c r="E19">
        <v>1</v>
      </c>
      <c r="F19">
        <v>1</v>
      </c>
      <c r="G19">
        <v>1</v>
      </c>
      <c r="H19">
        <v>3</v>
      </c>
      <c r="I19" t="s">
        <v>272</v>
      </c>
      <c r="J19" t="s">
        <v>273</v>
      </c>
      <c r="K19" t="s">
        <v>274</v>
      </c>
      <c r="L19">
        <v>1348</v>
      </c>
      <c r="N19">
        <v>1009</v>
      </c>
      <c r="O19" t="s">
        <v>245</v>
      </c>
      <c r="P19" t="s">
        <v>245</v>
      </c>
      <c r="Q19">
        <v>1000</v>
      </c>
      <c r="W19">
        <v>0</v>
      </c>
      <c r="X19">
        <v>530697681</v>
      </c>
      <c r="Y19">
        <v>0.01</v>
      </c>
      <c r="AA19">
        <v>38326.339999999997</v>
      </c>
      <c r="AB19">
        <v>0</v>
      </c>
      <c r="AC19">
        <v>0</v>
      </c>
      <c r="AD19">
        <v>0</v>
      </c>
      <c r="AE19">
        <v>4156.87</v>
      </c>
      <c r="AF19">
        <v>0</v>
      </c>
      <c r="AG19">
        <v>0</v>
      </c>
      <c r="AH19">
        <v>0</v>
      </c>
      <c r="AI19">
        <v>9.2200000000000006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0.01</v>
      </c>
      <c r="AU19" t="s">
        <v>3</v>
      </c>
      <c r="AV19">
        <v>0</v>
      </c>
      <c r="AW19">
        <v>2</v>
      </c>
      <c r="AX19">
        <v>30528214</v>
      </c>
      <c r="AY19">
        <v>1</v>
      </c>
      <c r="AZ19">
        <v>0</v>
      </c>
      <c r="BA19">
        <v>18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3.0000000000000001E-3</v>
      </c>
      <c r="CY19">
        <f t="shared" ref="CY19:CY25" si="5">AA19</f>
        <v>38326.339999999997</v>
      </c>
      <c r="CZ19">
        <f t="shared" ref="CZ19:CZ25" si="6">AE19</f>
        <v>4156.87</v>
      </c>
      <c r="DA19">
        <f t="shared" ref="DA19:DA25" si="7">AI19</f>
        <v>9.2200000000000006</v>
      </c>
      <c r="DB19">
        <f t="shared" si="3"/>
        <v>41.57</v>
      </c>
      <c r="DC19">
        <f t="shared" si="4"/>
        <v>0</v>
      </c>
    </row>
    <row r="20" spans="1:107" x14ac:dyDescent="0.2">
      <c r="A20">
        <f>ROW(Source!A34)</f>
        <v>34</v>
      </c>
      <c r="B20">
        <v>30528041</v>
      </c>
      <c r="C20">
        <v>30528192</v>
      </c>
      <c r="D20">
        <v>23102138</v>
      </c>
      <c r="E20">
        <v>1</v>
      </c>
      <c r="F20">
        <v>1</v>
      </c>
      <c r="G20">
        <v>1</v>
      </c>
      <c r="H20">
        <v>3</v>
      </c>
      <c r="I20" t="s">
        <v>275</v>
      </c>
      <c r="J20" t="s">
        <v>276</v>
      </c>
      <c r="K20" t="s">
        <v>277</v>
      </c>
      <c r="L20">
        <v>1348</v>
      </c>
      <c r="N20">
        <v>1009</v>
      </c>
      <c r="O20" t="s">
        <v>245</v>
      </c>
      <c r="P20" t="s">
        <v>245</v>
      </c>
      <c r="Q20">
        <v>1000</v>
      </c>
      <c r="W20">
        <v>0</v>
      </c>
      <c r="X20">
        <v>175752974</v>
      </c>
      <c r="Y20">
        <v>1E-3</v>
      </c>
      <c r="AA20">
        <v>34146.5</v>
      </c>
      <c r="AB20">
        <v>0</v>
      </c>
      <c r="AC20">
        <v>0</v>
      </c>
      <c r="AD20">
        <v>0</v>
      </c>
      <c r="AE20">
        <v>4498.88</v>
      </c>
      <c r="AF20">
        <v>0</v>
      </c>
      <c r="AG20">
        <v>0</v>
      </c>
      <c r="AH20">
        <v>0</v>
      </c>
      <c r="AI20">
        <v>7.59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1E-3</v>
      </c>
      <c r="AU20" t="s">
        <v>3</v>
      </c>
      <c r="AV20">
        <v>0</v>
      </c>
      <c r="AW20">
        <v>2</v>
      </c>
      <c r="AX20">
        <v>30528215</v>
      </c>
      <c r="AY20">
        <v>1</v>
      </c>
      <c r="AZ20">
        <v>0</v>
      </c>
      <c r="BA20">
        <v>19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2.9999999999999997E-4</v>
      </c>
      <c r="CY20">
        <f t="shared" si="5"/>
        <v>34146.5</v>
      </c>
      <c r="CZ20">
        <f t="shared" si="6"/>
        <v>4498.88</v>
      </c>
      <c r="DA20">
        <f t="shared" si="7"/>
        <v>7.59</v>
      </c>
      <c r="DB20">
        <f t="shared" si="3"/>
        <v>4.5</v>
      </c>
      <c r="DC20">
        <f t="shared" si="4"/>
        <v>0</v>
      </c>
    </row>
    <row r="21" spans="1:107" x14ac:dyDescent="0.2">
      <c r="A21">
        <f>ROW(Source!A34)</f>
        <v>34</v>
      </c>
      <c r="B21">
        <v>30528041</v>
      </c>
      <c r="C21">
        <v>30528192</v>
      </c>
      <c r="D21">
        <v>23097257</v>
      </c>
      <c r="E21">
        <v>1</v>
      </c>
      <c r="F21">
        <v>1</v>
      </c>
      <c r="G21">
        <v>1</v>
      </c>
      <c r="H21">
        <v>3</v>
      </c>
      <c r="I21" t="s">
        <v>278</v>
      </c>
      <c r="J21" t="s">
        <v>279</v>
      </c>
      <c r="K21" t="s">
        <v>280</v>
      </c>
      <c r="L21">
        <v>1346</v>
      </c>
      <c r="N21">
        <v>1009</v>
      </c>
      <c r="O21" t="s">
        <v>281</v>
      </c>
      <c r="P21" t="s">
        <v>281</v>
      </c>
      <c r="Q21">
        <v>1</v>
      </c>
      <c r="W21">
        <v>0</v>
      </c>
      <c r="X21">
        <v>-571519635</v>
      </c>
      <c r="Y21">
        <v>0.25</v>
      </c>
      <c r="AA21">
        <v>105.35</v>
      </c>
      <c r="AB21">
        <v>0</v>
      </c>
      <c r="AC21">
        <v>0</v>
      </c>
      <c r="AD21">
        <v>0</v>
      </c>
      <c r="AE21">
        <v>27.65</v>
      </c>
      <c r="AF21">
        <v>0</v>
      </c>
      <c r="AG21">
        <v>0</v>
      </c>
      <c r="AH21">
        <v>0</v>
      </c>
      <c r="AI21">
        <v>3.81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0.25</v>
      </c>
      <c r="AU21" t="s">
        <v>3</v>
      </c>
      <c r="AV21">
        <v>0</v>
      </c>
      <c r="AW21">
        <v>2</v>
      </c>
      <c r="AX21">
        <v>30528216</v>
      </c>
      <c r="AY21">
        <v>1</v>
      </c>
      <c r="AZ21">
        <v>0</v>
      </c>
      <c r="BA21">
        <v>20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Y21*Source!I34</f>
        <v>7.4999999999999997E-2</v>
      </c>
      <c r="CY21">
        <f t="shared" si="5"/>
        <v>105.35</v>
      </c>
      <c r="CZ21">
        <f t="shared" si="6"/>
        <v>27.65</v>
      </c>
      <c r="DA21">
        <f t="shared" si="7"/>
        <v>3.81</v>
      </c>
      <c r="DB21">
        <f t="shared" si="3"/>
        <v>6.91</v>
      </c>
      <c r="DC21">
        <f t="shared" si="4"/>
        <v>0</v>
      </c>
    </row>
    <row r="22" spans="1:107" x14ac:dyDescent="0.2">
      <c r="A22">
        <f>ROW(Source!A34)</f>
        <v>34</v>
      </c>
      <c r="B22">
        <v>30528041</v>
      </c>
      <c r="C22">
        <v>30528192</v>
      </c>
      <c r="D22">
        <v>23097812</v>
      </c>
      <c r="E22">
        <v>1</v>
      </c>
      <c r="F22">
        <v>1</v>
      </c>
      <c r="G22">
        <v>1</v>
      </c>
      <c r="H22">
        <v>3</v>
      </c>
      <c r="I22" t="s">
        <v>246</v>
      </c>
      <c r="J22" t="s">
        <v>247</v>
      </c>
      <c r="K22" t="s">
        <v>248</v>
      </c>
      <c r="L22">
        <v>1308</v>
      </c>
      <c r="N22">
        <v>1003</v>
      </c>
      <c r="O22" t="s">
        <v>249</v>
      </c>
      <c r="P22" t="s">
        <v>249</v>
      </c>
      <c r="Q22">
        <v>100</v>
      </c>
      <c r="W22">
        <v>0</v>
      </c>
      <c r="X22">
        <v>-1390721167</v>
      </c>
      <c r="Y22">
        <v>9.5999999999999992E-3</v>
      </c>
      <c r="AA22">
        <v>635.57000000000005</v>
      </c>
      <c r="AB22">
        <v>0</v>
      </c>
      <c r="AC22">
        <v>0</v>
      </c>
      <c r="AD22">
        <v>0</v>
      </c>
      <c r="AE22">
        <v>112.69</v>
      </c>
      <c r="AF22">
        <v>0</v>
      </c>
      <c r="AG22">
        <v>0</v>
      </c>
      <c r="AH22">
        <v>0</v>
      </c>
      <c r="AI22">
        <v>5.64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9.5999999999999992E-3</v>
      </c>
      <c r="AU22" t="s">
        <v>3</v>
      </c>
      <c r="AV22">
        <v>0</v>
      </c>
      <c r="AW22">
        <v>2</v>
      </c>
      <c r="AX22">
        <v>30528217</v>
      </c>
      <c r="AY22">
        <v>1</v>
      </c>
      <c r="AZ22">
        <v>0</v>
      </c>
      <c r="BA22">
        <v>21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Y22*Source!I34</f>
        <v>2.8799999999999997E-3</v>
      </c>
      <c r="CY22">
        <f t="shared" si="5"/>
        <v>635.57000000000005</v>
      </c>
      <c r="CZ22">
        <f t="shared" si="6"/>
        <v>112.69</v>
      </c>
      <c r="DA22">
        <f t="shared" si="7"/>
        <v>5.64</v>
      </c>
      <c r="DB22">
        <f t="shared" si="3"/>
        <v>1.08</v>
      </c>
      <c r="DC22">
        <f t="shared" si="4"/>
        <v>0</v>
      </c>
    </row>
    <row r="23" spans="1:107" x14ac:dyDescent="0.2">
      <c r="A23">
        <f>ROW(Source!A34)</f>
        <v>34</v>
      </c>
      <c r="B23">
        <v>30528041</v>
      </c>
      <c r="C23">
        <v>30528192</v>
      </c>
      <c r="D23">
        <v>23116021</v>
      </c>
      <c r="E23">
        <v>1</v>
      </c>
      <c r="F23">
        <v>1</v>
      </c>
      <c r="G23">
        <v>1</v>
      </c>
      <c r="H23">
        <v>3</v>
      </c>
      <c r="I23" t="s">
        <v>282</v>
      </c>
      <c r="J23" t="s">
        <v>283</v>
      </c>
      <c r="K23" t="s">
        <v>284</v>
      </c>
      <c r="L23">
        <v>1348</v>
      </c>
      <c r="N23">
        <v>1009</v>
      </c>
      <c r="O23" t="s">
        <v>245</v>
      </c>
      <c r="P23" t="s">
        <v>245</v>
      </c>
      <c r="Q23">
        <v>1000</v>
      </c>
      <c r="W23">
        <v>0</v>
      </c>
      <c r="X23">
        <v>-1884451887</v>
      </c>
      <c r="Y23">
        <v>6.0000000000000002E-5</v>
      </c>
      <c r="AA23">
        <v>44322.48</v>
      </c>
      <c r="AB23">
        <v>0</v>
      </c>
      <c r="AC23">
        <v>0</v>
      </c>
      <c r="AD23">
        <v>0</v>
      </c>
      <c r="AE23">
        <v>7789.54</v>
      </c>
      <c r="AF23">
        <v>0</v>
      </c>
      <c r="AG23">
        <v>0</v>
      </c>
      <c r="AH23">
        <v>0</v>
      </c>
      <c r="AI23">
        <v>5.69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3</v>
      </c>
      <c r="AT23">
        <v>6.0000000000000002E-5</v>
      </c>
      <c r="AU23" t="s">
        <v>3</v>
      </c>
      <c r="AV23">
        <v>0</v>
      </c>
      <c r="AW23">
        <v>2</v>
      </c>
      <c r="AX23">
        <v>30528218</v>
      </c>
      <c r="AY23">
        <v>1</v>
      </c>
      <c r="AZ23">
        <v>0</v>
      </c>
      <c r="BA23">
        <v>22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Y23*Source!I34</f>
        <v>1.8E-5</v>
      </c>
      <c r="CY23">
        <f t="shared" si="5"/>
        <v>44322.48</v>
      </c>
      <c r="CZ23">
        <f t="shared" si="6"/>
        <v>7789.54</v>
      </c>
      <c r="DA23">
        <f t="shared" si="7"/>
        <v>5.69</v>
      </c>
      <c r="DB23">
        <f t="shared" si="3"/>
        <v>0.47</v>
      </c>
      <c r="DC23">
        <f t="shared" si="4"/>
        <v>0</v>
      </c>
    </row>
    <row r="24" spans="1:107" x14ac:dyDescent="0.2">
      <c r="A24">
        <f>ROW(Source!A34)</f>
        <v>34</v>
      </c>
      <c r="B24">
        <v>30528041</v>
      </c>
      <c r="C24">
        <v>30528192</v>
      </c>
      <c r="D24">
        <v>23159151</v>
      </c>
      <c r="E24">
        <v>1</v>
      </c>
      <c r="F24">
        <v>1</v>
      </c>
      <c r="G24">
        <v>1</v>
      </c>
      <c r="H24">
        <v>3</v>
      </c>
      <c r="I24" t="s">
        <v>67</v>
      </c>
      <c r="J24" t="s">
        <v>70</v>
      </c>
      <c r="K24" t="s">
        <v>68</v>
      </c>
      <c r="L24">
        <v>1477</v>
      </c>
      <c r="N24">
        <v>1013</v>
      </c>
      <c r="O24" t="s">
        <v>69</v>
      </c>
      <c r="P24" t="s">
        <v>71</v>
      </c>
      <c r="Q24">
        <v>1</v>
      </c>
      <c r="W24">
        <v>0</v>
      </c>
      <c r="X24">
        <v>2068180100</v>
      </c>
      <c r="Y24">
        <v>0.1</v>
      </c>
      <c r="AA24">
        <v>512178.69</v>
      </c>
      <c r="AB24">
        <v>0</v>
      </c>
      <c r="AC24">
        <v>0</v>
      </c>
      <c r="AD24">
        <v>0</v>
      </c>
      <c r="AE24">
        <v>106261.14</v>
      </c>
      <c r="AF24">
        <v>0</v>
      </c>
      <c r="AG24">
        <v>0</v>
      </c>
      <c r="AH24">
        <v>0</v>
      </c>
      <c r="AI24">
        <v>4.82</v>
      </c>
      <c r="AJ24">
        <v>1</v>
      </c>
      <c r="AK24">
        <v>1</v>
      </c>
      <c r="AL24">
        <v>1</v>
      </c>
      <c r="AN24">
        <v>0</v>
      </c>
      <c r="AO24">
        <v>0</v>
      </c>
      <c r="AP24">
        <v>0</v>
      </c>
      <c r="AQ24">
        <v>0</v>
      </c>
      <c r="AR24">
        <v>0</v>
      </c>
      <c r="AS24" t="s">
        <v>3</v>
      </c>
      <c r="AT24">
        <v>0.1</v>
      </c>
      <c r="AU24" t="s">
        <v>3</v>
      </c>
      <c r="AV24">
        <v>0</v>
      </c>
      <c r="AW24">
        <v>1</v>
      </c>
      <c r="AX24">
        <v>-1</v>
      </c>
      <c r="AY24">
        <v>0</v>
      </c>
      <c r="AZ24">
        <v>0</v>
      </c>
      <c r="BA24" t="s">
        <v>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Y24*Source!I34</f>
        <v>0.03</v>
      </c>
      <c r="CY24">
        <f t="shared" si="5"/>
        <v>512178.69</v>
      </c>
      <c r="CZ24">
        <f t="shared" si="6"/>
        <v>106261.14</v>
      </c>
      <c r="DA24">
        <f t="shared" si="7"/>
        <v>4.82</v>
      </c>
      <c r="DB24">
        <f t="shared" si="3"/>
        <v>10626.11</v>
      </c>
      <c r="DC24">
        <f t="shared" si="4"/>
        <v>0</v>
      </c>
    </row>
    <row r="25" spans="1:107" x14ac:dyDescent="0.2">
      <c r="A25">
        <f>ROW(Source!A34)</f>
        <v>34</v>
      </c>
      <c r="B25">
        <v>30528041</v>
      </c>
      <c r="C25">
        <v>30528192</v>
      </c>
      <c r="D25">
        <v>23190308</v>
      </c>
      <c r="E25">
        <v>1</v>
      </c>
      <c r="F25">
        <v>1</v>
      </c>
      <c r="G25">
        <v>1</v>
      </c>
      <c r="H25">
        <v>3</v>
      </c>
      <c r="I25" t="s">
        <v>253</v>
      </c>
      <c r="J25" t="s">
        <v>254</v>
      </c>
      <c r="K25" t="s">
        <v>255</v>
      </c>
      <c r="L25">
        <v>1374</v>
      </c>
      <c r="N25">
        <v>1013</v>
      </c>
      <c r="O25" t="s">
        <v>256</v>
      </c>
      <c r="P25" t="s">
        <v>256</v>
      </c>
      <c r="Q25">
        <v>1</v>
      </c>
      <c r="W25">
        <v>0</v>
      </c>
      <c r="X25">
        <v>-975427110</v>
      </c>
      <c r="Y25">
        <v>3.36</v>
      </c>
      <c r="AA25">
        <v>1</v>
      </c>
      <c r="AB25">
        <v>0</v>
      </c>
      <c r="AC25">
        <v>0</v>
      </c>
      <c r="AD25">
        <v>0</v>
      </c>
      <c r="AE25">
        <v>1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3.36</v>
      </c>
      <c r="AU25" t="s">
        <v>3</v>
      </c>
      <c r="AV25">
        <v>0</v>
      </c>
      <c r="AW25">
        <v>2</v>
      </c>
      <c r="AX25">
        <v>30528219</v>
      </c>
      <c r="AY25">
        <v>1</v>
      </c>
      <c r="AZ25">
        <v>0</v>
      </c>
      <c r="BA25">
        <v>23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Y25*Source!I34</f>
        <v>1.008</v>
      </c>
      <c r="CY25">
        <f t="shared" si="5"/>
        <v>1</v>
      </c>
      <c r="CZ25">
        <f t="shared" si="6"/>
        <v>1</v>
      </c>
      <c r="DA25">
        <f t="shared" si="7"/>
        <v>1</v>
      </c>
      <c r="DB25">
        <f t="shared" si="3"/>
        <v>3.36</v>
      </c>
      <c r="DC25">
        <f t="shared" si="4"/>
        <v>0</v>
      </c>
    </row>
    <row r="26" spans="1:107" x14ac:dyDescent="0.2">
      <c r="A26">
        <f>ROW(Source!A36)</f>
        <v>36</v>
      </c>
      <c r="B26">
        <v>30528041</v>
      </c>
      <c r="C26">
        <v>30528223</v>
      </c>
      <c r="D26">
        <v>23644890</v>
      </c>
      <c r="E26">
        <v>1</v>
      </c>
      <c r="F26">
        <v>1</v>
      </c>
      <c r="G26">
        <v>1</v>
      </c>
      <c r="H26">
        <v>1</v>
      </c>
      <c r="I26" t="s">
        <v>285</v>
      </c>
      <c r="J26" t="s">
        <v>3</v>
      </c>
      <c r="K26" t="s">
        <v>286</v>
      </c>
      <c r="L26">
        <v>1369</v>
      </c>
      <c r="N26">
        <v>1013</v>
      </c>
      <c r="O26" t="s">
        <v>237</v>
      </c>
      <c r="P26" t="s">
        <v>237</v>
      </c>
      <c r="Q26">
        <v>1</v>
      </c>
      <c r="W26">
        <v>0</v>
      </c>
      <c r="X26">
        <v>-390413327</v>
      </c>
      <c r="Y26">
        <v>1.94</v>
      </c>
      <c r="AA26">
        <v>0</v>
      </c>
      <c r="AB26">
        <v>0</v>
      </c>
      <c r="AC26">
        <v>0</v>
      </c>
      <c r="AD26">
        <v>9.6199999999999992</v>
      </c>
      <c r="AE26">
        <v>0</v>
      </c>
      <c r="AF26">
        <v>0</v>
      </c>
      <c r="AG26">
        <v>0</v>
      </c>
      <c r="AH26">
        <v>9.6199999999999992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1.94</v>
      </c>
      <c r="AU26" t="s">
        <v>3</v>
      </c>
      <c r="AV26">
        <v>1</v>
      </c>
      <c r="AW26">
        <v>2</v>
      </c>
      <c r="AX26">
        <v>30528226</v>
      </c>
      <c r="AY26">
        <v>1</v>
      </c>
      <c r="AZ26">
        <v>0</v>
      </c>
      <c r="BA26">
        <v>24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Y26*Source!I36</f>
        <v>7.76</v>
      </c>
      <c r="CY26">
        <f t="shared" ref="CY26:CY31" si="8">AD26</f>
        <v>9.6199999999999992</v>
      </c>
      <c r="CZ26">
        <f t="shared" ref="CZ26:CZ31" si="9">AH26</f>
        <v>9.6199999999999992</v>
      </c>
      <c r="DA26">
        <f t="shared" ref="DA26:DA31" si="10">AL26</f>
        <v>1</v>
      </c>
      <c r="DB26">
        <f t="shared" si="3"/>
        <v>18.66</v>
      </c>
      <c r="DC26">
        <f t="shared" si="4"/>
        <v>0</v>
      </c>
    </row>
    <row r="27" spans="1:107" x14ac:dyDescent="0.2">
      <c r="A27">
        <f>ROW(Source!A36)</f>
        <v>36</v>
      </c>
      <c r="B27">
        <v>30528041</v>
      </c>
      <c r="C27">
        <v>30528223</v>
      </c>
      <c r="D27">
        <v>23644644</v>
      </c>
      <c r="E27">
        <v>1</v>
      </c>
      <c r="F27">
        <v>1</v>
      </c>
      <c r="G27">
        <v>1</v>
      </c>
      <c r="H27">
        <v>1</v>
      </c>
      <c r="I27" t="s">
        <v>238</v>
      </c>
      <c r="J27" t="s">
        <v>3</v>
      </c>
      <c r="K27" t="s">
        <v>239</v>
      </c>
      <c r="L27">
        <v>1369</v>
      </c>
      <c r="N27">
        <v>1013</v>
      </c>
      <c r="O27" t="s">
        <v>237</v>
      </c>
      <c r="P27" t="s">
        <v>237</v>
      </c>
      <c r="Q27">
        <v>1</v>
      </c>
      <c r="W27">
        <v>0</v>
      </c>
      <c r="X27">
        <v>-958407747</v>
      </c>
      <c r="Y27">
        <v>2.92</v>
      </c>
      <c r="AA27">
        <v>0</v>
      </c>
      <c r="AB27">
        <v>0</v>
      </c>
      <c r="AC27">
        <v>0</v>
      </c>
      <c r="AD27">
        <v>12.69</v>
      </c>
      <c r="AE27">
        <v>0</v>
      </c>
      <c r="AF27">
        <v>0</v>
      </c>
      <c r="AG27">
        <v>0</v>
      </c>
      <c r="AH27">
        <v>12.69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2.92</v>
      </c>
      <c r="AU27" t="s">
        <v>3</v>
      </c>
      <c r="AV27">
        <v>1</v>
      </c>
      <c r="AW27">
        <v>2</v>
      </c>
      <c r="AX27">
        <v>30528227</v>
      </c>
      <c r="AY27">
        <v>1</v>
      </c>
      <c r="AZ27">
        <v>0</v>
      </c>
      <c r="BA27">
        <v>25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Y27*Source!I36</f>
        <v>11.68</v>
      </c>
      <c r="CY27">
        <f t="shared" si="8"/>
        <v>12.69</v>
      </c>
      <c r="CZ27">
        <f t="shared" si="9"/>
        <v>12.69</v>
      </c>
      <c r="DA27">
        <f t="shared" si="10"/>
        <v>1</v>
      </c>
      <c r="DB27">
        <f t="shared" si="3"/>
        <v>37.049999999999997</v>
      </c>
      <c r="DC27">
        <f t="shared" si="4"/>
        <v>0</v>
      </c>
    </row>
    <row r="28" spans="1:107" x14ac:dyDescent="0.2">
      <c r="A28">
        <f>ROW(Source!A37)</f>
        <v>37</v>
      </c>
      <c r="B28">
        <v>30528041</v>
      </c>
      <c r="C28">
        <v>30528228</v>
      </c>
      <c r="D28">
        <v>23644890</v>
      </c>
      <c r="E28">
        <v>1</v>
      </c>
      <c r="F28">
        <v>1</v>
      </c>
      <c r="G28">
        <v>1</v>
      </c>
      <c r="H28">
        <v>1</v>
      </c>
      <c r="I28" t="s">
        <v>285</v>
      </c>
      <c r="J28" t="s">
        <v>3</v>
      </c>
      <c r="K28" t="s">
        <v>286</v>
      </c>
      <c r="L28">
        <v>1369</v>
      </c>
      <c r="N28">
        <v>1013</v>
      </c>
      <c r="O28" t="s">
        <v>237</v>
      </c>
      <c r="P28" t="s">
        <v>237</v>
      </c>
      <c r="Q28">
        <v>1</v>
      </c>
      <c r="W28">
        <v>0</v>
      </c>
      <c r="X28">
        <v>-390413327</v>
      </c>
      <c r="Y28">
        <v>0.57999999999999996</v>
      </c>
      <c r="AA28">
        <v>0</v>
      </c>
      <c r="AB28">
        <v>0</v>
      </c>
      <c r="AC28">
        <v>0</v>
      </c>
      <c r="AD28">
        <v>9.6199999999999992</v>
      </c>
      <c r="AE28">
        <v>0</v>
      </c>
      <c r="AF28">
        <v>0</v>
      </c>
      <c r="AG28">
        <v>0</v>
      </c>
      <c r="AH28">
        <v>9.6199999999999992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0.57999999999999996</v>
      </c>
      <c r="AU28" t="s">
        <v>3</v>
      </c>
      <c r="AV28">
        <v>1</v>
      </c>
      <c r="AW28">
        <v>2</v>
      </c>
      <c r="AX28">
        <v>30528231</v>
      </c>
      <c r="AY28">
        <v>1</v>
      </c>
      <c r="AZ28">
        <v>0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Y28*Source!I37</f>
        <v>2.5867999999999998</v>
      </c>
      <c r="CY28">
        <f t="shared" si="8"/>
        <v>9.6199999999999992</v>
      </c>
      <c r="CZ28">
        <f t="shared" si="9"/>
        <v>9.6199999999999992</v>
      </c>
      <c r="DA28">
        <f t="shared" si="10"/>
        <v>1</v>
      </c>
      <c r="DB28">
        <f t="shared" si="3"/>
        <v>5.58</v>
      </c>
      <c r="DC28">
        <f t="shared" si="4"/>
        <v>0</v>
      </c>
    </row>
    <row r="29" spans="1:107" x14ac:dyDescent="0.2">
      <c r="A29">
        <f>ROW(Source!A37)</f>
        <v>37</v>
      </c>
      <c r="B29">
        <v>30528041</v>
      </c>
      <c r="C29">
        <v>30528228</v>
      </c>
      <c r="D29">
        <v>23644644</v>
      </c>
      <c r="E29">
        <v>1</v>
      </c>
      <c r="F29">
        <v>1</v>
      </c>
      <c r="G29">
        <v>1</v>
      </c>
      <c r="H29">
        <v>1</v>
      </c>
      <c r="I29" t="s">
        <v>238</v>
      </c>
      <c r="J29" t="s">
        <v>3</v>
      </c>
      <c r="K29" t="s">
        <v>239</v>
      </c>
      <c r="L29">
        <v>1369</v>
      </c>
      <c r="N29">
        <v>1013</v>
      </c>
      <c r="O29" t="s">
        <v>237</v>
      </c>
      <c r="P29" t="s">
        <v>237</v>
      </c>
      <c r="Q29">
        <v>1</v>
      </c>
      <c r="W29">
        <v>0</v>
      </c>
      <c r="X29">
        <v>-958407747</v>
      </c>
      <c r="Y29">
        <v>0.87</v>
      </c>
      <c r="AA29">
        <v>0</v>
      </c>
      <c r="AB29">
        <v>0</v>
      </c>
      <c r="AC29">
        <v>0</v>
      </c>
      <c r="AD29">
        <v>12.69</v>
      </c>
      <c r="AE29">
        <v>0</v>
      </c>
      <c r="AF29">
        <v>0</v>
      </c>
      <c r="AG29">
        <v>0</v>
      </c>
      <c r="AH29">
        <v>12.69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0.87</v>
      </c>
      <c r="AU29" t="s">
        <v>3</v>
      </c>
      <c r="AV29">
        <v>1</v>
      </c>
      <c r="AW29">
        <v>2</v>
      </c>
      <c r="AX29">
        <v>30528232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Y29*Source!I37</f>
        <v>3.8801999999999999</v>
      </c>
      <c r="CY29">
        <f t="shared" si="8"/>
        <v>12.69</v>
      </c>
      <c r="CZ29">
        <f t="shared" si="9"/>
        <v>12.69</v>
      </c>
      <c r="DA29">
        <f t="shared" si="10"/>
        <v>1</v>
      </c>
      <c r="DB29">
        <f t="shared" si="3"/>
        <v>11.04</v>
      </c>
      <c r="DC29">
        <f t="shared" si="4"/>
        <v>0</v>
      </c>
    </row>
    <row r="30" spans="1:107" x14ac:dyDescent="0.2">
      <c r="A30">
        <f>ROW(Source!A38)</f>
        <v>38</v>
      </c>
      <c r="B30">
        <v>30528041</v>
      </c>
      <c r="C30">
        <v>30528233</v>
      </c>
      <c r="D30">
        <v>23645604</v>
      </c>
      <c r="E30">
        <v>1</v>
      </c>
      <c r="F30">
        <v>1</v>
      </c>
      <c r="G30">
        <v>1</v>
      </c>
      <c r="H30">
        <v>1</v>
      </c>
      <c r="I30" t="s">
        <v>235</v>
      </c>
      <c r="J30" t="s">
        <v>3</v>
      </c>
      <c r="K30" t="s">
        <v>236</v>
      </c>
      <c r="L30">
        <v>1369</v>
      </c>
      <c r="N30">
        <v>1013</v>
      </c>
      <c r="O30" t="s">
        <v>237</v>
      </c>
      <c r="P30" t="s">
        <v>237</v>
      </c>
      <c r="Q30">
        <v>1</v>
      </c>
      <c r="W30">
        <v>0</v>
      </c>
      <c r="X30">
        <v>-1338681994</v>
      </c>
      <c r="Y30">
        <v>0.81</v>
      </c>
      <c r="AA30">
        <v>0</v>
      </c>
      <c r="AB30">
        <v>0</v>
      </c>
      <c r="AC30">
        <v>0</v>
      </c>
      <c r="AD30">
        <v>12.92</v>
      </c>
      <c r="AE30">
        <v>0</v>
      </c>
      <c r="AF30">
        <v>0</v>
      </c>
      <c r="AG30">
        <v>0</v>
      </c>
      <c r="AH30">
        <v>12.92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0.81</v>
      </c>
      <c r="AU30" t="s">
        <v>3</v>
      </c>
      <c r="AV30">
        <v>1</v>
      </c>
      <c r="AW30">
        <v>2</v>
      </c>
      <c r="AX30">
        <v>30528236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1.62</v>
      </c>
      <c r="CY30">
        <f t="shared" si="8"/>
        <v>12.92</v>
      </c>
      <c r="CZ30">
        <f t="shared" si="9"/>
        <v>12.92</v>
      </c>
      <c r="DA30">
        <f t="shared" si="10"/>
        <v>1</v>
      </c>
      <c r="DB30">
        <f t="shared" si="3"/>
        <v>10.47</v>
      </c>
      <c r="DC30">
        <f t="shared" si="4"/>
        <v>0</v>
      </c>
    </row>
    <row r="31" spans="1:107" x14ac:dyDescent="0.2">
      <c r="A31">
        <f>ROW(Source!A38)</f>
        <v>38</v>
      </c>
      <c r="B31">
        <v>30528041</v>
      </c>
      <c r="C31">
        <v>30528233</v>
      </c>
      <c r="D31">
        <v>23644644</v>
      </c>
      <c r="E31">
        <v>1</v>
      </c>
      <c r="F31">
        <v>1</v>
      </c>
      <c r="G31">
        <v>1</v>
      </c>
      <c r="H31">
        <v>1</v>
      </c>
      <c r="I31" t="s">
        <v>238</v>
      </c>
      <c r="J31" t="s">
        <v>3</v>
      </c>
      <c r="K31" t="s">
        <v>239</v>
      </c>
      <c r="L31">
        <v>1369</v>
      </c>
      <c r="N31">
        <v>1013</v>
      </c>
      <c r="O31" t="s">
        <v>237</v>
      </c>
      <c r="P31" t="s">
        <v>237</v>
      </c>
      <c r="Q31">
        <v>1</v>
      </c>
      <c r="W31">
        <v>0</v>
      </c>
      <c r="X31">
        <v>-958407747</v>
      </c>
      <c r="Y31">
        <v>0.81</v>
      </c>
      <c r="AA31">
        <v>0</v>
      </c>
      <c r="AB31">
        <v>0</v>
      </c>
      <c r="AC31">
        <v>0</v>
      </c>
      <c r="AD31">
        <v>12.69</v>
      </c>
      <c r="AE31">
        <v>0</v>
      </c>
      <c r="AF31">
        <v>0</v>
      </c>
      <c r="AG31">
        <v>0</v>
      </c>
      <c r="AH31">
        <v>12.69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0.81</v>
      </c>
      <c r="AU31" t="s">
        <v>3</v>
      </c>
      <c r="AV31">
        <v>1</v>
      </c>
      <c r="AW31">
        <v>2</v>
      </c>
      <c r="AX31">
        <v>30528237</v>
      </c>
      <c r="AY31">
        <v>1</v>
      </c>
      <c r="AZ31">
        <v>0</v>
      </c>
      <c r="BA31">
        <v>29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1.62</v>
      </c>
      <c r="CY31">
        <f t="shared" si="8"/>
        <v>12.69</v>
      </c>
      <c r="CZ31">
        <f t="shared" si="9"/>
        <v>12.69</v>
      </c>
      <c r="DA31">
        <f t="shared" si="10"/>
        <v>1</v>
      </c>
      <c r="DB31">
        <f t="shared" si="3"/>
        <v>10.28</v>
      </c>
      <c r="DC31">
        <f t="shared" si="4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30528165</v>
      </c>
      <c r="C1">
        <v>30528163</v>
      </c>
      <c r="D1">
        <v>23195439</v>
      </c>
      <c r="E1">
        <v>1</v>
      </c>
      <c r="F1">
        <v>1</v>
      </c>
      <c r="G1">
        <v>1</v>
      </c>
      <c r="H1">
        <v>1</v>
      </c>
      <c r="I1" t="s">
        <v>229</v>
      </c>
      <c r="J1" t="s">
        <v>3</v>
      </c>
      <c r="K1" t="s">
        <v>230</v>
      </c>
      <c r="L1">
        <v>1476</v>
      </c>
      <c r="N1">
        <v>1013</v>
      </c>
      <c r="O1" t="s">
        <v>231</v>
      </c>
      <c r="P1" t="s">
        <v>232</v>
      </c>
      <c r="Q1">
        <v>1</v>
      </c>
      <c r="X1">
        <v>189</v>
      </c>
      <c r="Y1">
        <v>0</v>
      </c>
      <c r="Z1">
        <v>0</v>
      </c>
      <c r="AA1">
        <v>0</v>
      </c>
      <c r="AB1">
        <v>8.3800000000000008</v>
      </c>
      <c r="AC1">
        <v>0</v>
      </c>
      <c r="AD1">
        <v>1</v>
      </c>
      <c r="AE1">
        <v>1</v>
      </c>
      <c r="AF1" t="s">
        <v>20</v>
      </c>
      <c r="AG1">
        <v>217.35</v>
      </c>
      <c r="AH1">
        <v>2</v>
      </c>
      <c r="AI1">
        <v>30528164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ROW(Source!A29)</f>
        <v>29</v>
      </c>
      <c r="B2">
        <v>30528168</v>
      </c>
      <c r="C2">
        <v>30528166</v>
      </c>
      <c r="D2">
        <v>23196964</v>
      </c>
      <c r="E2">
        <v>1</v>
      </c>
      <c r="F2">
        <v>1</v>
      </c>
      <c r="G2">
        <v>1</v>
      </c>
      <c r="H2">
        <v>1</v>
      </c>
      <c r="I2" t="s">
        <v>233</v>
      </c>
      <c r="J2" t="s">
        <v>3</v>
      </c>
      <c r="K2" t="s">
        <v>234</v>
      </c>
      <c r="L2">
        <v>1476</v>
      </c>
      <c r="N2">
        <v>1013</v>
      </c>
      <c r="O2" t="s">
        <v>231</v>
      </c>
      <c r="P2" t="s">
        <v>232</v>
      </c>
      <c r="Q2">
        <v>1</v>
      </c>
      <c r="X2">
        <v>97.2</v>
      </c>
      <c r="Y2">
        <v>0</v>
      </c>
      <c r="Z2">
        <v>0</v>
      </c>
      <c r="AA2">
        <v>0</v>
      </c>
      <c r="AB2">
        <v>7.5</v>
      </c>
      <c r="AC2">
        <v>0</v>
      </c>
      <c r="AD2">
        <v>1</v>
      </c>
      <c r="AE2">
        <v>1</v>
      </c>
      <c r="AF2" t="s">
        <v>3</v>
      </c>
      <c r="AG2">
        <v>97.2</v>
      </c>
      <c r="AH2">
        <v>2</v>
      </c>
      <c r="AI2">
        <v>30528167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ROW(Source!A30)</f>
        <v>30</v>
      </c>
      <c r="B3">
        <v>30528172</v>
      </c>
      <c r="C3">
        <v>30528169</v>
      </c>
      <c r="D3">
        <v>23645604</v>
      </c>
      <c r="E3">
        <v>1</v>
      </c>
      <c r="F3">
        <v>1</v>
      </c>
      <c r="G3">
        <v>1</v>
      </c>
      <c r="H3">
        <v>1</v>
      </c>
      <c r="I3" t="s">
        <v>235</v>
      </c>
      <c r="J3" t="s">
        <v>3</v>
      </c>
      <c r="K3" t="s">
        <v>236</v>
      </c>
      <c r="L3">
        <v>1369</v>
      </c>
      <c r="N3">
        <v>1013</v>
      </c>
      <c r="O3" t="s">
        <v>237</v>
      </c>
      <c r="P3" t="s">
        <v>237</v>
      </c>
      <c r="Q3">
        <v>1</v>
      </c>
      <c r="X3">
        <v>16.2</v>
      </c>
      <c r="Y3">
        <v>0</v>
      </c>
      <c r="Z3">
        <v>0</v>
      </c>
      <c r="AA3">
        <v>0</v>
      </c>
      <c r="AB3">
        <v>12.92</v>
      </c>
      <c r="AC3">
        <v>0</v>
      </c>
      <c r="AD3">
        <v>1</v>
      </c>
      <c r="AE3">
        <v>1</v>
      </c>
      <c r="AF3" t="s">
        <v>3</v>
      </c>
      <c r="AG3">
        <v>16.2</v>
      </c>
      <c r="AH3">
        <v>2</v>
      </c>
      <c r="AI3">
        <v>30528170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ROW(Source!A30)</f>
        <v>30</v>
      </c>
      <c r="B4">
        <v>30528173</v>
      </c>
      <c r="C4">
        <v>30528169</v>
      </c>
      <c r="D4">
        <v>23644644</v>
      </c>
      <c r="E4">
        <v>1</v>
      </c>
      <c r="F4">
        <v>1</v>
      </c>
      <c r="G4">
        <v>1</v>
      </c>
      <c r="H4">
        <v>1</v>
      </c>
      <c r="I4" t="s">
        <v>238</v>
      </c>
      <c r="J4" t="s">
        <v>3</v>
      </c>
      <c r="K4" t="s">
        <v>239</v>
      </c>
      <c r="L4">
        <v>1369</v>
      </c>
      <c r="N4">
        <v>1013</v>
      </c>
      <c r="O4" t="s">
        <v>237</v>
      </c>
      <c r="P4" t="s">
        <v>237</v>
      </c>
      <c r="Q4">
        <v>1</v>
      </c>
      <c r="X4">
        <v>16.2</v>
      </c>
      <c r="Y4">
        <v>0</v>
      </c>
      <c r="Z4">
        <v>0</v>
      </c>
      <c r="AA4">
        <v>0</v>
      </c>
      <c r="AB4">
        <v>12.69</v>
      </c>
      <c r="AC4">
        <v>0</v>
      </c>
      <c r="AD4">
        <v>1</v>
      </c>
      <c r="AE4">
        <v>1</v>
      </c>
      <c r="AF4" t="s">
        <v>3</v>
      </c>
      <c r="AG4">
        <v>16.2</v>
      </c>
      <c r="AH4">
        <v>2</v>
      </c>
      <c r="AI4">
        <v>30528171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ROW(Source!A31)</f>
        <v>31</v>
      </c>
      <c r="B5">
        <v>30528177</v>
      </c>
      <c r="C5">
        <v>30528174</v>
      </c>
      <c r="D5">
        <v>23645604</v>
      </c>
      <c r="E5">
        <v>1</v>
      </c>
      <c r="F5">
        <v>1</v>
      </c>
      <c r="G5">
        <v>1</v>
      </c>
      <c r="H5">
        <v>1</v>
      </c>
      <c r="I5" t="s">
        <v>235</v>
      </c>
      <c r="J5" t="s">
        <v>3</v>
      </c>
      <c r="K5" t="s">
        <v>236</v>
      </c>
      <c r="L5">
        <v>1369</v>
      </c>
      <c r="N5">
        <v>1013</v>
      </c>
      <c r="O5" t="s">
        <v>237</v>
      </c>
      <c r="P5" t="s">
        <v>237</v>
      </c>
      <c r="Q5">
        <v>1</v>
      </c>
      <c r="X5">
        <v>6.08</v>
      </c>
      <c r="Y5">
        <v>0</v>
      </c>
      <c r="Z5">
        <v>0</v>
      </c>
      <c r="AA5">
        <v>0</v>
      </c>
      <c r="AB5">
        <v>12.92</v>
      </c>
      <c r="AC5">
        <v>0</v>
      </c>
      <c r="AD5">
        <v>1</v>
      </c>
      <c r="AE5">
        <v>1</v>
      </c>
      <c r="AF5" t="s">
        <v>3</v>
      </c>
      <c r="AG5">
        <v>6.08</v>
      </c>
      <c r="AH5">
        <v>2</v>
      </c>
      <c r="AI5">
        <v>30528175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ROW(Source!A31)</f>
        <v>31</v>
      </c>
      <c r="B6">
        <v>30528178</v>
      </c>
      <c r="C6">
        <v>30528174</v>
      </c>
      <c r="D6">
        <v>23644644</v>
      </c>
      <c r="E6">
        <v>1</v>
      </c>
      <c r="F6">
        <v>1</v>
      </c>
      <c r="G6">
        <v>1</v>
      </c>
      <c r="H6">
        <v>1</v>
      </c>
      <c r="I6" t="s">
        <v>238</v>
      </c>
      <c r="J6" t="s">
        <v>3</v>
      </c>
      <c r="K6" t="s">
        <v>239</v>
      </c>
      <c r="L6">
        <v>1369</v>
      </c>
      <c r="N6">
        <v>1013</v>
      </c>
      <c r="O6" t="s">
        <v>237</v>
      </c>
      <c r="P6" t="s">
        <v>237</v>
      </c>
      <c r="Q6">
        <v>1</v>
      </c>
      <c r="X6">
        <v>6.08</v>
      </c>
      <c r="Y6">
        <v>0</v>
      </c>
      <c r="Z6">
        <v>0</v>
      </c>
      <c r="AA6">
        <v>0</v>
      </c>
      <c r="AB6">
        <v>12.69</v>
      </c>
      <c r="AC6">
        <v>0</v>
      </c>
      <c r="AD6">
        <v>1</v>
      </c>
      <c r="AE6">
        <v>1</v>
      </c>
      <c r="AF6" t="s">
        <v>3</v>
      </c>
      <c r="AG6">
        <v>6.08</v>
      </c>
      <c r="AH6">
        <v>2</v>
      </c>
      <c r="AI6">
        <v>30528176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ROW(Source!A32)</f>
        <v>32</v>
      </c>
      <c r="B7">
        <v>30528186</v>
      </c>
      <c r="C7">
        <v>30528179</v>
      </c>
      <c r="D7">
        <v>23425365</v>
      </c>
      <c r="E7">
        <v>1</v>
      </c>
      <c r="F7">
        <v>1</v>
      </c>
      <c r="G7">
        <v>1</v>
      </c>
      <c r="H7">
        <v>1</v>
      </c>
      <c r="I7" t="s">
        <v>240</v>
      </c>
      <c r="J7" t="s">
        <v>3</v>
      </c>
      <c r="K7" t="s">
        <v>241</v>
      </c>
      <c r="L7">
        <v>1476</v>
      </c>
      <c r="N7">
        <v>1013</v>
      </c>
      <c r="O7" t="s">
        <v>231</v>
      </c>
      <c r="P7" t="s">
        <v>232</v>
      </c>
      <c r="Q7">
        <v>1</v>
      </c>
      <c r="X7">
        <v>12.8</v>
      </c>
      <c r="Y7">
        <v>0</v>
      </c>
      <c r="Z7">
        <v>0</v>
      </c>
      <c r="AA7">
        <v>0</v>
      </c>
      <c r="AB7">
        <v>9.6199999999999992</v>
      </c>
      <c r="AC7">
        <v>0</v>
      </c>
      <c r="AD7">
        <v>1</v>
      </c>
      <c r="AE7">
        <v>1</v>
      </c>
      <c r="AF7" t="s">
        <v>3</v>
      </c>
      <c r="AG7">
        <v>12.8</v>
      </c>
      <c r="AH7">
        <v>2</v>
      </c>
      <c r="AI7">
        <v>30528180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ROW(Source!A32)</f>
        <v>32</v>
      </c>
      <c r="B8">
        <v>30528187</v>
      </c>
      <c r="C8">
        <v>30528179</v>
      </c>
      <c r="D8">
        <v>23093687</v>
      </c>
      <c r="E8">
        <v>1</v>
      </c>
      <c r="F8">
        <v>1</v>
      </c>
      <c r="G8">
        <v>1</v>
      </c>
      <c r="H8">
        <v>3</v>
      </c>
      <c r="I8" t="s">
        <v>242</v>
      </c>
      <c r="J8" t="s">
        <v>243</v>
      </c>
      <c r="K8" t="s">
        <v>244</v>
      </c>
      <c r="L8">
        <v>1348</v>
      </c>
      <c r="N8">
        <v>1009</v>
      </c>
      <c r="O8" t="s">
        <v>245</v>
      </c>
      <c r="P8" t="s">
        <v>245</v>
      </c>
      <c r="Q8">
        <v>1000</v>
      </c>
      <c r="X8">
        <v>2.3999999999999998E-3</v>
      </c>
      <c r="Y8">
        <v>4866.05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2.3999999999999998E-3</v>
      </c>
      <c r="AH8">
        <v>2</v>
      </c>
      <c r="AI8">
        <v>30528181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ROW(Source!A32)</f>
        <v>32</v>
      </c>
      <c r="B9">
        <v>30528188</v>
      </c>
      <c r="C9">
        <v>30528179</v>
      </c>
      <c r="D9">
        <v>23097812</v>
      </c>
      <c r="E9">
        <v>1</v>
      </c>
      <c r="F9">
        <v>1</v>
      </c>
      <c r="G9">
        <v>1</v>
      </c>
      <c r="H9">
        <v>3</v>
      </c>
      <c r="I9" t="s">
        <v>246</v>
      </c>
      <c r="J9" t="s">
        <v>247</v>
      </c>
      <c r="K9" t="s">
        <v>248</v>
      </c>
      <c r="L9">
        <v>1308</v>
      </c>
      <c r="N9">
        <v>1003</v>
      </c>
      <c r="O9" t="s">
        <v>249</v>
      </c>
      <c r="P9" t="s">
        <v>249</v>
      </c>
      <c r="Q9">
        <v>100</v>
      </c>
      <c r="X9">
        <v>7.1999999999999998E-3</v>
      </c>
      <c r="Y9">
        <v>112.69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7.1999999999999998E-3</v>
      </c>
      <c r="AH9">
        <v>2</v>
      </c>
      <c r="AI9">
        <v>30528183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ROW(Source!A32)</f>
        <v>32</v>
      </c>
      <c r="B10">
        <v>30528189</v>
      </c>
      <c r="C10">
        <v>30528179</v>
      </c>
      <c r="D10">
        <v>23190186</v>
      </c>
      <c r="E10">
        <v>1</v>
      </c>
      <c r="F10">
        <v>1</v>
      </c>
      <c r="G10">
        <v>1</v>
      </c>
      <c r="H10">
        <v>3</v>
      </c>
      <c r="I10" t="s">
        <v>250</v>
      </c>
      <c r="J10" t="s">
        <v>251</v>
      </c>
      <c r="K10" t="s">
        <v>252</v>
      </c>
      <c r="L10">
        <v>1348</v>
      </c>
      <c r="N10">
        <v>1009</v>
      </c>
      <c r="O10" t="s">
        <v>245</v>
      </c>
      <c r="P10" t="s">
        <v>245</v>
      </c>
      <c r="Q10">
        <v>1000</v>
      </c>
      <c r="X10">
        <v>1.0000000000000001E-5</v>
      </c>
      <c r="Y10">
        <v>8129.42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1.0000000000000001E-5</v>
      </c>
      <c r="AH10">
        <v>2</v>
      </c>
      <c r="AI10">
        <v>30528184</v>
      </c>
      <c r="AJ10">
        <v>11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ROW(Source!A32)</f>
        <v>32</v>
      </c>
      <c r="B11">
        <v>30528190</v>
      </c>
      <c r="C11">
        <v>30528179</v>
      </c>
      <c r="D11">
        <v>23190308</v>
      </c>
      <c r="E11">
        <v>1</v>
      </c>
      <c r="F11">
        <v>1</v>
      </c>
      <c r="G11">
        <v>1</v>
      </c>
      <c r="H11">
        <v>3</v>
      </c>
      <c r="I11" t="s">
        <v>253</v>
      </c>
      <c r="J11" t="s">
        <v>254</v>
      </c>
      <c r="K11" t="s">
        <v>255</v>
      </c>
      <c r="L11">
        <v>1374</v>
      </c>
      <c r="N11">
        <v>1013</v>
      </c>
      <c r="O11" t="s">
        <v>256</v>
      </c>
      <c r="P11" t="s">
        <v>256</v>
      </c>
      <c r="Q11">
        <v>1</v>
      </c>
      <c r="X11">
        <v>2.46</v>
      </c>
      <c r="Y11">
        <v>1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2.46</v>
      </c>
      <c r="AH11">
        <v>2</v>
      </c>
      <c r="AI11">
        <v>30528185</v>
      </c>
      <c r="AJ11">
        <v>12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ROW(Source!A34)</f>
        <v>34</v>
      </c>
      <c r="B12">
        <v>30528208</v>
      </c>
      <c r="C12">
        <v>30528192</v>
      </c>
      <c r="D12">
        <v>23425365</v>
      </c>
      <c r="E12">
        <v>1</v>
      </c>
      <c r="F12">
        <v>1</v>
      </c>
      <c r="G12">
        <v>1</v>
      </c>
      <c r="H12">
        <v>1</v>
      </c>
      <c r="I12" t="s">
        <v>240</v>
      </c>
      <c r="J12" t="s">
        <v>3</v>
      </c>
      <c r="K12" t="s">
        <v>241</v>
      </c>
      <c r="L12">
        <v>1476</v>
      </c>
      <c r="N12">
        <v>1013</v>
      </c>
      <c r="O12" t="s">
        <v>231</v>
      </c>
      <c r="P12" t="s">
        <v>232</v>
      </c>
      <c r="Q12">
        <v>1</v>
      </c>
      <c r="X12">
        <v>17.440000000000001</v>
      </c>
      <c r="Y12">
        <v>0</v>
      </c>
      <c r="Z12">
        <v>0</v>
      </c>
      <c r="AA12">
        <v>0</v>
      </c>
      <c r="AB12">
        <v>9.6199999999999992</v>
      </c>
      <c r="AC12">
        <v>0</v>
      </c>
      <c r="AD12">
        <v>1</v>
      </c>
      <c r="AE12">
        <v>1</v>
      </c>
      <c r="AF12" t="s">
        <v>3</v>
      </c>
      <c r="AG12">
        <v>17.440000000000001</v>
      </c>
      <c r="AH12">
        <v>2</v>
      </c>
      <c r="AI12">
        <v>30528193</v>
      </c>
      <c r="AJ12">
        <v>13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ROW(Source!A34)</f>
        <v>34</v>
      </c>
      <c r="B13">
        <v>30528209</v>
      </c>
      <c r="C13">
        <v>30528192</v>
      </c>
      <c r="D13">
        <v>121548</v>
      </c>
      <c r="E13">
        <v>1</v>
      </c>
      <c r="F13">
        <v>1</v>
      </c>
      <c r="G13">
        <v>1</v>
      </c>
      <c r="H13">
        <v>1</v>
      </c>
      <c r="I13" t="s">
        <v>28</v>
      </c>
      <c r="J13" t="s">
        <v>3</v>
      </c>
      <c r="K13" t="s">
        <v>257</v>
      </c>
      <c r="L13">
        <v>608254</v>
      </c>
      <c r="N13">
        <v>1013</v>
      </c>
      <c r="O13" t="s">
        <v>258</v>
      </c>
      <c r="P13" t="s">
        <v>258</v>
      </c>
      <c r="Q13">
        <v>1</v>
      </c>
      <c r="X13">
        <v>1.32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2</v>
      </c>
      <c r="AF13" t="s">
        <v>3</v>
      </c>
      <c r="AG13">
        <v>1.32</v>
      </c>
      <c r="AH13">
        <v>2</v>
      </c>
      <c r="AI13">
        <v>30528194</v>
      </c>
      <c r="AJ13">
        <v>14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ROW(Source!A34)</f>
        <v>34</v>
      </c>
      <c r="B14">
        <v>30528210</v>
      </c>
      <c r="C14">
        <v>30528192</v>
      </c>
      <c r="D14">
        <v>23124316</v>
      </c>
      <c r="E14">
        <v>1</v>
      </c>
      <c r="F14">
        <v>1</v>
      </c>
      <c r="G14">
        <v>1</v>
      </c>
      <c r="H14">
        <v>2</v>
      </c>
      <c r="I14" t="s">
        <v>259</v>
      </c>
      <c r="J14" t="s">
        <v>260</v>
      </c>
      <c r="K14" t="s">
        <v>261</v>
      </c>
      <c r="L14">
        <v>1368</v>
      </c>
      <c r="N14">
        <v>1011</v>
      </c>
      <c r="O14" t="s">
        <v>262</v>
      </c>
      <c r="P14" t="s">
        <v>262</v>
      </c>
      <c r="Q14">
        <v>1</v>
      </c>
      <c r="X14">
        <v>1.32</v>
      </c>
      <c r="Y14">
        <v>0</v>
      </c>
      <c r="Z14">
        <v>139.65</v>
      </c>
      <c r="AA14">
        <v>13.5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1.32</v>
      </c>
      <c r="AH14">
        <v>2</v>
      </c>
      <c r="AI14">
        <v>30528195</v>
      </c>
      <c r="AJ14">
        <v>15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ROW(Source!A34)</f>
        <v>34</v>
      </c>
      <c r="B15">
        <v>30528211</v>
      </c>
      <c r="C15">
        <v>30528192</v>
      </c>
      <c r="D15">
        <v>23124412</v>
      </c>
      <c r="E15">
        <v>1</v>
      </c>
      <c r="F15">
        <v>1</v>
      </c>
      <c r="G15">
        <v>1</v>
      </c>
      <c r="H15">
        <v>2</v>
      </c>
      <c r="I15" t="s">
        <v>263</v>
      </c>
      <c r="J15" t="s">
        <v>264</v>
      </c>
      <c r="K15" t="s">
        <v>265</v>
      </c>
      <c r="L15">
        <v>1368</v>
      </c>
      <c r="N15">
        <v>1011</v>
      </c>
      <c r="O15" t="s">
        <v>262</v>
      </c>
      <c r="P15" t="s">
        <v>262</v>
      </c>
      <c r="Q15">
        <v>1</v>
      </c>
      <c r="X15">
        <v>3.97</v>
      </c>
      <c r="Y15">
        <v>0</v>
      </c>
      <c r="Z15">
        <v>1.1000000000000001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3.97</v>
      </c>
      <c r="AH15">
        <v>2</v>
      </c>
      <c r="AI15">
        <v>30528196</v>
      </c>
      <c r="AJ15">
        <v>16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ROW(Source!A34)</f>
        <v>34</v>
      </c>
      <c r="B16">
        <v>30528212</v>
      </c>
      <c r="C16">
        <v>30528192</v>
      </c>
      <c r="D16">
        <v>23124426</v>
      </c>
      <c r="E16">
        <v>1</v>
      </c>
      <c r="F16">
        <v>1</v>
      </c>
      <c r="G16">
        <v>1</v>
      </c>
      <c r="H16">
        <v>2</v>
      </c>
      <c r="I16" t="s">
        <v>266</v>
      </c>
      <c r="J16" t="s">
        <v>267</v>
      </c>
      <c r="K16" t="s">
        <v>268</v>
      </c>
      <c r="L16">
        <v>1368</v>
      </c>
      <c r="N16">
        <v>1011</v>
      </c>
      <c r="O16" t="s">
        <v>262</v>
      </c>
      <c r="P16" t="s">
        <v>262</v>
      </c>
      <c r="Q16">
        <v>1</v>
      </c>
      <c r="X16">
        <v>3.97</v>
      </c>
      <c r="Y16">
        <v>0</v>
      </c>
      <c r="Z16">
        <v>6.33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3.97</v>
      </c>
      <c r="AH16">
        <v>2</v>
      </c>
      <c r="AI16">
        <v>30528197</v>
      </c>
      <c r="AJ16">
        <v>17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ROW(Source!A34)</f>
        <v>34</v>
      </c>
      <c r="B17">
        <v>30528213</v>
      </c>
      <c r="C17">
        <v>30528192</v>
      </c>
      <c r="D17">
        <v>23126170</v>
      </c>
      <c r="E17">
        <v>1</v>
      </c>
      <c r="F17">
        <v>1</v>
      </c>
      <c r="G17">
        <v>1</v>
      </c>
      <c r="H17">
        <v>2</v>
      </c>
      <c r="I17" t="s">
        <v>269</v>
      </c>
      <c r="J17" t="s">
        <v>270</v>
      </c>
      <c r="K17" t="s">
        <v>271</v>
      </c>
      <c r="L17">
        <v>1368</v>
      </c>
      <c r="N17">
        <v>1011</v>
      </c>
      <c r="O17" t="s">
        <v>262</v>
      </c>
      <c r="P17" t="s">
        <v>262</v>
      </c>
      <c r="Q17">
        <v>1</v>
      </c>
      <c r="X17">
        <v>1.32</v>
      </c>
      <c r="Y17">
        <v>0</v>
      </c>
      <c r="Z17">
        <v>84.33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1.32</v>
      </c>
      <c r="AH17">
        <v>2</v>
      </c>
      <c r="AI17">
        <v>30528198</v>
      </c>
      <c r="AJ17">
        <v>18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ROW(Source!A34)</f>
        <v>34</v>
      </c>
      <c r="B18">
        <v>30528214</v>
      </c>
      <c r="C18">
        <v>30528192</v>
      </c>
      <c r="D18">
        <v>23102071</v>
      </c>
      <c r="E18">
        <v>1</v>
      </c>
      <c r="F18">
        <v>1</v>
      </c>
      <c r="G18">
        <v>1</v>
      </c>
      <c r="H18">
        <v>3</v>
      </c>
      <c r="I18" t="s">
        <v>272</v>
      </c>
      <c r="J18" t="s">
        <v>273</v>
      </c>
      <c r="K18" t="s">
        <v>274</v>
      </c>
      <c r="L18">
        <v>1348</v>
      </c>
      <c r="N18">
        <v>1009</v>
      </c>
      <c r="O18" t="s">
        <v>245</v>
      </c>
      <c r="P18" t="s">
        <v>245</v>
      </c>
      <c r="Q18">
        <v>1000</v>
      </c>
      <c r="X18">
        <v>0.01</v>
      </c>
      <c r="Y18">
        <v>4156.87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0.01</v>
      </c>
      <c r="AH18">
        <v>2</v>
      </c>
      <c r="AI18">
        <v>30528199</v>
      </c>
      <c r="AJ18">
        <v>19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ROW(Source!A34)</f>
        <v>34</v>
      </c>
      <c r="B19">
        <v>30528215</v>
      </c>
      <c r="C19">
        <v>30528192</v>
      </c>
      <c r="D19">
        <v>23102138</v>
      </c>
      <c r="E19">
        <v>1</v>
      </c>
      <c r="F19">
        <v>1</v>
      </c>
      <c r="G19">
        <v>1</v>
      </c>
      <c r="H19">
        <v>3</v>
      </c>
      <c r="I19" t="s">
        <v>275</v>
      </c>
      <c r="J19" t="s">
        <v>276</v>
      </c>
      <c r="K19" t="s">
        <v>277</v>
      </c>
      <c r="L19">
        <v>1348</v>
      </c>
      <c r="N19">
        <v>1009</v>
      </c>
      <c r="O19" t="s">
        <v>245</v>
      </c>
      <c r="P19" t="s">
        <v>245</v>
      </c>
      <c r="Q19">
        <v>1000</v>
      </c>
      <c r="X19">
        <v>1E-3</v>
      </c>
      <c r="Y19">
        <v>4498.88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1E-3</v>
      </c>
      <c r="AH19">
        <v>2</v>
      </c>
      <c r="AI19">
        <v>30528200</v>
      </c>
      <c r="AJ19">
        <v>20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ROW(Source!A34)</f>
        <v>34</v>
      </c>
      <c r="B20">
        <v>30528216</v>
      </c>
      <c r="C20">
        <v>30528192</v>
      </c>
      <c r="D20">
        <v>23097257</v>
      </c>
      <c r="E20">
        <v>1</v>
      </c>
      <c r="F20">
        <v>1</v>
      </c>
      <c r="G20">
        <v>1</v>
      </c>
      <c r="H20">
        <v>3</v>
      </c>
      <c r="I20" t="s">
        <v>278</v>
      </c>
      <c r="J20" t="s">
        <v>279</v>
      </c>
      <c r="K20" t="s">
        <v>280</v>
      </c>
      <c r="L20">
        <v>1346</v>
      </c>
      <c r="N20">
        <v>1009</v>
      </c>
      <c r="O20" t="s">
        <v>281</v>
      </c>
      <c r="P20" t="s">
        <v>281</v>
      </c>
      <c r="Q20">
        <v>1</v>
      </c>
      <c r="X20">
        <v>0.25</v>
      </c>
      <c r="Y20">
        <v>27.65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0.25</v>
      </c>
      <c r="AH20">
        <v>2</v>
      </c>
      <c r="AI20">
        <v>30528201</v>
      </c>
      <c r="AJ20">
        <v>21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30528217</v>
      </c>
      <c r="C21">
        <v>30528192</v>
      </c>
      <c r="D21">
        <v>23097812</v>
      </c>
      <c r="E21">
        <v>1</v>
      </c>
      <c r="F21">
        <v>1</v>
      </c>
      <c r="G21">
        <v>1</v>
      </c>
      <c r="H21">
        <v>3</v>
      </c>
      <c r="I21" t="s">
        <v>246</v>
      </c>
      <c r="J21" t="s">
        <v>247</v>
      </c>
      <c r="K21" t="s">
        <v>248</v>
      </c>
      <c r="L21">
        <v>1308</v>
      </c>
      <c r="N21">
        <v>1003</v>
      </c>
      <c r="O21" t="s">
        <v>249</v>
      </c>
      <c r="P21" t="s">
        <v>249</v>
      </c>
      <c r="Q21">
        <v>100</v>
      </c>
      <c r="X21">
        <v>9.5999999999999992E-3</v>
      </c>
      <c r="Y21">
        <v>112.69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</v>
      </c>
      <c r="AG21">
        <v>9.5999999999999992E-3</v>
      </c>
      <c r="AH21">
        <v>2</v>
      </c>
      <c r="AI21">
        <v>30528202</v>
      </c>
      <c r="AJ21">
        <v>22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30528218</v>
      </c>
      <c r="C22">
        <v>30528192</v>
      </c>
      <c r="D22">
        <v>23116021</v>
      </c>
      <c r="E22">
        <v>1</v>
      </c>
      <c r="F22">
        <v>1</v>
      </c>
      <c r="G22">
        <v>1</v>
      </c>
      <c r="H22">
        <v>3</v>
      </c>
      <c r="I22" t="s">
        <v>282</v>
      </c>
      <c r="J22" t="s">
        <v>283</v>
      </c>
      <c r="K22" t="s">
        <v>284</v>
      </c>
      <c r="L22">
        <v>1348</v>
      </c>
      <c r="N22">
        <v>1009</v>
      </c>
      <c r="O22" t="s">
        <v>245</v>
      </c>
      <c r="P22" t="s">
        <v>245</v>
      </c>
      <c r="Q22">
        <v>1000</v>
      </c>
      <c r="X22">
        <v>6.0000000000000002E-5</v>
      </c>
      <c r="Y22">
        <v>7789.54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6.0000000000000002E-5</v>
      </c>
      <c r="AH22">
        <v>2</v>
      </c>
      <c r="AI22">
        <v>30528203</v>
      </c>
      <c r="AJ22">
        <v>23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30528219</v>
      </c>
      <c r="C23">
        <v>30528192</v>
      </c>
      <c r="D23">
        <v>23190308</v>
      </c>
      <c r="E23">
        <v>1</v>
      </c>
      <c r="F23">
        <v>1</v>
      </c>
      <c r="G23">
        <v>1</v>
      </c>
      <c r="H23">
        <v>3</v>
      </c>
      <c r="I23" t="s">
        <v>253</v>
      </c>
      <c r="J23" t="s">
        <v>254</v>
      </c>
      <c r="K23" t="s">
        <v>255</v>
      </c>
      <c r="L23">
        <v>1374</v>
      </c>
      <c r="N23">
        <v>1013</v>
      </c>
      <c r="O23" t="s">
        <v>256</v>
      </c>
      <c r="P23" t="s">
        <v>256</v>
      </c>
      <c r="Q23">
        <v>1</v>
      </c>
      <c r="X23">
        <v>3.36</v>
      </c>
      <c r="Y23">
        <v>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3.36</v>
      </c>
      <c r="AH23">
        <v>2</v>
      </c>
      <c r="AI23">
        <v>30528204</v>
      </c>
      <c r="AJ23">
        <v>25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ROW(Source!A36)</f>
        <v>36</v>
      </c>
      <c r="B24">
        <v>30528226</v>
      </c>
      <c r="C24">
        <v>30528223</v>
      </c>
      <c r="D24">
        <v>23644890</v>
      </c>
      <c r="E24">
        <v>1</v>
      </c>
      <c r="F24">
        <v>1</v>
      </c>
      <c r="G24">
        <v>1</v>
      </c>
      <c r="H24">
        <v>1</v>
      </c>
      <c r="I24" t="s">
        <v>285</v>
      </c>
      <c r="J24" t="s">
        <v>3</v>
      </c>
      <c r="K24" t="s">
        <v>286</v>
      </c>
      <c r="L24">
        <v>1369</v>
      </c>
      <c r="N24">
        <v>1013</v>
      </c>
      <c r="O24" t="s">
        <v>237</v>
      </c>
      <c r="P24" t="s">
        <v>237</v>
      </c>
      <c r="Q24">
        <v>1</v>
      </c>
      <c r="X24">
        <v>1.94</v>
      </c>
      <c r="Y24">
        <v>0</v>
      </c>
      <c r="Z24">
        <v>0</v>
      </c>
      <c r="AA24">
        <v>0</v>
      </c>
      <c r="AB24">
        <v>9.6199999999999992</v>
      </c>
      <c r="AC24">
        <v>0</v>
      </c>
      <c r="AD24">
        <v>1</v>
      </c>
      <c r="AE24">
        <v>1</v>
      </c>
      <c r="AF24" t="s">
        <v>3</v>
      </c>
      <c r="AG24">
        <v>1.94</v>
      </c>
      <c r="AH24">
        <v>2</v>
      </c>
      <c r="AI24">
        <v>30528224</v>
      </c>
      <c r="AJ24">
        <v>26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ROW(Source!A36)</f>
        <v>36</v>
      </c>
      <c r="B25">
        <v>30528227</v>
      </c>
      <c r="C25">
        <v>30528223</v>
      </c>
      <c r="D25">
        <v>23644644</v>
      </c>
      <c r="E25">
        <v>1</v>
      </c>
      <c r="F25">
        <v>1</v>
      </c>
      <c r="G25">
        <v>1</v>
      </c>
      <c r="H25">
        <v>1</v>
      </c>
      <c r="I25" t="s">
        <v>238</v>
      </c>
      <c r="J25" t="s">
        <v>3</v>
      </c>
      <c r="K25" t="s">
        <v>239</v>
      </c>
      <c r="L25">
        <v>1369</v>
      </c>
      <c r="N25">
        <v>1013</v>
      </c>
      <c r="O25" t="s">
        <v>237</v>
      </c>
      <c r="P25" t="s">
        <v>237</v>
      </c>
      <c r="Q25">
        <v>1</v>
      </c>
      <c r="X25">
        <v>2.92</v>
      </c>
      <c r="Y25">
        <v>0</v>
      </c>
      <c r="Z25">
        <v>0</v>
      </c>
      <c r="AA25">
        <v>0</v>
      </c>
      <c r="AB25">
        <v>12.69</v>
      </c>
      <c r="AC25">
        <v>0</v>
      </c>
      <c r="AD25">
        <v>1</v>
      </c>
      <c r="AE25">
        <v>1</v>
      </c>
      <c r="AF25" t="s">
        <v>3</v>
      </c>
      <c r="AG25">
        <v>2.92</v>
      </c>
      <c r="AH25">
        <v>2</v>
      </c>
      <c r="AI25">
        <v>30528225</v>
      </c>
      <c r="AJ25">
        <v>27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ROW(Source!A37)</f>
        <v>37</v>
      </c>
      <c r="B26">
        <v>30528231</v>
      </c>
      <c r="C26">
        <v>30528228</v>
      </c>
      <c r="D26">
        <v>23644890</v>
      </c>
      <c r="E26">
        <v>1</v>
      </c>
      <c r="F26">
        <v>1</v>
      </c>
      <c r="G26">
        <v>1</v>
      </c>
      <c r="H26">
        <v>1</v>
      </c>
      <c r="I26" t="s">
        <v>285</v>
      </c>
      <c r="J26" t="s">
        <v>3</v>
      </c>
      <c r="K26" t="s">
        <v>286</v>
      </c>
      <c r="L26">
        <v>1369</v>
      </c>
      <c r="N26">
        <v>1013</v>
      </c>
      <c r="O26" t="s">
        <v>237</v>
      </c>
      <c r="P26" t="s">
        <v>237</v>
      </c>
      <c r="Q26">
        <v>1</v>
      </c>
      <c r="X26">
        <v>0.57999999999999996</v>
      </c>
      <c r="Y26">
        <v>0</v>
      </c>
      <c r="Z26">
        <v>0</v>
      </c>
      <c r="AA26">
        <v>0</v>
      </c>
      <c r="AB26">
        <v>9.6199999999999992</v>
      </c>
      <c r="AC26">
        <v>0</v>
      </c>
      <c r="AD26">
        <v>1</v>
      </c>
      <c r="AE26">
        <v>1</v>
      </c>
      <c r="AF26" t="s">
        <v>3</v>
      </c>
      <c r="AG26">
        <v>0.57999999999999996</v>
      </c>
      <c r="AH26">
        <v>2</v>
      </c>
      <c r="AI26">
        <v>30528229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ROW(Source!A37)</f>
        <v>37</v>
      </c>
      <c r="B27">
        <v>30528232</v>
      </c>
      <c r="C27">
        <v>30528228</v>
      </c>
      <c r="D27">
        <v>23644644</v>
      </c>
      <c r="E27">
        <v>1</v>
      </c>
      <c r="F27">
        <v>1</v>
      </c>
      <c r="G27">
        <v>1</v>
      </c>
      <c r="H27">
        <v>1</v>
      </c>
      <c r="I27" t="s">
        <v>238</v>
      </c>
      <c r="J27" t="s">
        <v>3</v>
      </c>
      <c r="K27" t="s">
        <v>239</v>
      </c>
      <c r="L27">
        <v>1369</v>
      </c>
      <c r="N27">
        <v>1013</v>
      </c>
      <c r="O27" t="s">
        <v>237</v>
      </c>
      <c r="P27" t="s">
        <v>237</v>
      </c>
      <c r="Q27">
        <v>1</v>
      </c>
      <c r="X27">
        <v>0.87</v>
      </c>
      <c r="Y27">
        <v>0</v>
      </c>
      <c r="Z27">
        <v>0</v>
      </c>
      <c r="AA27">
        <v>0</v>
      </c>
      <c r="AB27">
        <v>12.69</v>
      </c>
      <c r="AC27">
        <v>0</v>
      </c>
      <c r="AD27">
        <v>1</v>
      </c>
      <c r="AE27">
        <v>1</v>
      </c>
      <c r="AF27" t="s">
        <v>3</v>
      </c>
      <c r="AG27">
        <v>0.87</v>
      </c>
      <c r="AH27">
        <v>2</v>
      </c>
      <c r="AI27">
        <v>30528230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30528236</v>
      </c>
      <c r="C28">
        <v>30528233</v>
      </c>
      <c r="D28">
        <v>23645604</v>
      </c>
      <c r="E28">
        <v>1</v>
      </c>
      <c r="F28">
        <v>1</v>
      </c>
      <c r="G28">
        <v>1</v>
      </c>
      <c r="H28">
        <v>1</v>
      </c>
      <c r="I28" t="s">
        <v>235</v>
      </c>
      <c r="J28" t="s">
        <v>3</v>
      </c>
      <c r="K28" t="s">
        <v>236</v>
      </c>
      <c r="L28">
        <v>1369</v>
      </c>
      <c r="N28">
        <v>1013</v>
      </c>
      <c r="O28" t="s">
        <v>237</v>
      </c>
      <c r="P28" t="s">
        <v>237</v>
      </c>
      <c r="Q28">
        <v>1</v>
      </c>
      <c r="X28">
        <v>0.81</v>
      </c>
      <c r="Y28">
        <v>0</v>
      </c>
      <c r="Z28">
        <v>0</v>
      </c>
      <c r="AA28">
        <v>0</v>
      </c>
      <c r="AB28">
        <v>12.92</v>
      </c>
      <c r="AC28">
        <v>0</v>
      </c>
      <c r="AD28">
        <v>1</v>
      </c>
      <c r="AE28">
        <v>1</v>
      </c>
      <c r="AF28" t="s">
        <v>3</v>
      </c>
      <c r="AG28">
        <v>0.81</v>
      </c>
      <c r="AH28">
        <v>2</v>
      </c>
      <c r="AI28">
        <v>30528234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ROW(Source!A38)</f>
        <v>38</v>
      </c>
      <c r="B29">
        <v>30528237</v>
      </c>
      <c r="C29">
        <v>30528233</v>
      </c>
      <c r="D29">
        <v>23644644</v>
      </c>
      <c r="E29">
        <v>1</v>
      </c>
      <c r="F29">
        <v>1</v>
      </c>
      <c r="G29">
        <v>1</v>
      </c>
      <c r="H29">
        <v>1</v>
      </c>
      <c r="I29" t="s">
        <v>238</v>
      </c>
      <c r="J29" t="s">
        <v>3</v>
      </c>
      <c r="K29" t="s">
        <v>239</v>
      </c>
      <c r="L29">
        <v>1369</v>
      </c>
      <c r="N29">
        <v>1013</v>
      </c>
      <c r="O29" t="s">
        <v>237</v>
      </c>
      <c r="P29" t="s">
        <v>237</v>
      </c>
      <c r="Q29">
        <v>1</v>
      </c>
      <c r="X29">
        <v>0.81</v>
      </c>
      <c r="Y29">
        <v>0</v>
      </c>
      <c r="Z29">
        <v>0</v>
      </c>
      <c r="AA29">
        <v>0</v>
      </c>
      <c r="AB29">
        <v>12.69</v>
      </c>
      <c r="AC29">
        <v>0</v>
      </c>
      <c r="AD29">
        <v>1</v>
      </c>
      <c r="AE29">
        <v>1</v>
      </c>
      <c r="AF29" t="s">
        <v>3</v>
      </c>
      <c r="AG29">
        <v>0.81</v>
      </c>
      <c r="AH29">
        <v>2</v>
      </c>
      <c r="AI29">
        <v>30528235</v>
      </c>
      <c r="AJ29">
        <v>31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базисный метод(11гр)</vt:lpstr>
      <vt:lpstr>Source</vt:lpstr>
      <vt:lpstr>SourceObSm</vt:lpstr>
      <vt:lpstr>SmtRes</vt:lpstr>
      <vt:lpstr>EtalonRes</vt:lpstr>
      <vt:lpstr>'Смета базисный метод(11гр)'!Заголовки_для_печати</vt:lpstr>
      <vt:lpstr>'Смета базисный метод(11гр)'!Область_печати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created xsi:type="dcterms:W3CDTF">2020-09-01T06:55:18Z</dcterms:created>
  <dcterms:modified xsi:type="dcterms:W3CDTF">2020-09-01T06:55:31Z</dcterms:modified>
</cp:coreProperties>
</file>