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80" windowHeight="1110"/>
  </bookViews>
  <sheets>
    <sheet name="Смета 11 граф c НР и СП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11 граф c НР и СП'!$20:$20</definedName>
    <definedName name="_xlnm.Print_Area" localSheetId="0">'Смета 11 граф c НР и СП'!$A$1:$K$55</definedName>
  </definedNames>
  <calcPr calcId="124519"/>
</workbook>
</file>

<file path=xl/calcChain.xml><?xml version="1.0" encoding="utf-8"?>
<calcChain xmlns="http://schemas.openxmlformats.org/spreadsheetml/2006/main">
  <c r="I53" i="5"/>
  <c r="I50"/>
  <c r="C53"/>
  <c r="C50"/>
  <c r="H47"/>
  <c r="C47"/>
  <c r="H46"/>
  <c r="C46"/>
  <c r="H45"/>
  <c r="C45"/>
  <c r="H44"/>
  <c r="C44"/>
  <c r="H43"/>
  <c r="C43"/>
  <c r="H42"/>
  <c r="C42"/>
  <c r="H41"/>
  <c r="C41"/>
  <c r="H40"/>
  <c r="C40"/>
  <c r="H39"/>
  <c r="C39"/>
  <c r="H38"/>
  <c r="C38"/>
  <c r="H37"/>
  <c r="C37"/>
  <c r="K34"/>
  <c r="K33"/>
  <c r="I34"/>
  <c r="I33"/>
  <c r="H33"/>
  <c r="G33"/>
  <c r="C33"/>
  <c r="G31"/>
  <c r="E31"/>
  <c r="H30"/>
  <c r="G30"/>
  <c r="F30"/>
  <c r="E30"/>
  <c r="D30"/>
  <c r="H29"/>
  <c r="G29"/>
  <c r="F29"/>
  <c r="E29"/>
  <c r="D29"/>
  <c r="AB27"/>
  <c r="AA27"/>
  <c r="Z27"/>
  <c r="Y27"/>
  <c r="X27"/>
  <c r="W27"/>
  <c r="V27"/>
  <c r="U27"/>
  <c r="T27"/>
  <c r="K28"/>
  <c r="K27"/>
  <c r="J28"/>
  <c r="J27"/>
  <c r="I28"/>
  <c r="I27"/>
  <c r="H27"/>
  <c r="G27"/>
  <c r="F28"/>
  <c r="F27"/>
  <c r="E28"/>
  <c r="E27"/>
  <c r="D27"/>
  <c r="C28"/>
  <c r="C27"/>
  <c r="A27"/>
  <c r="G26"/>
  <c r="E26"/>
  <c r="H25"/>
  <c r="G25"/>
  <c r="F25"/>
  <c r="E25"/>
  <c r="D25"/>
  <c r="H24"/>
  <c r="G24"/>
  <c r="F24"/>
  <c r="E24"/>
  <c r="D24"/>
  <c r="C23"/>
  <c r="AB21"/>
  <c r="AA21"/>
  <c r="Z21"/>
  <c r="Y21"/>
  <c r="X21"/>
  <c r="W21"/>
  <c r="V21"/>
  <c r="U21"/>
  <c r="T21"/>
  <c r="K22"/>
  <c r="K21"/>
  <c r="J22"/>
  <c r="J21"/>
  <c r="I22"/>
  <c r="I21"/>
  <c r="H21"/>
  <c r="G21"/>
  <c r="F22"/>
  <c r="F21"/>
  <c r="E22"/>
  <c r="E21"/>
  <c r="D21"/>
  <c r="C22"/>
  <c r="C21"/>
  <c r="A21"/>
  <c r="I14"/>
  <c r="I13"/>
  <c r="I12"/>
  <c r="A10"/>
  <c r="C8"/>
  <c r="A6"/>
  <c r="A5"/>
  <c r="C3"/>
  <c r="A1" i="4"/>
  <c r="A2"/>
  <c r="A3"/>
  <c r="A4"/>
  <c r="A5"/>
  <c r="A6"/>
  <c r="A7"/>
  <c r="A8"/>
  <c r="A9"/>
  <c r="A10"/>
  <c r="A11"/>
  <c r="A12"/>
  <c r="A13"/>
  <c r="A14"/>
  <c r="A15"/>
  <c r="A16"/>
  <c r="A1" i="3"/>
  <c r="CY1"/>
  <c r="CZ1"/>
  <c r="DA1"/>
  <c r="DB1"/>
  <c r="DC1"/>
  <c r="A2"/>
  <c r="CY2"/>
  <c r="CZ2"/>
  <c r="DA2"/>
  <c r="DB2"/>
  <c r="DC2"/>
  <c r="A3"/>
  <c r="CY3"/>
  <c r="CZ3"/>
  <c r="DA3"/>
  <c r="DB3"/>
  <c r="DC3"/>
  <c r="A4"/>
  <c r="CY4"/>
  <c r="CZ4"/>
  <c r="DA4"/>
  <c r="DB4"/>
  <c r="DC4"/>
  <c r="A5"/>
  <c r="CY5"/>
  <c r="CZ5"/>
  <c r="DA5"/>
  <c r="DB5"/>
  <c r="DC5"/>
  <c r="A6"/>
  <c r="CY6"/>
  <c r="CZ6"/>
  <c r="DA6"/>
  <c r="DB6"/>
  <c r="DC6"/>
  <c r="A7"/>
  <c r="CY7"/>
  <c r="CZ7"/>
  <c r="DA7"/>
  <c r="DB7"/>
  <c r="DC7"/>
  <c r="A8"/>
  <c r="CY8"/>
  <c r="CZ8"/>
  <c r="DA8"/>
  <c r="DB8"/>
  <c r="DC8"/>
  <c r="A9"/>
  <c r="CX9"/>
  <c r="CY9"/>
  <c r="CZ9"/>
  <c r="DA9"/>
  <c r="DB9"/>
  <c r="DC9"/>
  <c r="A10"/>
  <c r="CX10"/>
  <c r="CY10"/>
  <c r="CZ10"/>
  <c r="DA10"/>
  <c r="DB10"/>
  <c r="DC10"/>
  <c r="A11"/>
  <c r="CX11"/>
  <c r="CY11"/>
  <c r="CZ11"/>
  <c r="DA11"/>
  <c r="DB11"/>
  <c r="DC11"/>
  <c r="A12"/>
  <c r="CX12"/>
  <c r="CY12"/>
  <c r="CZ12"/>
  <c r="DA12"/>
  <c r="DB12"/>
  <c r="DC12"/>
  <c r="A13"/>
  <c r="CX13"/>
  <c r="CY13"/>
  <c r="CZ13"/>
  <c r="DA13"/>
  <c r="DB13"/>
  <c r="DC13"/>
  <c r="A14"/>
  <c r="CX14"/>
  <c r="CY14"/>
  <c r="CZ14"/>
  <c r="DA14"/>
  <c r="DB14"/>
  <c r="DC14"/>
  <c r="A15"/>
  <c r="CX15"/>
  <c r="CY15"/>
  <c r="CZ15"/>
  <c r="DA15"/>
  <c r="DB15"/>
  <c r="DC15"/>
  <c r="A16"/>
  <c r="CX16"/>
  <c r="CY16"/>
  <c r="CZ16"/>
  <c r="DA16"/>
  <c r="DB16"/>
  <c r="DC16"/>
  <c r="D12" i="1"/>
  <c r="E18"/>
  <c r="Z18"/>
  <c r="AA18"/>
  <c r="AB18"/>
  <c r="AC18"/>
  <c r="AD18"/>
  <c r="AE18"/>
  <c r="AF18"/>
  <c r="AG18"/>
  <c r="AH18"/>
  <c r="AI18"/>
  <c r="AJ18"/>
  <c r="AK18"/>
  <c r="AL18"/>
  <c r="AM18"/>
  <c r="AN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EL18"/>
  <c r="EM18"/>
  <c r="EN18"/>
  <c r="EO18"/>
  <c r="EP18"/>
  <c r="EQ18"/>
  <c r="ER18"/>
  <c r="ES18"/>
  <c r="ET18"/>
  <c r="EU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FT18"/>
  <c r="FU18"/>
  <c r="FV18"/>
  <c r="FW18"/>
  <c r="FX18"/>
  <c r="FY18"/>
  <c r="FZ18"/>
  <c r="GA18"/>
  <c r="GB18"/>
  <c r="GC18"/>
  <c r="GD18"/>
  <c r="GE18"/>
  <c r="GF18"/>
  <c r="GG18"/>
  <c r="GH18"/>
  <c r="GI18"/>
  <c r="GJ18"/>
  <c r="GK18"/>
  <c r="GL18"/>
  <c r="GM18"/>
  <c r="GN18"/>
  <c r="GO18"/>
  <c r="GP18"/>
  <c r="GQ18"/>
  <c r="GR18"/>
  <c r="GS18"/>
  <c r="GT18"/>
  <c r="GU18"/>
  <c r="GV18"/>
  <c r="GW18"/>
  <c r="GX18"/>
  <c r="D20"/>
  <c r="E22"/>
  <c r="Z22"/>
  <c r="AA22"/>
  <c r="AM22"/>
  <c r="AN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DS22"/>
  <c r="DT22"/>
  <c r="DU22"/>
  <c r="DV22"/>
  <c r="DW22"/>
  <c r="DX22"/>
  <c r="DY22"/>
  <c r="DZ22"/>
  <c r="EA22"/>
  <c r="EB22"/>
  <c r="EC22"/>
  <c r="ED22"/>
  <c r="EE22"/>
  <c r="EF22"/>
  <c r="EG22"/>
  <c r="EH22"/>
  <c r="EI22"/>
  <c r="EJ22"/>
  <c r="EK22"/>
  <c r="EL22"/>
  <c r="EM22"/>
  <c r="EN22"/>
  <c r="EO22"/>
  <c r="EP22"/>
  <c r="EQ22"/>
  <c r="ER22"/>
  <c r="ES22"/>
  <c r="ET22"/>
  <c r="EU22"/>
  <c r="EV22"/>
  <c r="EW22"/>
  <c r="EX22"/>
  <c r="EY22"/>
  <c r="EZ22"/>
  <c r="FA22"/>
  <c r="FB22"/>
  <c r="FC22"/>
  <c r="FD22"/>
  <c r="FE22"/>
  <c r="FF22"/>
  <c r="FG22"/>
  <c r="FH22"/>
  <c r="FI22"/>
  <c r="FJ22"/>
  <c r="FK22"/>
  <c r="FL22"/>
  <c r="FM22"/>
  <c r="FN22"/>
  <c r="FO22"/>
  <c r="FP22"/>
  <c r="FQ22"/>
  <c r="FR22"/>
  <c r="FS22"/>
  <c r="FT22"/>
  <c r="FU22"/>
  <c r="FV22"/>
  <c r="FW22"/>
  <c r="FX22"/>
  <c r="FY22"/>
  <c r="FZ22"/>
  <c r="GA22"/>
  <c r="GB22"/>
  <c r="GC22"/>
  <c r="GD22"/>
  <c r="GE22"/>
  <c r="GF22"/>
  <c r="GG22"/>
  <c r="GH22"/>
  <c r="GI22"/>
  <c r="GJ22"/>
  <c r="GK22"/>
  <c r="GL22"/>
  <c r="GM22"/>
  <c r="GN22"/>
  <c r="GO22"/>
  <c r="GP22"/>
  <c r="GQ22"/>
  <c r="GR22"/>
  <c r="GS22"/>
  <c r="GT22"/>
  <c r="GU22"/>
  <c r="GV22"/>
  <c r="GW22"/>
  <c r="GX22"/>
  <c r="C24"/>
  <c r="D24"/>
  <c r="I24"/>
  <c r="CX1" i="3" s="1"/>
  <c r="AC24" i="1"/>
  <c r="AB24" s="1"/>
  <c r="AE24"/>
  <c r="AD24" s="1"/>
  <c r="CR24" s="1"/>
  <c r="Q24" s="1"/>
  <c r="AF24"/>
  <c r="AG24"/>
  <c r="CU24" s="1"/>
  <c r="T24" s="1"/>
  <c r="AH24"/>
  <c r="AI24"/>
  <c r="CW24" s="1"/>
  <c r="V24" s="1"/>
  <c r="AJ24"/>
  <c r="CT24"/>
  <c r="S24" s="1"/>
  <c r="CV24"/>
  <c r="U24" s="1"/>
  <c r="AH27" s="1"/>
  <c r="CX24"/>
  <c r="W24" s="1"/>
  <c r="FR24"/>
  <c r="GL24"/>
  <c r="GN24"/>
  <c r="GP24"/>
  <c r="GV24"/>
  <c r="GX24"/>
  <c r="HC24"/>
  <c r="C25"/>
  <c r="D25"/>
  <c r="AC25"/>
  <c r="AE25"/>
  <c r="AD25" s="1"/>
  <c r="CR25" s="1"/>
  <c r="Q25" s="1"/>
  <c r="AF25"/>
  <c r="AG25"/>
  <c r="CU25" s="1"/>
  <c r="T25" s="1"/>
  <c r="AH25"/>
  <c r="AI25"/>
  <c r="CW25" s="1"/>
  <c r="V25" s="1"/>
  <c r="AJ25"/>
  <c r="CT25"/>
  <c r="S25" s="1"/>
  <c r="CV25"/>
  <c r="U25" s="1"/>
  <c r="CX25"/>
  <c r="W25" s="1"/>
  <c r="FR25"/>
  <c r="GL25"/>
  <c r="GN25"/>
  <c r="GP25"/>
  <c r="GV25"/>
  <c r="GX25"/>
  <c r="HC25"/>
  <c r="B27"/>
  <c r="B22" s="1"/>
  <c r="C27"/>
  <c r="C22" s="1"/>
  <c r="D27"/>
  <c r="D22" s="1"/>
  <c r="F27"/>
  <c r="F22" s="1"/>
  <c r="G27"/>
  <c r="G22" s="1"/>
  <c r="AP27"/>
  <c r="AP22" s="1"/>
  <c r="BB27"/>
  <c r="BB22" s="1"/>
  <c r="BX27"/>
  <c r="BX22" s="1"/>
  <c r="BY27"/>
  <c r="BY22" s="1"/>
  <c r="BZ27"/>
  <c r="BZ22" s="1"/>
  <c r="CB27"/>
  <c r="CB22" s="1"/>
  <c r="CD27"/>
  <c r="CD22" s="1"/>
  <c r="CJ27"/>
  <c r="CJ22" s="1"/>
  <c r="CK27"/>
  <c r="CK22" s="1"/>
  <c r="CL27"/>
  <c r="CL22" s="1"/>
  <c r="F36"/>
  <c r="F40"/>
  <c r="B56"/>
  <c r="B18" s="1"/>
  <c r="C56"/>
  <c r="C18" s="1"/>
  <c r="D56"/>
  <c r="D18" s="1"/>
  <c r="F56"/>
  <c r="F18" s="1"/>
  <c r="G56"/>
  <c r="G18" s="1"/>
  <c r="AP56"/>
  <c r="AP18" s="1"/>
  <c r="BB56"/>
  <c r="BB18" s="1"/>
  <c r="G16" i="2"/>
  <c r="G18"/>
  <c r="B20"/>
  <c r="B21"/>
  <c r="B24"/>
  <c r="B27"/>
  <c r="B30"/>
  <c r="B32"/>
  <c r="B33"/>
  <c r="B35"/>
  <c r="B36"/>
  <c r="B37"/>
  <c r="B39"/>
  <c r="B40"/>
  <c r="B41"/>
  <c r="B43"/>
  <c r="B44"/>
  <c r="B45"/>
  <c r="CY25" i="1" l="1"/>
  <c r="X25" s="1"/>
  <c r="AH22"/>
  <c r="U27"/>
  <c r="AF27"/>
  <c r="AB25"/>
  <c r="AJ27"/>
  <c r="AI27"/>
  <c r="AG27"/>
  <c r="AD27"/>
  <c r="F69"/>
  <c r="F65"/>
  <c r="CI27"/>
  <c r="CG27"/>
  <c r="BC27"/>
  <c r="BA27"/>
  <c r="AU27"/>
  <c r="AS27"/>
  <c r="AQ27"/>
  <c r="AO27"/>
  <c r="CS25"/>
  <c r="R25" s="1"/>
  <c r="CZ25" s="1"/>
  <c r="Y25" s="1"/>
  <c r="CQ25"/>
  <c r="P25" s="1"/>
  <c r="CP25" s="1"/>
  <c r="O25" s="1"/>
  <c r="CS24"/>
  <c r="R24" s="1"/>
  <c r="AE27" s="1"/>
  <c r="CQ24"/>
  <c r="P24" s="1"/>
  <c r="CX8" i="3"/>
  <c r="CX6"/>
  <c r="CX4"/>
  <c r="CX2"/>
  <c r="CX7"/>
  <c r="CX5"/>
  <c r="CX3"/>
  <c r="GM25" i="1" l="1"/>
  <c r="GO25"/>
  <c r="AO22"/>
  <c r="F31"/>
  <c r="AO56"/>
  <c r="F44"/>
  <c r="E16" i="2" s="1"/>
  <c r="AS22" i="1"/>
  <c r="AS56"/>
  <c r="BA22"/>
  <c r="F47"/>
  <c r="BA56"/>
  <c r="AX27"/>
  <c r="CG22"/>
  <c r="AD22"/>
  <c r="Q27"/>
  <c r="V27"/>
  <c r="AI22"/>
  <c r="AF22"/>
  <c r="S27"/>
  <c r="U56"/>
  <c r="U22"/>
  <c r="F49"/>
  <c r="R27"/>
  <c r="AE22"/>
  <c r="AQ22"/>
  <c r="F37"/>
  <c r="AQ56"/>
  <c r="F46"/>
  <c r="H16" i="2" s="1"/>
  <c r="H18" s="1"/>
  <c r="AU22" i="1"/>
  <c r="AU56"/>
  <c r="BC22"/>
  <c r="F43"/>
  <c r="BC56"/>
  <c r="AZ27"/>
  <c r="CI22"/>
  <c r="T27"/>
  <c r="AG22"/>
  <c r="AJ22"/>
  <c r="W27"/>
  <c r="CY24"/>
  <c r="X24" s="1"/>
  <c r="AK27" s="1"/>
  <c r="CZ24"/>
  <c r="Y24" s="1"/>
  <c r="AL27" s="1"/>
  <c r="CP24"/>
  <c r="O24" s="1"/>
  <c r="AC27"/>
  <c r="AB27" l="1"/>
  <c r="GM24"/>
  <c r="CA27" s="1"/>
  <c r="GO24"/>
  <c r="CC27" s="1"/>
  <c r="U18"/>
  <c r="F78"/>
  <c r="V22"/>
  <c r="F50"/>
  <c r="V56"/>
  <c r="AX22"/>
  <c r="F34"/>
  <c r="AX56"/>
  <c r="AS18"/>
  <c r="F73"/>
  <c r="P27"/>
  <c r="CF27"/>
  <c r="CH27"/>
  <c r="AC22"/>
  <c r="CE27"/>
  <c r="AL22"/>
  <c r="Y27"/>
  <c r="W56"/>
  <c r="W22"/>
  <c r="F51"/>
  <c r="BC18"/>
  <c r="F72"/>
  <c r="AQ18"/>
  <c r="F66"/>
  <c r="R22"/>
  <c r="F41"/>
  <c r="R56"/>
  <c r="F42"/>
  <c r="J16" i="2" s="1"/>
  <c r="J18" s="1"/>
  <c r="S56" i="1"/>
  <c r="S22"/>
  <c r="Q56"/>
  <c r="Q22"/>
  <c r="F39"/>
  <c r="BA18"/>
  <c r="F76"/>
  <c r="AO18"/>
  <c r="F60"/>
  <c r="X27"/>
  <c r="AK22"/>
  <c r="T22"/>
  <c r="F48"/>
  <c r="T56"/>
  <c r="AZ22"/>
  <c r="F38"/>
  <c r="AZ56"/>
  <c r="AU18"/>
  <c r="F75"/>
  <c r="E18" i="2"/>
  <c r="AZ18" i="1" l="1"/>
  <c r="F67"/>
  <c r="Q18"/>
  <c r="F68"/>
  <c r="S18"/>
  <c r="F71"/>
  <c r="F70"/>
  <c r="R18"/>
  <c r="Y56"/>
  <c r="Y22"/>
  <c r="F53"/>
  <c r="AV27"/>
  <c r="CE22"/>
  <c r="CH22"/>
  <c r="AY27"/>
  <c r="P22"/>
  <c r="F30"/>
  <c r="P56"/>
  <c r="V18"/>
  <c r="F79"/>
  <c r="AR27"/>
  <c r="CA22"/>
  <c r="T18"/>
  <c r="F77"/>
  <c r="X22"/>
  <c r="F52"/>
  <c r="X56"/>
  <c r="W18"/>
  <c r="F80"/>
  <c r="CF22"/>
  <c r="AW27"/>
  <c r="AX18"/>
  <c r="F63"/>
  <c r="AT27"/>
  <c r="CC22"/>
  <c r="AB22"/>
  <c r="O27"/>
  <c r="AT22" l="1"/>
  <c r="AT56"/>
  <c r="F45"/>
  <c r="F16" i="2" s="1"/>
  <c r="P18" i="1"/>
  <c r="F59"/>
  <c r="AV22"/>
  <c r="F32"/>
  <c r="AV56"/>
  <c r="O56"/>
  <c r="O22"/>
  <c r="F29"/>
  <c r="AW22"/>
  <c r="F33"/>
  <c r="AW56"/>
  <c r="X18"/>
  <c r="F81"/>
  <c r="AR22"/>
  <c r="F54"/>
  <c r="AR56"/>
  <c r="AY22"/>
  <c r="F35"/>
  <c r="AY56"/>
  <c r="Y18"/>
  <c r="F82"/>
  <c r="AY18" l="1"/>
  <c r="F64"/>
  <c r="AW18"/>
  <c r="F62"/>
  <c r="AV18"/>
  <c r="F61"/>
  <c r="F74"/>
  <c r="AT18"/>
  <c r="AR18"/>
  <c r="F83"/>
  <c r="O18"/>
  <c r="F58"/>
  <c r="F18" i="2"/>
  <c r="I16"/>
  <c r="I18" s="1"/>
</calcChain>
</file>

<file path=xl/sharedStrings.xml><?xml version="1.0" encoding="utf-8"?>
<sst xmlns="http://schemas.openxmlformats.org/spreadsheetml/2006/main" count="804" uniqueCount="219">
  <si>
    <t>Smeta.RU  (495) 974-1589</t>
  </si>
  <si>
    <t>_PS_</t>
  </si>
  <si>
    <t>Smeta.RU</t>
  </si>
  <si>
    <t/>
  </si>
  <si>
    <t>Новый объект</t>
  </si>
  <si>
    <t>ТЕР</t>
  </si>
  <si>
    <t>Сметные нормы списания</t>
  </si>
  <si>
    <t>Коды ценников</t>
  </si>
  <si>
    <t>ТЕР Тверской области (ред. 2015)</t>
  </si>
  <si>
    <t>ТР для Версии 10: Центральные регионы (с уч. п-ма 2536-ИП/12/ГС от 27.11.12, 01/57049-ЮЛ от 27.04.2018) от 30.08.2018 г</t>
  </si>
  <si>
    <t>ТЕР-2015</t>
  </si>
  <si>
    <t>Поправки  для НБ 2014 года от 17.02.2017</t>
  </si>
  <si>
    <t>Новая локальная смета</t>
  </si>
  <si>
    <t>1</t>
  </si>
  <si>
    <t>м08-02-390-1</t>
  </si>
  <si>
    <t>Короба пластмассовые шириной до 40 мм</t>
  </si>
  <si>
    <t>100 м</t>
  </si>
  <si>
    <t>ТЕР (ред.2014)Тверской обл.изм.2,пр. № 337/пр,сб.08,гл.02,табл.390,поз.1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</si>
  <si>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</si>
  <si>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</si>
  <si>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</si>
  <si>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*0,7</t>
  </si>
  <si>
    <t>*0,9</t>
  </si>
  <si>
    <t>2</t>
  </si>
  <si>
    <t>м08-02-395-1</t>
  </si>
  <si>
    <t>Лоток металлический штампованный по установленным конструкциям, ширина лотка до 200 мм</t>
  </si>
  <si>
    <t>1 Т</t>
  </si>
  <si>
    <t>ТЕР (ред.2014)Тверской обл.изм.2,пр. № 337/пр,сб.08,гл.02,табл.395,поз.1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</si>
  <si>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</si>
  <si>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</si>
  <si>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</si>
  <si>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</si>
  <si>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</si>
  <si>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</si>
  <si>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</si>
  <si>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</si>
  <si>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</si>
  <si>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</si>
  <si>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</si>
  <si>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</si>
  <si>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</si>
  <si>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</si>
  <si>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</si>
  <si>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</si>
  <si>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</si>
  <si>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</si>
  <si>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</si>
  <si>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</si>
  <si>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</si>
  <si>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</si>
  <si>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</si>
  <si>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</si>
  <si>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</si>
  <si>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</si>
  <si>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</si>
  <si>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</si>
  <si>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</si>
  <si>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</si>
  <si>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</si>
  <si>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</si>
  <si>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</si>
  <si>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</si>
  <si>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</si>
  <si>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</si>
  <si>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</si>
  <si>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</si>
  <si>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</si>
  <si>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</si>
  <si>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</si>
  <si>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</si>
  <si>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</si>
  <si>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</si>
  <si>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</si>
  <si>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</si>
  <si>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</si>
  <si>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</si>
  <si>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</si>
  <si>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</si>
  <si>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</si>
  <si>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</si>
  <si>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</si>
  <si>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</si>
  <si>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</si>
  <si>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</si>
  <si>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</si>
  <si>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</si>
  <si>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</si>
  <si>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</si>
  <si>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</si>
  <si>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</si>
  <si>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</si>
  <si>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</si>
  <si>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</si>
  <si>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</si>
  <si>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</si>
  <si>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ТЕК_М/Т/Я</t>
  </si>
  <si>
    <t>При работе в тек. уровне цен с 27.04.2018 г. (письмо № 01/57049-ЮЛ от 27.04.2018 Минюст РФ), коэффициенты к НР =0,85 и к СП-0,8 не назначаются. До 27.04.2018 г. только для мостов, тоннелей, метро, АЭС, объектов с ядерным топливом (см. прим.)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</si>
  <si>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</si>
  <si>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</si>
  <si>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</si>
  <si>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</si>
  <si>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</si>
  <si>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</si>
  <si>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</si>
  <si>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</si>
  <si>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</si>
  <si>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</si>
  <si>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</si>
  <si>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</si>
  <si>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</si>
  <si>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</si>
  <si>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</si>
  <si>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</si>
  <si>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</si>
  <si>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</si>
  <si>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</si>
  <si>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</si>
  <si>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</si>
  <si>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</si>
  <si>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</si>
  <si>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</si>
  <si>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</si>
  <si>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</si>
  <si>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</si>
  <si>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</si>
  <si>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</si>
  <si>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до 27.04.18 если (ТЕК_М/Т/Я) = {выкл.}</t>
  </si>
  <si>
    <t>К_СП_12</t>
  </si>
  <si>
    <t>Корректировка СП с 03.12.12 до 27.04.18 в текущем уровне цен по письму  2536-ИП/12/ГС от 27.11.12  ( если (ТЕК_М/Т/Я)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</si>
  <si>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</si>
  <si>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</si>
  <si>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</si>
  <si>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</si>
  <si>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</si>
  <si>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</si>
  <si>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</si>
  <si>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(мосты, метро, путепроводы)  и  кап. ремонте АЭС,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</si>
  <si>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</si>
  <si>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</si>
  <si>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</si>
  <si>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</si>
  <si>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</si>
  <si>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_OBSM_</t>
  </si>
  <si>
    <t>1-1039-69</t>
  </si>
  <si>
    <t>Рабочий строитель среднего разряда 3,9</t>
  </si>
  <si>
    <t>чел.-ч</t>
  </si>
  <si>
    <t>2-69</t>
  </si>
  <si>
    <t>Затраты труда машинистов</t>
  </si>
  <si>
    <t>чел.час</t>
  </si>
  <si>
    <t>030954</t>
  </si>
  <si>
    <t>ЦЭМ Тверской обл.(редакции 2014), пр. №337/пр, сб.03,поз.0954</t>
  </si>
  <si>
    <t>Подъемники грузоподъемностью до 500 кг одномачтовые, высота подъема 45 м</t>
  </si>
  <si>
    <t>маш.-ч</t>
  </si>
  <si>
    <t>134041</t>
  </si>
  <si>
    <t>ЦЭМ Тверской обл.(редакции 2014), пр. №337/пр, сб.13,поз.4041</t>
  </si>
  <si>
    <t>Шуруповерт</t>
  </si>
  <si>
    <t>331451</t>
  </si>
  <si>
    <t>ЦЭМ Тверской обл.(редакции 2014), пр. №337/пр, сб.33,поз.1451</t>
  </si>
  <si>
    <t>Перфораторы электрические</t>
  </si>
  <si>
    <t>101-1481</t>
  </si>
  <si>
    <t>ССЦ Тверской обл. (редакции 2014), пр. № 337/пр, сб.101, поз.1481</t>
  </si>
  <si>
    <t>Шурупы с полукруглой головкой 4x40 мм</t>
  </si>
  <si>
    <t>т</t>
  </si>
  <si>
    <t>101-2202</t>
  </si>
  <si>
    <t>ССЦ Тверской обл. (редакции 2014), пр. № 337/пр, сб.101, поз.2202</t>
  </si>
  <si>
    <t>Дюбели распорные полиэтиленовые 6х40 мм</t>
  </si>
  <si>
    <t>10 шт.</t>
  </si>
  <si>
    <t>999-9950</t>
  </si>
  <si>
    <t>ССЦ Тверской обл. (редакции 2014), пр. № 337/пр, сб.999, поз.9950</t>
  </si>
  <si>
    <t>Вспомогательные ненормируемые материалы (2% от ОЗП)</t>
  </si>
  <si>
    <t>руб.</t>
  </si>
  <si>
    <t>1-2038-69</t>
  </si>
  <si>
    <t>Рабочий монтажник среднего разряда 3,8</t>
  </si>
  <si>
    <t>021102</t>
  </si>
  <si>
    <t>ЦЭМ Тверской обл.(редакции 2014), пр. №337/пр, сб.02,поз.1102</t>
  </si>
  <si>
    <t>Краны на автомобильном ходу при работе на монтаже технологического оборудования 10 т</t>
  </si>
  <si>
    <t>040502</t>
  </si>
  <si>
    <t>ЦЭМ Тверской обл.(редакции 2014), пр. №337/пр, сб.04,поз.0502</t>
  </si>
  <si>
    <t>Установки для сварки ручной дуговой (постоянного тока)</t>
  </si>
  <si>
    <t>400001</t>
  </si>
  <si>
    <t>ЦЭМ Тверской обл.(редакции 2014), пр. №337/пр, сб.40,поз.0001</t>
  </si>
  <si>
    <t>Автомобили бортовые, грузоподъемность до 5 т</t>
  </si>
  <si>
    <t>101-1924</t>
  </si>
  <si>
    <t>ССЦ Тверской обл. (редакции 2014), пр. № 337/пр, сб.101, поз.1924</t>
  </si>
  <si>
    <t>Электроды диаметром 4 мм Э42А</t>
  </si>
  <si>
    <t>кг</t>
  </si>
  <si>
    <t>101-1977</t>
  </si>
  <si>
    <t>ССЦ Тверской обл. (редакции 2014), пр. № 337/пр, сб.101, поз.1977</t>
  </si>
  <si>
    <t>Болты с гайками и шайбами строительные</t>
  </si>
  <si>
    <t>Наименование стройки:</t>
  </si>
  <si>
    <t>Объект:</t>
  </si>
  <si>
    <t xml:space="preserve">Наименование объекта:  </t>
  </si>
  <si>
    <t>Сметная стоимость</t>
  </si>
  <si>
    <t>тыс.руб</t>
  </si>
  <si>
    <t>Нормативная трудоемкость</t>
  </si>
  <si>
    <t>Сметная заработная плата</t>
  </si>
  <si>
    <t>№ п/п</t>
  </si>
  <si>
    <t>Шифр и № позиции норматива</t>
  </si>
  <si>
    <t>Наименование работ и затрат, единица измерения</t>
  </si>
  <si>
    <t>Кол-во</t>
  </si>
  <si>
    <t>Стоимость ед, руб.</t>
  </si>
  <si>
    <t>Общая стоимость, руб.</t>
  </si>
  <si>
    <t>Затраты труда рабочих, чел.-ч., не занятых обсл. Машин</t>
  </si>
  <si>
    <t>Экспл. Машин</t>
  </si>
  <si>
    <t>зар.платы</t>
  </si>
  <si>
    <t>Основной зар.платы</t>
  </si>
  <si>
    <t>в т.ч. Зарплаты</t>
  </si>
  <si>
    <t>обслуж. машины</t>
  </si>
  <si>
    <t>на един.</t>
  </si>
  <si>
    <t>всего</t>
  </si>
  <si>
    <t>Составлена в ценах январь 2000 года</t>
  </si>
  <si>
    <t>ТЕР 08-02-390-1</t>
  </si>
  <si>
    <t xml:space="preserve">% НР </t>
  </si>
  <si>
    <t xml:space="preserve">% СП </t>
  </si>
  <si>
    <t xml:space="preserve">Итого с НР и СП </t>
  </si>
  <si>
    <t>ТЕР 08-02-395-1</t>
  </si>
  <si>
    <t xml:space="preserve">Составил    </t>
  </si>
  <si>
    <t>[должность,подпись(инициалы,фамилия)]</t>
  </si>
  <si>
    <t xml:space="preserve">Проверил    </t>
  </si>
</sst>
</file>

<file path=xl/styles.xml><?xml version="1.0" encoding="utf-8"?>
<styleSheet xmlns="http://schemas.openxmlformats.org/spreadsheetml/2006/main">
  <numFmts count="3">
    <numFmt numFmtId="164" formatCode="#,##0.00;[Red]\-\ #,##0.00"/>
    <numFmt numFmtId="165" formatCode="#,##0.00####;[Red]\-\ #,##0.00####"/>
    <numFmt numFmtId="166" formatCode="#,##0;[Red]\-\ #,##0"/>
  </numFmts>
  <fonts count="16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1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u/>
      <sz val="14"/>
      <name val="Arial"/>
      <family val="2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left" wrapText="1"/>
    </xf>
    <xf numFmtId="0" fontId="8" fillId="0" borderId="0" xfId="0" applyFont="1" applyAlignment="1"/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right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right"/>
    </xf>
    <xf numFmtId="164" fontId="8" fillId="0" borderId="1" xfId="0" applyNumberFormat="1" applyFont="1" applyBorder="1" applyAlignment="1">
      <alignment horizontal="right"/>
    </xf>
    <xf numFmtId="0" fontId="9" fillId="0" borderId="0" xfId="0" applyFont="1"/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wrapText="1"/>
    </xf>
    <xf numFmtId="0" fontId="13" fillId="0" borderId="0" xfId="0" applyFont="1" applyAlignment="1">
      <alignment horizontal="right" wrapText="1"/>
    </xf>
    <xf numFmtId="165" fontId="8" fillId="0" borderId="3" xfId="0" applyNumberFormat="1" applyFont="1" applyBorder="1"/>
    <xf numFmtId="166" fontId="8" fillId="0" borderId="0" xfId="0" applyNumberFormat="1" applyFont="1"/>
    <xf numFmtId="166" fontId="8" fillId="0" borderId="3" xfId="0" applyNumberFormat="1" applyFont="1" applyBorder="1"/>
    <xf numFmtId="164" fontId="8" fillId="0" borderId="3" xfId="0" applyNumberFormat="1" applyFont="1" applyBorder="1"/>
    <xf numFmtId="165" fontId="8" fillId="0" borderId="0" xfId="0" applyNumberFormat="1" applyFont="1"/>
    <xf numFmtId="164" fontId="8" fillId="0" borderId="0" xfId="0" applyNumberFormat="1" applyFont="1"/>
    <xf numFmtId="0" fontId="9" fillId="0" borderId="0" xfId="0" applyFont="1" applyAlignment="1">
      <alignment wrapText="1"/>
    </xf>
    <xf numFmtId="0" fontId="9" fillId="0" borderId="0" xfId="0" applyFont="1" applyAlignment="1">
      <alignment horizontal="right" wrapText="1"/>
    </xf>
    <xf numFmtId="165" fontId="9" fillId="0" borderId="0" xfId="0" applyNumberFormat="1" applyFont="1" applyAlignment="1">
      <alignment horizontal="right" wrapText="1"/>
    </xf>
    <xf numFmtId="166" fontId="9" fillId="0" borderId="0" xfId="0" applyNumberFormat="1" applyFont="1" applyAlignment="1">
      <alignment horizontal="right" wrapText="1"/>
    </xf>
    <xf numFmtId="165" fontId="8" fillId="0" borderId="1" xfId="0" applyNumberFormat="1" applyFont="1" applyBorder="1"/>
    <xf numFmtId="166" fontId="8" fillId="0" borderId="1" xfId="0" applyNumberFormat="1" applyFont="1" applyBorder="1"/>
    <xf numFmtId="164" fontId="8" fillId="0" borderId="1" xfId="0" applyNumberFormat="1" applyFont="1" applyBorder="1"/>
    <xf numFmtId="0" fontId="14" fillId="0" borderId="0" xfId="0" applyFont="1" applyAlignment="1">
      <alignment horizontal="right"/>
    </xf>
    <xf numFmtId="166" fontId="14" fillId="0" borderId="0" xfId="0" applyNumberFormat="1" applyFont="1" applyAlignment="1">
      <alignment horizontal="right"/>
    </xf>
    <xf numFmtId="166" fontId="14" fillId="0" borderId="1" xfId="0" applyNumberFormat="1" applyFont="1" applyBorder="1" applyAlignment="1">
      <alignment horizontal="right"/>
    </xf>
    <xf numFmtId="164" fontId="14" fillId="0" borderId="1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166" fontId="8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left"/>
    </xf>
    <xf numFmtId="0" fontId="8" fillId="0" borderId="1" xfId="0" applyFont="1" applyBorder="1"/>
    <xf numFmtId="0" fontId="15" fillId="0" borderId="4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54"/>
  <sheetViews>
    <sheetView tabSelected="1" workbookViewId="0">
      <selection activeCell="C21" sqref="C21"/>
    </sheetView>
  </sheetViews>
  <sheetFormatPr defaultRowHeight="12.75"/>
  <cols>
    <col min="1" max="1" width="6.7109375" customWidth="1"/>
    <col min="2" max="2" width="15.7109375" customWidth="1"/>
    <col min="3" max="3" width="40.7109375" customWidth="1"/>
    <col min="4" max="11" width="12.7109375" customWidth="1"/>
    <col min="20" max="37" width="0" hidden="1" customWidth="1"/>
  </cols>
  <sheetData>
    <row r="1" spans="1:13" ht="14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15.75">
      <c r="A2" s="9" t="s">
        <v>189</v>
      </c>
      <c r="B2" s="9"/>
      <c r="C2" s="10" t="s">
        <v>5</v>
      </c>
      <c r="D2" s="10"/>
      <c r="E2" s="10"/>
      <c r="F2" s="10"/>
      <c r="G2" s="10"/>
      <c r="H2" s="10"/>
      <c r="I2" s="10"/>
      <c r="J2" s="10"/>
      <c r="K2" s="10"/>
      <c r="L2" s="8"/>
      <c r="M2" s="8"/>
    </row>
    <row r="3" spans="1:13" ht="15.75">
      <c r="A3" s="9" t="s">
        <v>190</v>
      </c>
      <c r="B3" s="9"/>
      <c r="C3" s="10" t="str">
        <f>IF(Source!F12&lt;&gt;"Новый объект", Source!F12, "")</f>
        <v/>
      </c>
      <c r="D3" s="10"/>
      <c r="E3" s="10"/>
      <c r="F3" s="10"/>
      <c r="G3" s="10"/>
      <c r="H3" s="10"/>
      <c r="I3" s="10"/>
      <c r="J3" s="10"/>
      <c r="K3" s="10"/>
      <c r="L3" s="8"/>
      <c r="M3" s="8"/>
    </row>
    <row r="4" spans="1:13" ht="14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8"/>
      <c r="M4" s="8"/>
    </row>
    <row r="5" spans="1:13" ht="18">
      <c r="A5" s="12" t="str">
        <f>CONCATENATE( "Локальная смета ", IF(Source!F20&lt;&gt;"Новая локальная смета", Source!F20, ""))</f>
        <v xml:space="preserve">Локальная смета 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8"/>
      <c r="M5" s="8"/>
    </row>
    <row r="6" spans="1:13" ht="18">
      <c r="A6" s="13" t="str">
        <f>CONCATENATE( "Локальная смета ", IF(Source!G20&lt;&gt;"Новая локальная смета", Source!G20, ""))</f>
        <v xml:space="preserve">Локальная смета 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8"/>
      <c r="M6" s="8"/>
    </row>
    <row r="7" spans="1:13" ht="14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</row>
    <row r="8" spans="1:13" ht="18">
      <c r="A8" s="14" t="s">
        <v>191</v>
      </c>
      <c r="B8" s="14"/>
      <c r="C8" s="15" t="str">
        <f>IF(Source!G12&lt;&gt;"Новый объект", Source!G12, "")</f>
        <v>ТЕР</v>
      </c>
      <c r="D8" s="15"/>
      <c r="E8" s="15"/>
      <c r="F8" s="15"/>
      <c r="G8" s="15"/>
      <c r="H8" s="15"/>
      <c r="I8" s="15"/>
      <c r="J8" s="15"/>
      <c r="K8" s="15"/>
      <c r="L8" s="8"/>
      <c r="M8" s="8"/>
    </row>
    <row r="9" spans="1:13" ht="14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8"/>
      <c r="M9" s="8"/>
    </row>
    <row r="10" spans="1:13" ht="14.25">
      <c r="A10" s="16" t="str">
        <f>CONCATENATE( "Основание: ", Source!J20)</f>
        <v xml:space="preserve">Основание: 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8"/>
      <c r="M10" s="8"/>
    </row>
    <row r="11" spans="1:13" ht="14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8"/>
      <c r="M11" s="8"/>
    </row>
    <row r="12" spans="1:13" ht="14.25">
      <c r="A12" s="18" t="s">
        <v>210</v>
      </c>
      <c r="B12" s="18"/>
      <c r="C12" s="18"/>
      <c r="D12" s="18"/>
      <c r="E12" s="18"/>
      <c r="F12" s="19" t="s">
        <v>192</v>
      </c>
      <c r="G12" s="19"/>
      <c r="H12" s="19"/>
      <c r="I12" s="28">
        <f>(Source!F54/1000)</f>
        <v>0.57599999999999996</v>
      </c>
      <c r="J12" s="20"/>
      <c r="K12" s="21" t="s">
        <v>193</v>
      </c>
      <c r="L12" s="8"/>
      <c r="M12" s="8"/>
    </row>
    <row r="13" spans="1:13" ht="14.25">
      <c r="A13" s="18"/>
      <c r="B13" s="18"/>
      <c r="C13" s="18"/>
      <c r="D13" s="18"/>
      <c r="E13" s="18"/>
      <c r="F13" s="19" t="s">
        <v>194</v>
      </c>
      <c r="G13" s="19"/>
      <c r="H13" s="19"/>
      <c r="I13" s="28">
        <f>(Source!F49+Source!F50)</f>
        <v>22</v>
      </c>
      <c r="J13" s="20"/>
      <c r="K13" s="21" t="s">
        <v>145</v>
      </c>
      <c r="L13" s="8"/>
      <c r="M13" s="8"/>
    </row>
    <row r="14" spans="1:13" ht="14.25">
      <c r="A14" s="22"/>
      <c r="B14" s="22"/>
      <c r="C14" s="22"/>
      <c r="D14" s="22"/>
      <c r="E14" s="22"/>
      <c r="F14" s="23" t="s">
        <v>195</v>
      </c>
      <c r="G14" s="23"/>
      <c r="H14" s="23"/>
      <c r="I14" s="29">
        <f>(Source!F42+ Source!F41)/1000</f>
        <v>0.20100000000000001</v>
      </c>
      <c r="J14" s="24"/>
      <c r="K14" s="21" t="s">
        <v>193</v>
      </c>
      <c r="L14" s="8"/>
      <c r="M14" s="8"/>
    </row>
    <row r="15" spans="1:13" ht="14.25">
      <c r="A15" s="25" t="s">
        <v>196</v>
      </c>
      <c r="B15" s="25" t="s">
        <v>197</v>
      </c>
      <c r="C15" s="25" t="s">
        <v>198</v>
      </c>
      <c r="D15" s="25" t="s">
        <v>199</v>
      </c>
      <c r="E15" s="25" t="s">
        <v>200</v>
      </c>
      <c r="F15" s="25"/>
      <c r="G15" s="26" t="s">
        <v>201</v>
      </c>
      <c r="H15" s="26"/>
      <c r="I15" s="26"/>
      <c r="J15" s="25" t="s">
        <v>202</v>
      </c>
      <c r="K15" s="25"/>
      <c r="L15" s="8"/>
      <c r="M15" s="8"/>
    </row>
    <row r="16" spans="1:13" ht="20.100000000000001" customHeight="1">
      <c r="A16" s="25"/>
      <c r="B16" s="25"/>
      <c r="C16" s="25"/>
      <c r="D16" s="25"/>
      <c r="E16" s="25" t="s">
        <v>78</v>
      </c>
      <c r="F16" s="25" t="s">
        <v>203</v>
      </c>
      <c r="G16" s="25" t="s">
        <v>78</v>
      </c>
      <c r="H16" s="25" t="s">
        <v>204</v>
      </c>
      <c r="I16" s="25" t="s">
        <v>203</v>
      </c>
      <c r="J16" s="25"/>
      <c r="K16" s="25"/>
      <c r="L16" s="8"/>
      <c r="M16" s="8"/>
    </row>
    <row r="17" spans="1:28" ht="14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8"/>
      <c r="M17" s="8"/>
    </row>
    <row r="18" spans="1:28" ht="20.100000000000001" customHeight="1">
      <c r="A18" s="25"/>
      <c r="B18" s="25"/>
      <c r="C18" s="25"/>
      <c r="D18" s="25"/>
      <c r="E18" s="25" t="s">
        <v>205</v>
      </c>
      <c r="F18" s="25" t="s">
        <v>206</v>
      </c>
      <c r="G18" s="25"/>
      <c r="H18" s="25"/>
      <c r="I18" s="25" t="s">
        <v>206</v>
      </c>
      <c r="J18" s="25" t="s">
        <v>207</v>
      </c>
      <c r="K18" s="25"/>
      <c r="L18" s="8"/>
      <c r="M18" s="8"/>
    </row>
    <row r="19" spans="1:28" ht="14.25">
      <c r="A19" s="25"/>
      <c r="B19" s="25"/>
      <c r="C19" s="25"/>
      <c r="D19" s="25"/>
      <c r="E19" s="25"/>
      <c r="F19" s="25"/>
      <c r="G19" s="25"/>
      <c r="H19" s="25"/>
      <c r="I19" s="25"/>
      <c r="J19" s="27" t="s">
        <v>208</v>
      </c>
      <c r="K19" s="27" t="s">
        <v>209</v>
      </c>
      <c r="L19" s="8"/>
      <c r="M19" s="8"/>
    </row>
    <row r="20" spans="1:28" ht="14.25">
      <c r="A20" s="27">
        <v>1</v>
      </c>
      <c r="B20" s="27">
        <v>2</v>
      </c>
      <c r="C20" s="27">
        <v>3</v>
      </c>
      <c r="D20" s="27">
        <v>4</v>
      </c>
      <c r="E20" s="27">
        <v>5</v>
      </c>
      <c r="F20" s="27">
        <v>6</v>
      </c>
      <c r="G20" s="27">
        <v>7</v>
      </c>
      <c r="H20" s="27">
        <v>8</v>
      </c>
      <c r="I20" s="27">
        <v>9</v>
      </c>
      <c r="J20" s="27">
        <v>10</v>
      </c>
      <c r="K20" s="27">
        <v>11</v>
      </c>
      <c r="L20" s="8"/>
      <c r="M20" s="8"/>
    </row>
    <row r="21" spans="1:28" ht="28.5">
      <c r="A21" s="31" t="str">
        <f>Source!E24</f>
        <v>1</v>
      </c>
      <c r="B21" s="31" t="s">
        <v>211</v>
      </c>
      <c r="C21" s="32" t="str">
        <f>Source!G24</f>
        <v>Короба пластмассовые шириной до 40 мм</v>
      </c>
      <c r="D21" s="8">
        <f>Source!I24</f>
        <v>1</v>
      </c>
      <c r="E21" s="34">
        <f>Source!AB24</f>
        <v>229.93</v>
      </c>
      <c r="F21" s="34">
        <f>Source!AD24</f>
        <v>31.19</v>
      </c>
      <c r="G21" s="35">
        <f>Source!O24</f>
        <v>230</v>
      </c>
      <c r="H21" s="35">
        <f>Source!S24</f>
        <v>150</v>
      </c>
      <c r="I21" s="36">
        <f>Source!Q24</f>
        <v>31</v>
      </c>
      <c r="J21" s="37">
        <f>Source!AH24</f>
        <v>16.29</v>
      </c>
      <c r="K21" s="37">
        <f>Source!U24</f>
        <v>16.29</v>
      </c>
      <c r="T21">
        <f>Source!O24+Source!X24+Source!Y24</f>
        <v>420</v>
      </c>
      <c r="U21">
        <f>Source!P24</f>
        <v>49</v>
      </c>
      <c r="V21">
        <f>Source!S24</f>
        <v>150</v>
      </c>
      <c r="W21">
        <f>Source!Q24</f>
        <v>31</v>
      </c>
      <c r="X21">
        <f>Source!R24</f>
        <v>0</v>
      </c>
      <c r="Y21">
        <f>Source!U24</f>
        <v>16.29</v>
      </c>
      <c r="Z21">
        <f>Source!V24</f>
        <v>0.01</v>
      </c>
      <c r="AA21">
        <f>Source!X24</f>
        <v>101</v>
      </c>
      <c r="AB21">
        <f>Source!Y24</f>
        <v>89</v>
      </c>
    </row>
    <row r="22" spans="1:28" ht="14.25">
      <c r="C22" s="33" t="str">
        <f>Source!H24</f>
        <v>100 м</v>
      </c>
      <c r="D22" s="8"/>
      <c r="E22" s="38">
        <f>Source!AF24</f>
        <v>149.54</v>
      </c>
      <c r="F22" s="38">
        <f>Source!AE24</f>
        <v>0.13</v>
      </c>
      <c r="G22" s="35"/>
      <c r="H22" s="35"/>
      <c r="I22" s="35">
        <f>Source!R24</f>
        <v>0</v>
      </c>
      <c r="J22" s="39">
        <f>Source!AI24</f>
        <v>0.01</v>
      </c>
      <c r="K22" s="39">
        <f>Source!V24</f>
        <v>0.01</v>
      </c>
    </row>
    <row r="23" spans="1:28">
      <c r="C23" s="40" t="str">
        <f>"Объем: "&amp;Source!I24&amp;"=100/"&amp;"100"</f>
        <v>Объем: 1=100/100</v>
      </c>
    </row>
    <row r="24" spans="1:28">
      <c r="C24" s="30" t="s">
        <v>212</v>
      </c>
      <c r="D24" s="41">
        <f>Source!BZ24</f>
        <v>95</v>
      </c>
      <c r="E24" s="42">
        <f>(Source!AF24+Source!AE24)*Source!FX24/100</f>
        <v>99.530549999999991</v>
      </c>
      <c r="F24" s="41" t="str">
        <f>CONCATENATE(Source!DL24,Source!FT24, "=", Source!FX24, "%")</f>
        <v>*0,7=66,5%</v>
      </c>
      <c r="G24" s="43">
        <f>Source!X24</f>
        <v>101</v>
      </c>
      <c r="H24" s="41" t="str">
        <f>CONCATENATE(Source!AT24)</f>
        <v>67</v>
      </c>
      <c r="I24" s="41"/>
      <c r="J24" s="41"/>
      <c r="K24" s="41"/>
    </row>
    <row r="25" spans="1:28">
      <c r="C25" s="30" t="s">
        <v>213</v>
      </c>
      <c r="D25" s="41">
        <f>Source!CA24</f>
        <v>65</v>
      </c>
      <c r="E25" s="42">
        <f>(Source!AF24+Source!AE24)*Source!FY24/100</f>
        <v>87.556950000000001</v>
      </c>
      <c r="F25" s="41" t="str">
        <f>CONCATENATE(Source!DM24,Source!FU24, "=", Source!FY24, "%")</f>
        <v>*0,9=58,5%</v>
      </c>
      <c r="G25" s="43">
        <f>Source!Y24</f>
        <v>89</v>
      </c>
      <c r="H25" s="41" t="str">
        <f>CONCATENATE(Source!AU24)</f>
        <v>59</v>
      </c>
      <c r="I25" s="41"/>
      <c r="J25" s="41"/>
      <c r="K25" s="41"/>
    </row>
    <row r="26" spans="1:28">
      <c r="C26" s="30" t="s">
        <v>214</v>
      </c>
      <c r="D26" s="41"/>
      <c r="E26" s="42">
        <f>((Source!AF24+Source!AE24)*Source!FX24/100)+((Source!AF24+Source!AE24)*Source!FY24/100)+Source!AB24</f>
        <v>417.01749999999998</v>
      </c>
      <c r="F26" s="41"/>
      <c r="G26" s="43">
        <f>Source!O24+Source!X24+Source!Y24</f>
        <v>420</v>
      </c>
      <c r="H26" s="41"/>
      <c r="I26" s="41"/>
      <c r="J26" s="41"/>
      <c r="K26" s="41"/>
    </row>
    <row r="27" spans="1:28" ht="42.75">
      <c r="A27" s="31" t="str">
        <f>Source!E25</f>
        <v>2</v>
      </c>
      <c r="B27" s="31" t="s">
        <v>215</v>
      </c>
      <c r="C27" s="32" t="str">
        <f>Source!G25</f>
        <v>Лоток металлический штампованный по установленным конструкциям, ширина лотка до 200 мм</v>
      </c>
      <c r="D27" s="8">
        <f>Source!I25</f>
        <v>0.1</v>
      </c>
      <c r="E27" s="44">
        <f>Source!AB25</f>
        <v>924.64</v>
      </c>
      <c r="F27" s="44">
        <f>Source!AD25</f>
        <v>363.3</v>
      </c>
      <c r="G27" s="35">
        <f>Source!O25</f>
        <v>92</v>
      </c>
      <c r="H27" s="35">
        <f>Source!S25</f>
        <v>49</v>
      </c>
      <c r="I27" s="45">
        <f>Source!Q25</f>
        <v>36</v>
      </c>
      <c r="J27" s="46">
        <f>Source!AH25</f>
        <v>54</v>
      </c>
      <c r="K27" s="46">
        <f>Source!U25</f>
        <v>5.4</v>
      </c>
      <c r="T27">
        <f>Source!O25+Source!X25+Source!Y25</f>
        <v>156</v>
      </c>
      <c r="U27">
        <f>Source!P25</f>
        <v>7</v>
      </c>
      <c r="V27">
        <f>Source!S25</f>
        <v>49</v>
      </c>
      <c r="W27">
        <f>Source!Q25</f>
        <v>36</v>
      </c>
      <c r="X27">
        <f>Source!R25</f>
        <v>2</v>
      </c>
      <c r="Y27">
        <f>Source!U25</f>
        <v>5.4</v>
      </c>
      <c r="Z27">
        <f>Source!V25</f>
        <v>0.125</v>
      </c>
      <c r="AA27">
        <f>Source!X25</f>
        <v>34</v>
      </c>
      <c r="AB27">
        <f>Source!Y25</f>
        <v>30</v>
      </c>
    </row>
    <row r="28" spans="1:28" ht="14.25">
      <c r="C28" s="33" t="str">
        <f>Source!H25</f>
        <v>1 Т</v>
      </c>
      <c r="D28" s="8"/>
      <c r="E28" s="38">
        <f>Source!AF25</f>
        <v>490.32</v>
      </c>
      <c r="F28" s="38">
        <f>Source!AE25</f>
        <v>16.29</v>
      </c>
      <c r="G28" s="35"/>
      <c r="H28" s="35"/>
      <c r="I28" s="35">
        <f>Source!R25</f>
        <v>2</v>
      </c>
      <c r="J28" s="39">
        <f>Source!AI25</f>
        <v>1.25</v>
      </c>
      <c r="K28" s="39">
        <f>Source!V25</f>
        <v>0.125</v>
      </c>
    </row>
    <row r="29" spans="1:28">
      <c r="C29" s="30" t="s">
        <v>212</v>
      </c>
      <c r="D29" s="41">
        <f>Source!BZ25</f>
        <v>95</v>
      </c>
      <c r="E29" s="42">
        <f>(Source!AF25+Source!AE25)*Source!FX25/100</f>
        <v>336.89565000000005</v>
      </c>
      <c r="F29" s="41" t="str">
        <f>CONCATENATE(Source!DL25,Source!FT25, "=", Source!FX25, "%")</f>
        <v>*0,7=66,5%</v>
      </c>
      <c r="G29" s="43">
        <f>Source!X25</f>
        <v>34</v>
      </c>
      <c r="H29" s="41" t="str">
        <f>CONCATENATE(Source!AT25)</f>
        <v>67</v>
      </c>
      <c r="I29" s="41"/>
      <c r="J29" s="41"/>
      <c r="K29" s="41"/>
    </row>
    <row r="30" spans="1:28">
      <c r="C30" s="30" t="s">
        <v>213</v>
      </c>
      <c r="D30" s="41">
        <f>Source!CA25</f>
        <v>65</v>
      </c>
      <c r="E30" s="42">
        <f>(Source!AF25+Source!AE25)*Source!FY25/100</f>
        <v>296.36685</v>
      </c>
      <c r="F30" s="41" t="str">
        <f>CONCATENATE(Source!DM25,Source!FU25, "=", Source!FY25, "%")</f>
        <v>*0,9=58,5%</v>
      </c>
      <c r="G30" s="43">
        <f>Source!Y25</f>
        <v>30</v>
      </c>
      <c r="H30" s="41" t="str">
        <f>CONCATENATE(Source!AU25)</f>
        <v>59</v>
      </c>
      <c r="I30" s="41"/>
      <c r="J30" s="41"/>
      <c r="K30" s="41"/>
    </row>
    <row r="31" spans="1:28">
      <c r="C31" s="30" t="s">
        <v>214</v>
      </c>
      <c r="D31" s="41"/>
      <c r="E31" s="42">
        <f>((Source!AF25+Source!AE25)*Source!FX25/100)+((Source!AF25+Source!AE25)*Source!FY25/100)+Source!AB25</f>
        <v>1557.9025000000001</v>
      </c>
      <c r="F31" s="41"/>
      <c r="G31" s="43">
        <f>Source!O25+Source!X25+Source!Y25</f>
        <v>156</v>
      </c>
      <c r="H31" s="41"/>
      <c r="I31" s="41"/>
      <c r="J31" s="41"/>
      <c r="K31" s="41"/>
    </row>
    <row r="33" spans="1:11" ht="15">
      <c r="A33" s="47"/>
      <c r="B33" s="47"/>
      <c r="C33" s="52" t="str">
        <f>CONCATENATE("Итого по локальной смете: ",IF(Source!G27&lt;&gt;"Новая локальная смета", Source!G27, ""))</f>
        <v xml:space="preserve">Итого по локальной смете: </v>
      </c>
      <c r="D33" s="52"/>
      <c r="E33" s="52"/>
      <c r="F33" s="52"/>
      <c r="G33" s="48">
        <f>IF(SUM(T21:T32)=0, "-", SUM(T21:T32))</f>
        <v>576</v>
      </c>
      <c r="H33" s="48">
        <f>IF(SUM(V21:V32)=0, "-", SUM(V21:V32))</f>
        <v>199</v>
      </c>
      <c r="I33" s="49">
        <f>IF(SUM(W21:W32)=0, "-", SUM(W21:W32))</f>
        <v>67</v>
      </c>
      <c r="J33" s="48"/>
      <c r="K33" s="50">
        <f>IF(SUM(Y21:Y32)=0, "-", SUM(Y21:Y32))</f>
        <v>21.689999999999998</v>
      </c>
    </row>
    <row r="34" spans="1:11" ht="15">
      <c r="A34" s="47"/>
      <c r="B34" s="47"/>
      <c r="C34" s="47"/>
      <c r="D34" s="47"/>
      <c r="E34" s="47"/>
      <c r="F34" s="47"/>
      <c r="G34" s="48"/>
      <c r="H34" s="48"/>
      <c r="I34" s="48">
        <f>IF(SUM(X21:X32)=0, "-", SUM(X21:X32))</f>
        <v>2</v>
      </c>
      <c r="J34" s="48"/>
      <c r="K34" s="51">
        <f>IF(SUM(Z21:Z32)=0, "-", SUM(Z21:Z32))</f>
        <v>0.13500000000000001</v>
      </c>
    </row>
    <row r="37" spans="1:11" ht="14.25">
      <c r="C37" s="16" t="str">
        <f>Source!H29</f>
        <v>Прямые затраты</v>
      </c>
      <c r="D37" s="16"/>
      <c r="E37" s="16"/>
      <c r="F37" s="16"/>
      <c r="G37" s="16"/>
      <c r="H37" s="53">
        <f>IF(Source!F29=0, "", Source!F29)</f>
        <v>322</v>
      </c>
      <c r="I37" s="53"/>
    </row>
    <row r="38" spans="1:11" ht="14.25">
      <c r="C38" s="16" t="str">
        <f>Source!H30</f>
        <v>Стоимость материальных ресурсов (всего)</v>
      </c>
      <c r="D38" s="16"/>
      <c r="E38" s="16"/>
      <c r="F38" s="16"/>
      <c r="G38" s="16"/>
      <c r="H38" s="53">
        <f>IF(Source!F30=0, "", Source!F30)</f>
        <v>56</v>
      </c>
      <c r="I38" s="53"/>
    </row>
    <row r="39" spans="1:11" ht="14.25">
      <c r="C39" s="16" t="str">
        <f>Source!H33</f>
        <v>Стоимость материалов (всего)</v>
      </c>
      <c r="D39" s="16"/>
      <c r="E39" s="16"/>
      <c r="F39" s="16"/>
      <c r="G39" s="16"/>
      <c r="H39" s="53">
        <f>IF(Source!F33=0, "", Source!F33)</f>
        <v>56</v>
      </c>
      <c r="I39" s="53"/>
    </row>
    <row r="40" spans="1:11" ht="14.25">
      <c r="C40" s="16" t="str">
        <f>Source!H39</f>
        <v>Эксплуатация машин</v>
      </c>
      <c r="D40" s="16"/>
      <c r="E40" s="16"/>
      <c r="F40" s="16"/>
      <c r="G40" s="16"/>
      <c r="H40" s="53">
        <f>IF(Source!F39=0, "", Source!F39)</f>
        <v>67</v>
      </c>
      <c r="I40" s="53"/>
    </row>
    <row r="41" spans="1:11" ht="14.25">
      <c r="C41" s="16" t="str">
        <f>Source!H41</f>
        <v>ЗП машинистов</v>
      </c>
      <c r="D41" s="16"/>
      <c r="E41" s="16"/>
      <c r="F41" s="16"/>
      <c r="G41" s="16"/>
      <c r="H41" s="53">
        <f>IF(Source!F41=0, "", Source!F41)</f>
        <v>2</v>
      </c>
      <c r="I41" s="53"/>
    </row>
    <row r="42" spans="1:11" ht="14.25">
      <c r="C42" s="16" t="str">
        <f>Source!H42</f>
        <v>Основная ЗП рабочих</v>
      </c>
      <c r="D42" s="16"/>
      <c r="E42" s="16"/>
      <c r="F42" s="16"/>
      <c r="G42" s="16"/>
      <c r="H42" s="53">
        <f>IF(Source!F42=0, "", Source!F42)</f>
        <v>199</v>
      </c>
      <c r="I42" s="53"/>
    </row>
    <row r="43" spans="1:11" ht="14.25">
      <c r="C43" s="16" t="str">
        <f>Source!H45</f>
        <v>Монтажные работы с НР и СП</v>
      </c>
      <c r="D43" s="16"/>
      <c r="E43" s="16"/>
      <c r="F43" s="16"/>
      <c r="G43" s="16"/>
      <c r="H43" s="53">
        <f>IF(Source!F45=0, "", Source!F45)</f>
        <v>576</v>
      </c>
      <c r="I43" s="53"/>
    </row>
    <row r="44" spans="1:11" ht="14.25">
      <c r="C44" s="16" t="str">
        <f>Source!H49</f>
        <v>Трудозатраты строителей</v>
      </c>
      <c r="D44" s="16"/>
      <c r="E44" s="16"/>
      <c r="F44" s="16"/>
      <c r="G44" s="16"/>
      <c r="H44" s="53">
        <f>IF(Source!F49=0, "", Source!F49)</f>
        <v>22</v>
      </c>
      <c r="I44" s="53"/>
    </row>
    <row r="45" spans="1:11" ht="14.25">
      <c r="C45" s="16" t="str">
        <f>Source!H52</f>
        <v>Накладные расходы</v>
      </c>
      <c r="D45" s="16"/>
      <c r="E45" s="16"/>
      <c r="F45" s="16"/>
      <c r="G45" s="16"/>
      <c r="H45" s="53">
        <f>IF(Source!F52=0, "", Source!F52)</f>
        <v>135</v>
      </c>
      <c r="I45" s="53"/>
    </row>
    <row r="46" spans="1:11" ht="14.25">
      <c r="C46" s="16" t="str">
        <f>Source!H53</f>
        <v>Сметная прибыль</v>
      </c>
      <c r="D46" s="16"/>
      <c r="E46" s="16"/>
      <c r="F46" s="16"/>
      <c r="G46" s="16"/>
      <c r="H46" s="53">
        <f>IF(Source!F53=0, "", Source!F53)</f>
        <v>119</v>
      </c>
      <c r="I46" s="53"/>
    </row>
    <row r="47" spans="1:11" ht="14.25">
      <c r="C47" s="16" t="str">
        <f>Source!H54</f>
        <v>Всего с НР и СП</v>
      </c>
      <c r="D47" s="16"/>
      <c r="E47" s="16"/>
      <c r="F47" s="16"/>
      <c r="G47" s="16"/>
      <c r="H47" s="53">
        <f>IF(Source!F54=0, "", Source!F54)</f>
        <v>576</v>
      </c>
      <c r="I47" s="53"/>
    </row>
    <row r="50" spans="1:11" ht="14.25">
      <c r="A50" s="20" t="s">
        <v>216</v>
      </c>
      <c r="B50" s="20"/>
      <c r="C50" s="54" t="str">
        <f>IF(Source!AC12&lt;&gt;"", Source!AC12," ")</f>
        <v xml:space="preserve"> </v>
      </c>
      <c r="D50" s="55"/>
      <c r="E50" s="55"/>
      <c r="F50" s="55"/>
      <c r="G50" s="55"/>
      <c r="H50" s="55"/>
      <c r="I50" s="21" t="str">
        <f>IF(Source!AB12&lt;&gt;"", Source!AB12," ")</f>
        <v xml:space="preserve"> </v>
      </c>
      <c r="J50" s="8"/>
      <c r="K50" s="8"/>
    </row>
    <row r="51" spans="1:11" ht="14.25">
      <c r="A51" s="8"/>
      <c r="B51" s="8"/>
      <c r="C51" s="56" t="s">
        <v>217</v>
      </c>
      <c r="D51" s="56"/>
      <c r="E51" s="56"/>
      <c r="F51" s="56"/>
      <c r="G51" s="56"/>
      <c r="H51" s="56"/>
      <c r="I51" s="8"/>
      <c r="J51" s="8"/>
      <c r="K51" s="8"/>
    </row>
    <row r="52" spans="1:11" ht="14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</row>
    <row r="53" spans="1:11" ht="14.25">
      <c r="A53" s="20" t="s">
        <v>218</v>
      </c>
      <c r="B53" s="20"/>
      <c r="C53" s="54" t="str">
        <f>IF(Source!AE12&lt;&gt;"", Source!AE12," ")</f>
        <v xml:space="preserve"> </v>
      </c>
      <c r="D53" s="55"/>
      <c r="E53" s="55"/>
      <c r="F53" s="55"/>
      <c r="G53" s="55"/>
      <c r="H53" s="55"/>
      <c r="I53" s="21" t="str">
        <f>IF(Source!AD12&lt;&gt;"", Source!AD12," ")</f>
        <v xml:space="preserve"> </v>
      </c>
      <c r="J53" s="8"/>
      <c r="K53" s="8"/>
    </row>
    <row r="54" spans="1:11" ht="14.25">
      <c r="A54" s="8"/>
      <c r="B54" s="8"/>
      <c r="C54" s="56" t="s">
        <v>217</v>
      </c>
      <c r="D54" s="56"/>
      <c r="E54" s="56"/>
      <c r="F54" s="56"/>
      <c r="G54" s="56"/>
      <c r="H54" s="56"/>
      <c r="I54" s="8"/>
      <c r="J54" s="8"/>
      <c r="K54" s="8"/>
    </row>
  </sheetData>
  <mergeCells count="59">
    <mergeCell ref="A53:B53"/>
    <mergeCell ref="C54:H54"/>
    <mergeCell ref="C46:G46"/>
    <mergeCell ref="H46:I46"/>
    <mergeCell ref="C47:G47"/>
    <mergeCell ref="H47:I47"/>
    <mergeCell ref="A50:B50"/>
    <mergeCell ref="C51:H51"/>
    <mergeCell ref="C43:G43"/>
    <mergeCell ref="H43:I43"/>
    <mergeCell ref="C44:G44"/>
    <mergeCell ref="H44:I44"/>
    <mergeCell ref="C45:G45"/>
    <mergeCell ref="H45:I45"/>
    <mergeCell ref="C40:G40"/>
    <mergeCell ref="H40:I40"/>
    <mergeCell ref="C41:G41"/>
    <mergeCell ref="H41:I41"/>
    <mergeCell ref="C42:G42"/>
    <mergeCell ref="H42:I42"/>
    <mergeCell ref="C33:F33"/>
    <mergeCell ref="C37:G37"/>
    <mergeCell ref="H37:I37"/>
    <mergeCell ref="C38:G38"/>
    <mergeCell ref="H38:I38"/>
    <mergeCell ref="C39:G39"/>
    <mergeCell ref="H39:I39"/>
    <mergeCell ref="J15:K17"/>
    <mergeCell ref="E16:E17"/>
    <mergeCell ref="F16:F17"/>
    <mergeCell ref="G16:G19"/>
    <mergeCell ref="H16:H19"/>
    <mergeCell ref="I16:I17"/>
    <mergeCell ref="E18:E19"/>
    <mergeCell ref="F18:F19"/>
    <mergeCell ref="I18:I19"/>
    <mergeCell ref="J18:K18"/>
    <mergeCell ref="A15:A19"/>
    <mergeCell ref="B15:B19"/>
    <mergeCell ref="C15:C19"/>
    <mergeCell ref="D15:D19"/>
    <mergeCell ref="E15:F15"/>
    <mergeCell ref="G15:I15"/>
    <mergeCell ref="A8:B8"/>
    <mergeCell ref="C8:K8"/>
    <mergeCell ref="A10:K10"/>
    <mergeCell ref="A12:E14"/>
    <mergeCell ref="F12:H12"/>
    <mergeCell ref="I12:J12"/>
    <mergeCell ref="F13:H13"/>
    <mergeCell ref="I13:J13"/>
    <mergeCell ref="F14:H14"/>
    <mergeCell ref="I14:J14"/>
    <mergeCell ref="A2:B2"/>
    <mergeCell ref="C2:K2"/>
    <mergeCell ref="A3:B3"/>
    <mergeCell ref="C3:K3"/>
    <mergeCell ref="A5:K5"/>
    <mergeCell ref="A6:K6"/>
  </mergeCells>
  <pageMargins left="0.4" right="0.2" top="0.2" bottom="0.4" header="0.2" footer="0.2"/>
  <pageSetup paperSize="9" scale="60" fitToHeight="0" orientation="portrait" verticalDpi="0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K118"/>
  <sheetViews>
    <sheetView workbookViewId="0">
      <selection activeCell="A114" sqref="A114:O114"/>
    </sheetView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28224</v>
      </c>
      <c r="M1">
        <v>10</v>
      </c>
      <c r="N1">
        <v>10</v>
      </c>
      <c r="O1">
        <v>1</v>
      </c>
      <c r="P1">
        <v>0</v>
      </c>
      <c r="Q1">
        <v>11</v>
      </c>
    </row>
    <row r="12" spans="1:133">
      <c r="A12" s="1">
        <v>1</v>
      </c>
      <c r="B12" s="1">
        <v>114</v>
      </c>
      <c r="C12" s="1">
        <v>0</v>
      </c>
      <c r="D12" s="1">
        <f>ROW(A56)</f>
        <v>56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0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>
      <c r="A18" s="2">
        <v>52</v>
      </c>
      <c r="B18" s="2">
        <f t="shared" ref="B18:G18" si="0">B56</f>
        <v>114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ТЕР</v>
      </c>
      <c r="H18" s="2"/>
      <c r="I18" s="2"/>
      <c r="J18" s="2"/>
      <c r="K18" s="2"/>
      <c r="L18" s="2"/>
      <c r="M18" s="2"/>
      <c r="N18" s="2"/>
      <c r="O18" s="2">
        <f t="shared" ref="O18:AT18" si="1">O56</f>
        <v>322</v>
      </c>
      <c r="P18" s="2">
        <f t="shared" si="1"/>
        <v>56</v>
      </c>
      <c r="Q18" s="2">
        <f t="shared" si="1"/>
        <v>67</v>
      </c>
      <c r="R18" s="2">
        <f t="shared" si="1"/>
        <v>2</v>
      </c>
      <c r="S18" s="2">
        <f t="shared" si="1"/>
        <v>199</v>
      </c>
      <c r="T18" s="2">
        <f t="shared" si="1"/>
        <v>0</v>
      </c>
      <c r="U18" s="2">
        <f t="shared" si="1"/>
        <v>21.689999999999998</v>
      </c>
      <c r="V18" s="2">
        <f t="shared" si="1"/>
        <v>0.13500000000000001</v>
      </c>
      <c r="W18" s="2">
        <f t="shared" si="1"/>
        <v>0</v>
      </c>
      <c r="X18" s="2">
        <f t="shared" si="1"/>
        <v>135</v>
      </c>
      <c r="Y18" s="2">
        <f t="shared" si="1"/>
        <v>119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576</v>
      </c>
      <c r="AS18" s="2">
        <f t="shared" si="1"/>
        <v>0</v>
      </c>
      <c r="AT18" s="2">
        <f t="shared" si="1"/>
        <v>576</v>
      </c>
      <c r="AU18" s="2">
        <f t="shared" ref="AU18:BZ18" si="2">AU56</f>
        <v>0</v>
      </c>
      <c r="AV18" s="2">
        <f t="shared" si="2"/>
        <v>56</v>
      </c>
      <c r="AW18" s="2">
        <f t="shared" si="2"/>
        <v>56</v>
      </c>
      <c r="AX18" s="2">
        <f t="shared" si="2"/>
        <v>0</v>
      </c>
      <c r="AY18" s="2">
        <f t="shared" si="2"/>
        <v>56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CA56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DG56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EM56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FS56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>
      <c r="A20" s="1">
        <v>3</v>
      </c>
      <c r="B20" s="1">
        <v>1</v>
      </c>
      <c r="C20" s="1"/>
      <c r="D20" s="1">
        <f>ROW(A27)</f>
        <v>27</v>
      </c>
      <c r="E20" s="1"/>
      <c r="F20" s="1" t="s">
        <v>12</v>
      </c>
      <c r="G20" s="1" t="s">
        <v>12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>
      <c r="A22" s="2">
        <v>52</v>
      </c>
      <c r="B22" s="2">
        <f t="shared" ref="B22:G22" si="7">B27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O27</f>
        <v>322</v>
      </c>
      <c r="P22" s="2">
        <f t="shared" si="8"/>
        <v>56</v>
      </c>
      <c r="Q22" s="2">
        <f t="shared" si="8"/>
        <v>67</v>
      </c>
      <c r="R22" s="2">
        <f t="shared" si="8"/>
        <v>2</v>
      </c>
      <c r="S22" s="2">
        <f t="shared" si="8"/>
        <v>199</v>
      </c>
      <c r="T22" s="2">
        <f t="shared" si="8"/>
        <v>0</v>
      </c>
      <c r="U22" s="2">
        <f t="shared" si="8"/>
        <v>21.689999999999998</v>
      </c>
      <c r="V22" s="2">
        <f t="shared" si="8"/>
        <v>0.13500000000000001</v>
      </c>
      <c r="W22" s="2">
        <f t="shared" si="8"/>
        <v>0</v>
      </c>
      <c r="X22" s="2">
        <f t="shared" si="8"/>
        <v>135</v>
      </c>
      <c r="Y22" s="2">
        <f t="shared" si="8"/>
        <v>119</v>
      </c>
      <c r="Z22" s="2">
        <f t="shared" si="8"/>
        <v>0</v>
      </c>
      <c r="AA22" s="2">
        <f t="shared" si="8"/>
        <v>0</v>
      </c>
      <c r="AB22" s="2">
        <f t="shared" si="8"/>
        <v>322</v>
      </c>
      <c r="AC22" s="2">
        <f t="shared" si="8"/>
        <v>56</v>
      </c>
      <c r="AD22" s="2">
        <f t="shared" si="8"/>
        <v>67</v>
      </c>
      <c r="AE22" s="2">
        <f t="shared" si="8"/>
        <v>2</v>
      </c>
      <c r="AF22" s="2">
        <f t="shared" si="8"/>
        <v>199</v>
      </c>
      <c r="AG22" s="2">
        <f t="shared" si="8"/>
        <v>0</v>
      </c>
      <c r="AH22" s="2">
        <f t="shared" si="8"/>
        <v>21.689999999999998</v>
      </c>
      <c r="AI22" s="2">
        <f t="shared" si="8"/>
        <v>0.13500000000000001</v>
      </c>
      <c r="AJ22" s="2">
        <f t="shared" si="8"/>
        <v>0</v>
      </c>
      <c r="AK22" s="2">
        <f t="shared" si="8"/>
        <v>135</v>
      </c>
      <c r="AL22" s="2">
        <f t="shared" si="8"/>
        <v>119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576</v>
      </c>
      <c r="AS22" s="2">
        <f t="shared" si="8"/>
        <v>0</v>
      </c>
      <c r="AT22" s="2">
        <f t="shared" si="8"/>
        <v>576</v>
      </c>
      <c r="AU22" s="2">
        <f t="shared" ref="AU22:BZ22" si="9">AU27</f>
        <v>0</v>
      </c>
      <c r="AV22" s="2">
        <f t="shared" si="9"/>
        <v>56</v>
      </c>
      <c r="AW22" s="2">
        <f t="shared" si="9"/>
        <v>56</v>
      </c>
      <c r="AX22" s="2">
        <f t="shared" si="9"/>
        <v>0</v>
      </c>
      <c r="AY22" s="2">
        <f t="shared" si="9"/>
        <v>56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CA27</f>
        <v>576</v>
      </c>
      <c r="CB22" s="2">
        <f t="shared" si="10"/>
        <v>0</v>
      </c>
      <c r="CC22" s="2">
        <f t="shared" si="10"/>
        <v>576</v>
      </c>
      <c r="CD22" s="2">
        <f t="shared" si="10"/>
        <v>0</v>
      </c>
      <c r="CE22" s="2">
        <f t="shared" si="10"/>
        <v>56</v>
      </c>
      <c r="CF22" s="2">
        <f t="shared" si="10"/>
        <v>56</v>
      </c>
      <c r="CG22" s="2">
        <f t="shared" si="10"/>
        <v>0</v>
      </c>
      <c r="CH22" s="2">
        <f t="shared" si="10"/>
        <v>56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DG27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EM27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FS27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>
      <c r="A24">
        <v>17</v>
      </c>
      <c r="B24">
        <v>1</v>
      </c>
      <c r="C24">
        <f>ROW(SmtRes!A8)</f>
        <v>8</v>
      </c>
      <c r="D24">
        <f>ROW(EtalonRes!A8)</f>
        <v>8</v>
      </c>
      <c r="E24" t="s">
        <v>13</v>
      </c>
      <c r="F24" t="s">
        <v>14</v>
      </c>
      <c r="G24" t="s">
        <v>15</v>
      </c>
      <c r="H24" t="s">
        <v>16</v>
      </c>
      <c r="I24">
        <f>ROUND(100/100,9)</f>
        <v>1</v>
      </c>
      <c r="J24">
        <v>0</v>
      </c>
      <c r="O24">
        <f>ROUND(CP24,0)</f>
        <v>230</v>
      </c>
      <c r="P24">
        <f>ROUND(CQ24*I24,0)</f>
        <v>49</v>
      </c>
      <c r="Q24">
        <f>ROUND(CR24*I24,0)</f>
        <v>31</v>
      </c>
      <c r="R24">
        <f>ROUND(CS24*I24,0)</f>
        <v>0</v>
      </c>
      <c r="S24">
        <f>ROUND(CT24*I24,0)</f>
        <v>150</v>
      </c>
      <c r="T24">
        <f>ROUND(CU24*I24,0)</f>
        <v>0</v>
      </c>
      <c r="U24">
        <f>CV24*I24</f>
        <v>16.29</v>
      </c>
      <c r="V24">
        <f>CW24*I24</f>
        <v>0.01</v>
      </c>
      <c r="W24">
        <f>ROUND(CX24*I24,0)</f>
        <v>0</v>
      </c>
      <c r="X24">
        <f>ROUND(CY24,0)</f>
        <v>101</v>
      </c>
      <c r="Y24">
        <f>ROUND(CZ24,0)</f>
        <v>89</v>
      </c>
      <c r="AA24">
        <v>37217027</v>
      </c>
      <c r="AB24">
        <f>ROUND((AC24+AD24+AF24),6)</f>
        <v>229.93</v>
      </c>
      <c r="AC24">
        <f>ROUND((ES24),6)</f>
        <v>49.2</v>
      </c>
      <c r="AD24">
        <f>ROUND((((ET24)-(EU24))+AE24),6)</f>
        <v>31.19</v>
      </c>
      <c r="AE24">
        <f>ROUND((EU24),6)</f>
        <v>0.13</v>
      </c>
      <c r="AF24">
        <f>ROUND((EV24),6)</f>
        <v>149.54</v>
      </c>
      <c r="AG24">
        <f>ROUND((AP24),6)</f>
        <v>0</v>
      </c>
      <c r="AH24">
        <f>(EW24)</f>
        <v>16.29</v>
      </c>
      <c r="AI24">
        <f>(EX24)</f>
        <v>0.01</v>
      </c>
      <c r="AJ24">
        <f>(AS24)</f>
        <v>0</v>
      </c>
      <c r="AK24">
        <v>229.93</v>
      </c>
      <c r="AL24">
        <v>49.2</v>
      </c>
      <c r="AM24">
        <v>31.19</v>
      </c>
      <c r="AN24">
        <v>0.13</v>
      </c>
      <c r="AO24">
        <v>149.54</v>
      </c>
      <c r="AP24">
        <v>0</v>
      </c>
      <c r="AQ24">
        <v>16.29</v>
      </c>
      <c r="AR24">
        <v>0.01</v>
      </c>
      <c r="AS24">
        <v>0</v>
      </c>
      <c r="AT24">
        <v>67</v>
      </c>
      <c r="AU24">
        <v>59</v>
      </c>
      <c r="AV24">
        <v>1</v>
      </c>
      <c r="AW24">
        <v>1</v>
      </c>
      <c r="AZ24">
        <v>1</v>
      </c>
      <c r="BA24">
        <v>1</v>
      </c>
      <c r="BB24">
        <v>1</v>
      </c>
      <c r="BC24">
        <v>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17</v>
      </c>
      <c r="BM24">
        <v>108001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95</v>
      </c>
      <c r="CA24">
        <v>65</v>
      </c>
      <c r="CE24">
        <v>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>(P24+Q24+S24)</f>
        <v>230</v>
      </c>
      <c r="CQ24">
        <f>AC24*BC24</f>
        <v>49.2</v>
      </c>
      <c r="CR24">
        <f>AD24*BB24</f>
        <v>31.19</v>
      </c>
      <c r="CS24">
        <f>AE24*BS24</f>
        <v>0.13</v>
      </c>
      <c r="CT24">
        <f>AF24*BA24</f>
        <v>149.54</v>
      </c>
      <c r="CU24">
        <f t="shared" ref="CU24:CX25" si="14">AG24</f>
        <v>0</v>
      </c>
      <c r="CV24">
        <f t="shared" si="14"/>
        <v>16.29</v>
      </c>
      <c r="CW24">
        <f t="shared" si="14"/>
        <v>0.01</v>
      </c>
      <c r="CX24">
        <f t="shared" si="14"/>
        <v>0</v>
      </c>
      <c r="CY24">
        <f>(((S24+R24)*AT24)/100)</f>
        <v>100.5</v>
      </c>
      <c r="CZ24">
        <f>(((S24+R24)*AU24)/100)</f>
        <v>88.5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1003</v>
      </c>
      <c r="DV24" t="s">
        <v>16</v>
      </c>
      <c r="DW24" t="s">
        <v>16</v>
      </c>
      <c r="DX24">
        <v>100</v>
      </c>
      <c r="EE24">
        <v>36976932</v>
      </c>
      <c r="EF24">
        <v>3</v>
      </c>
      <c r="EG24" t="s">
        <v>18</v>
      </c>
      <c r="EH24">
        <v>0</v>
      </c>
      <c r="EI24" t="s">
        <v>3</v>
      </c>
      <c r="EJ24">
        <v>2</v>
      </c>
      <c r="EK24">
        <v>108001</v>
      </c>
      <c r="EL24" t="s">
        <v>19</v>
      </c>
      <c r="EM24" t="s">
        <v>20</v>
      </c>
      <c r="EO24" t="s">
        <v>3</v>
      </c>
      <c r="EQ24">
        <v>0</v>
      </c>
      <c r="ER24">
        <v>229.93</v>
      </c>
      <c r="ES24">
        <v>49.2</v>
      </c>
      <c r="ET24">
        <v>31.19</v>
      </c>
      <c r="EU24">
        <v>0.13</v>
      </c>
      <c r="EV24">
        <v>149.54</v>
      </c>
      <c r="EW24">
        <v>16.29</v>
      </c>
      <c r="EX24">
        <v>0.01</v>
      </c>
      <c r="EY24">
        <v>0</v>
      </c>
      <c r="FQ24">
        <v>0</v>
      </c>
      <c r="FR24">
        <f>ROUND(IF(AND(BH24=3,BI24=3),P24,0),0)</f>
        <v>0</v>
      </c>
      <c r="FS24">
        <v>0</v>
      </c>
      <c r="FT24" t="s">
        <v>21</v>
      </c>
      <c r="FU24" t="s">
        <v>22</v>
      </c>
      <c r="FX24">
        <v>66.5</v>
      </c>
      <c r="FY24">
        <v>58.5</v>
      </c>
      <c r="GA24" t="s">
        <v>3</v>
      </c>
      <c r="GD24">
        <v>1</v>
      </c>
      <c r="GF24">
        <v>-1978551762</v>
      </c>
      <c r="GG24">
        <v>2</v>
      </c>
      <c r="GH24">
        <v>1</v>
      </c>
      <c r="GI24">
        <v>-2</v>
      </c>
      <c r="GJ24">
        <v>0</v>
      </c>
      <c r="GK24">
        <v>0</v>
      </c>
      <c r="GL24">
        <f>ROUND(IF(AND(BH24=3,BI24=3,FS24&lt;&gt;0),P24,0),0)</f>
        <v>0</v>
      </c>
      <c r="GM24">
        <f>ROUND(O24+X24+Y24,0)+GX24</f>
        <v>420</v>
      </c>
      <c r="GN24">
        <f>IF(OR(BI24=0,BI24=1),ROUND(O24+X24+Y24,0),0)</f>
        <v>0</v>
      </c>
      <c r="GO24">
        <f>IF(BI24=2,ROUND(O24+X24+Y24,0),0)</f>
        <v>420</v>
      </c>
      <c r="GP24">
        <f>IF(BI24=4,ROUND(O24+X24+Y24,0)+GX24,0)</f>
        <v>0</v>
      </c>
      <c r="GR24">
        <v>0</v>
      </c>
      <c r="GS24">
        <v>3</v>
      </c>
      <c r="GT24">
        <v>0</v>
      </c>
      <c r="GU24" t="s">
        <v>3</v>
      </c>
      <c r="GV24">
        <f>ROUND((GT24),6)</f>
        <v>0</v>
      </c>
      <c r="GW24">
        <v>1</v>
      </c>
      <c r="GX24">
        <f>ROUND(HC24*I24,0)</f>
        <v>0</v>
      </c>
      <c r="HA24">
        <v>0</v>
      </c>
      <c r="HB24">
        <v>0</v>
      </c>
      <c r="HC24">
        <f>GV24*GW24</f>
        <v>0</v>
      </c>
      <c r="IK24">
        <v>0</v>
      </c>
    </row>
    <row r="25" spans="1:245">
      <c r="A25">
        <v>17</v>
      </c>
      <c r="B25">
        <v>1</v>
      </c>
      <c r="C25">
        <f>ROW(SmtRes!A16)</f>
        <v>16</v>
      </c>
      <c r="D25">
        <f>ROW(EtalonRes!A16)</f>
        <v>16</v>
      </c>
      <c r="E25" t="s">
        <v>23</v>
      </c>
      <c r="F25" t="s">
        <v>24</v>
      </c>
      <c r="G25" t="s">
        <v>25</v>
      </c>
      <c r="H25" t="s">
        <v>26</v>
      </c>
      <c r="I25">
        <v>0.1</v>
      </c>
      <c r="J25">
        <v>0</v>
      </c>
      <c r="O25">
        <f>ROUND(CP25,0)</f>
        <v>92</v>
      </c>
      <c r="P25">
        <f>ROUND(CQ25*I25,0)</f>
        <v>7</v>
      </c>
      <c r="Q25">
        <f>ROUND(CR25*I25,0)</f>
        <v>36</v>
      </c>
      <c r="R25">
        <f>ROUND(CS25*I25,0)</f>
        <v>2</v>
      </c>
      <c r="S25">
        <f>ROUND(CT25*I25,0)</f>
        <v>49</v>
      </c>
      <c r="T25">
        <f>ROUND(CU25*I25,0)</f>
        <v>0</v>
      </c>
      <c r="U25">
        <f>CV25*I25</f>
        <v>5.4</v>
      </c>
      <c r="V25">
        <f>CW25*I25</f>
        <v>0.125</v>
      </c>
      <c r="W25">
        <f>ROUND(CX25*I25,0)</f>
        <v>0</v>
      </c>
      <c r="X25">
        <f>ROUND(CY25,0)</f>
        <v>34</v>
      </c>
      <c r="Y25">
        <f>ROUND(CZ25,0)</f>
        <v>30</v>
      </c>
      <c r="AA25">
        <v>37217027</v>
      </c>
      <c r="AB25">
        <f>ROUND((AC25+AD25+AF25),6)</f>
        <v>924.64</v>
      </c>
      <c r="AC25">
        <f>ROUND((ES25),6)</f>
        <v>71.02</v>
      </c>
      <c r="AD25">
        <f>ROUND((((ET25)-(EU25))+AE25),6)</f>
        <v>363.3</v>
      </c>
      <c r="AE25">
        <f>ROUND((EU25),6)</f>
        <v>16.29</v>
      </c>
      <c r="AF25">
        <f>ROUND((EV25),6)</f>
        <v>490.32</v>
      </c>
      <c r="AG25">
        <f>ROUND((AP25),6)</f>
        <v>0</v>
      </c>
      <c r="AH25">
        <f>(EW25)</f>
        <v>54</v>
      </c>
      <c r="AI25">
        <f>(EX25)</f>
        <v>1.25</v>
      </c>
      <c r="AJ25">
        <f>(AS25)</f>
        <v>0</v>
      </c>
      <c r="AK25">
        <v>924.64</v>
      </c>
      <c r="AL25">
        <v>71.02</v>
      </c>
      <c r="AM25">
        <v>363.3</v>
      </c>
      <c r="AN25">
        <v>16.29</v>
      </c>
      <c r="AO25">
        <v>490.32</v>
      </c>
      <c r="AP25">
        <v>0</v>
      </c>
      <c r="AQ25">
        <v>54</v>
      </c>
      <c r="AR25">
        <v>1.25</v>
      </c>
      <c r="AS25">
        <v>0</v>
      </c>
      <c r="AT25">
        <v>67</v>
      </c>
      <c r="AU25">
        <v>59</v>
      </c>
      <c r="AV25">
        <v>1</v>
      </c>
      <c r="AW25">
        <v>1</v>
      </c>
      <c r="AZ25">
        <v>1</v>
      </c>
      <c r="BA25">
        <v>1</v>
      </c>
      <c r="BB25">
        <v>1</v>
      </c>
      <c r="BC25">
        <v>1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2</v>
      </c>
      <c r="BJ25" t="s">
        <v>27</v>
      </c>
      <c r="BM25">
        <v>108001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95</v>
      </c>
      <c r="CA25">
        <v>65</v>
      </c>
      <c r="CE25">
        <v>0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>(P25+Q25+S25)</f>
        <v>92</v>
      </c>
      <c r="CQ25">
        <f>AC25*BC25</f>
        <v>71.02</v>
      </c>
      <c r="CR25">
        <f>AD25*BB25</f>
        <v>363.3</v>
      </c>
      <c r="CS25">
        <f>AE25*BS25</f>
        <v>16.29</v>
      </c>
      <c r="CT25">
        <f>AF25*BA25</f>
        <v>490.32</v>
      </c>
      <c r="CU25">
        <f t="shared" si="14"/>
        <v>0</v>
      </c>
      <c r="CV25">
        <f t="shared" si="14"/>
        <v>54</v>
      </c>
      <c r="CW25">
        <f t="shared" si="14"/>
        <v>1.25</v>
      </c>
      <c r="CX25">
        <f t="shared" si="14"/>
        <v>0</v>
      </c>
      <c r="CY25">
        <f>(((S25+R25)*AT25)/100)</f>
        <v>34.17</v>
      </c>
      <c r="CZ25">
        <f>(((S25+R25)*AU25)/100)</f>
        <v>30.09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26</v>
      </c>
      <c r="DW25" t="s">
        <v>26</v>
      </c>
      <c r="DX25">
        <v>1</v>
      </c>
      <c r="EE25">
        <v>36976932</v>
      </c>
      <c r="EF25">
        <v>3</v>
      </c>
      <c r="EG25" t="s">
        <v>18</v>
      </c>
      <c r="EH25">
        <v>0</v>
      </c>
      <c r="EI25" t="s">
        <v>3</v>
      </c>
      <c r="EJ25">
        <v>2</v>
      </c>
      <c r="EK25">
        <v>108001</v>
      </c>
      <c r="EL25" t="s">
        <v>19</v>
      </c>
      <c r="EM25" t="s">
        <v>20</v>
      </c>
      <c r="EO25" t="s">
        <v>3</v>
      </c>
      <c r="EQ25">
        <v>0</v>
      </c>
      <c r="ER25">
        <v>924.64</v>
      </c>
      <c r="ES25">
        <v>71.02</v>
      </c>
      <c r="ET25">
        <v>363.3</v>
      </c>
      <c r="EU25">
        <v>16.29</v>
      </c>
      <c r="EV25">
        <v>490.32</v>
      </c>
      <c r="EW25">
        <v>54</v>
      </c>
      <c r="EX25">
        <v>1.25</v>
      </c>
      <c r="EY25">
        <v>0</v>
      </c>
      <c r="FQ25">
        <v>0</v>
      </c>
      <c r="FR25">
        <f>ROUND(IF(AND(BH25=3,BI25=3),P25,0),0)</f>
        <v>0</v>
      </c>
      <c r="FS25">
        <v>0</v>
      </c>
      <c r="FT25" t="s">
        <v>21</v>
      </c>
      <c r="FU25" t="s">
        <v>22</v>
      </c>
      <c r="FX25">
        <v>66.5</v>
      </c>
      <c r="FY25">
        <v>58.5</v>
      </c>
      <c r="GA25" t="s">
        <v>3</v>
      </c>
      <c r="GD25">
        <v>1</v>
      </c>
      <c r="GF25">
        <v>196067589</v>
      </c>
      <c r="GG25">
        <v>2</v>
      </c>
      <c r="GH25">
        <v>1</v>
      </c>
      <c r="GI25">
        <v>-2</v>
      </c>
      <c r="GJ25">
        <v>0</v>
      </c>
      <c r="GK25">
        <v>0</v>
      </c>
      <c r="GL25">
        <f>ROUND(IF(AND(BH25=3,BI25=3,FS25&lt;&gt;0),P25,0),0)</f>
        <v>0</v>
      </c>
      <c r="GM25">
        <f>ROUND(O25+X25+Y25,0)+GX25</f>
        <v>156</v>
      </c>
      <c r="GN25">
        <f>IF(OR(BI25=0,BI25=1),ROUND(O25+X25+Y25,0),0)</f>
        <v>0</v>
      </c>
      <c r="GO25">
        <f>IF(BI25=2,ROUND(O25+X25+Y25,0),0)</f>
        <v>156</v>
      </c>
      <c r="GP25">
        <f>IF(BI25=4,ROUND(O25+X25+Y25,0)+GX25,0)</f>
        <v>0</v>
      </c>
      <c r="GR25">
        <v>0</v>
      </c>
      <c r="GS25">
        <v>3</v>
      </c>
      <c r="GT25">
        <v>0</v>
      </c>
      <c r="GU25" t="s">
        <v>3</v>
      </c>
      <c r="GV25">
        <f>ROUND((GT25),6)</f>
        <v>0</v>
      </c>
      <c r="GW25">
        <v>1</v>
      </c>
      <c r="GX25">
        <f>ROUND(HC25*I25,0)</f>
        <v>0</v>
      </c>
      <c r="HA25">
        <v>0</v>
      </c>
      <c r="HB25">
        <v>0</v>
      </c>
      <c r="HC25">
        <f>GV25*GW25</f>
        <v>0</v>
      </c>
      <c r="IK25">
        <v>0</v>
      </c>
    </row>
    <row r="27" spans="1:245">
      <c r="A27" s="2">
        <v>51</v>
      </c>
      <c r="B27" s="2">
        <f>B20</f>
        <v>1</v>
      </c>
      <c r="C27" s="2">
        <f>A20</f>
        <v>3</v>
      </c>
      <c r="D27" s="2">
        <f>ROW(A20)</f>
        <v>20</v>
      </c>
      <c r="E27" s="2"/>
      <c r="F27" s="2" t="str">
        <f>IF(F20&lt;&gt;"",F20,"")</f>
        <v>Новая локальная смета</v>
      </c>
      <c r="G27" s="2" t="str">
        <f>IF(G20&lt;&gt;"",G20,"")</f>
        <v>Новая локальная смета</v>
      </c>
      <c r="H27" s="2">
        <v>0</v>
      </c>
      <c r="I27" s="2"/>
      <c r="J27" s="2"/>
      <c r="K27" s="2"/>
      <c r="L27" s="2"/>
      <c r="M27" s="2"/>
      <c r="N27" s="2"/>
      <c r="O27" s="2">
        <f t="shared" ref="O27:T27" si="15">ROUND(AB27,0)</f>
        <v>322</v>
      </c>
      <c r="P27" s="2">
        <f t="shared" si="15"/>
        <v>56</v>
      </c>
      <c r="Q27" s="2">
        <f t="shared" si="15"/>
        <v>67</v>
      </c>
      <c r="R27" s="2">
        <f t="shared" si="15"/>
        <v>2</v>
      </c>
      <c r="S27" s="2">
        <f t="shared" si="15"/>
        <v>199</v>
      </c>
      <c r="T27" s="2">
        <f t="shared" si="15"/>
        <v>0</v>
      </c>
      <c r="U27" s="2">
        <f>AH27</f>
        <v>21.689999999999998</v>
      </c>
      <c r="V27" s="2">
        <f>AI27</f>
        <v>0.13500000000000001</v>
      </c>
      <c r="W27" s="2">
        <f>ROUND(AJ27,0)</f>
        <v>0</v>
      </c>
      <c r="X27" s="2">
        <f>ROUND(AK27,0)</f>
        <v>135</v>
      </c>
      <c r="Y27" s="2">
        <f>ROUND(AL27,0)</f>
        <v>119</v>
      </c>
      <c r="Z27" s="2"/>
      <c r="AA27" s="2"/>
      <c r="AB27" s="2">
        <f>ROUND(SUMIF(AA24:AA25,"=37217027",O24:O25),0)</f>
        <v>322</v>
      </c>
      <c r="AC27" s="2">
        <f>ROUND(SUMIF(AA24:AA25,"=37217027",P24:P25),0)</f>
        <v>56</v>
      </c>
      <c r="AD27" s="2">
        <f>ROUND(SUMIF(AA24:AA25,"=37217027",Q24:Q25),0)</f>
        <v>67</v>
      </c>
      <c r="AE27" s="2">
        <f>ROUND(SUMIF(AA24:AA25,"=37217027",R24:R25),0)</f>
        <v>2</v>
      </c>
      <c r="AF27" s="2">
        <f>ROUND(SUMIF(AA24:AA25,"=37217027",S24:S25),0)</f>
        <v>199</v>
      </c>
      <c r="AG27" s="2">
        <f>ROUND(SUMIF(AA24:AA25,"=37217027",T24:T25),0)</f>
        <v>0</v>
      </c>
      <c r="AH27" s="2">
        <f>SUMIF(AA24:AA25,"=37217027",U24:U25)</f>
        <v>21.689999999999998</v>
      </c>
      <c r="AI27" s="2">
        <f>SUMIF(AA24:AA25,"=37217027",V24:V25)</f>
        <v>0.13500000000000001</v>
      </c>
      <c r="AJ27" s="2">
        <f>ROUND(SUMIF(AA24:AA25,"=37217027",W24:W25),0)</f>
        <v>0</v>
      </c>
      <c r="AK27" s="2">
        <f>ROUND(SUMIF(AA24:AA25,"=37217027",X24:X25),0)</f>
        <v>135</v>
      </c>
      <c r="AL27" s="2">
        <f>ROUND(SUMIF(AA24:AA25,"=37217027",Y24:Y25),0)</f>
        <v>119</v>
      </c>
      <c r="AM27" s="2"/>
      <c r="AN27" s="2"/>
      <c r="AO27" s="2">
        <f t="shared" ref="AO27:BC27" si="16">ROUND(BX27,0)</f>
        <v>0</v>
      </c>
      <c r="AP27" s="2">
        <f t="shared" si="16"/>
        <v>0</v>
      </c>
      <c r="AQ27" s="2">
        <f t="shared" si="16"/>
        <v>0</v>
      </c>
      <c r="AR27" s="2">
        <f t="shared" si="16"/>
        <v>576</v>
      </c>
      <c r="AS27" s="2">
        <f t="shared" si="16"/>
        <v>0</v>
      </c>
      <c r="AT27" s="2">
        <f t="shared" si="16"/>
        <v>576</v>
      </c>
      <c r="AU27" s="2">
        <f t="shared" si="16"/>
        <v>0</v>
      </c>
      <c r="AV27" s="2">
        <f t="shared" si="16"/>
        <v>56</v>
      </c>
      <c r="AW27" s="2">
        <f t="shared" si="16"/>
        <v>56</v>
      </c>
      <c r="AX27" s="2">
        <f t="shared" si="16"/>
        <v>0</v>
      </c>
      <c r="AY27" s="2">
        <f t="shared" si="16"/>
        <v>56</v>
      </c>
      <c r="AZ27" s="2">
        <f t="shared" si="16"/>
        <v>0</v>
      </c>
      <c r="BA27" s="2">
        <f t="shared" si="16"/>
        <v>0</v>
      </c>
      <c r="BB27" s="2">
        <f t="shared" si="16"/>
        <v>0</v>
      </c>
      <c r="BC27" s="2">
        <f t="shared" si="16"/>
        <v>0</v>
      </c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>
        <f>ROUND(SUMIF(AA24:AA25,"=37217027",FQ24:FQ25),0)</f>
        <v>0</v>
      </c>
      <c r="BY27" s="2">
        <f>ROUND(SUMIF(AA24:AA25,"=37217027",FR24:FR25),0)</f>
        <v>0</v>
      </c>
      <c r="BZ27" s="2">
        <f>ROUND(SUMIF(AA24:AA25,"=37217027",GL24:GL25),0)</f>
        <v>0</v>
      </c>
      <c r="CA27" s="2">
        <f>ROUND(SUMIF(AA24:AA25,"=37217027",GM24:GM25),0)</f>
        <v>576</v>
      </c>
      <c r="CB27" s="2">
        <f>ROUND(SUMIF(AA24:AA25,"=37217027",GN24:GN25),0)</f>
        <v>0</v>
      </c>
      <c r="CC27" s="2">
        <f>ROUND(SUMIF(AA24:AA25,"=37217027",GO24:GO25),0)</f>
        <v>576</v>
      </c>
      <c r="CD27" s="2">
        <f>ROUND(SUMIF(AA24:AA25,"=37217027",GP24:GP25),0)</f>
        <v>0</v>
      </c>
      <c r="CE27" s="2">
        <f>AC27-BX27</f>
        <v>56</v>
      </c>
      <c r="CF27" s="2">
        <f>AC27-BY27</f>
        <v>56</v>
      </c>
      <c r="CG27" s="2">
        <f>BX27-BZ27</f>
        <v>0</v>
      </c>
      <c r="CH27" s="2">
        <f>AC27-BX27-BY27+BZ27</f>
        <v>56</v>
      </c>
      <c r="CI27" s="2">
        <f>BY27-BZ27</f>
        <v>0</v>
      </c>
      <c r="CJ27" s="2">
        <f>ROUND(SUMIF(AA24:AA25,"=37217027",GX24:GX25),0)</f>
        <v>0</v>
      </c>
      <c r="CK27" s="2">
        <f>ROUND(SUMIF(AA24:AA25,"=37217027",GY24:GY25),0)</f>
        <v>0</v>
      </c>
      <c r="CL27" s="2">
        <f>ROUND(SUMIF(AA24:AA25,"=37217027",GZ24:GZ25),0)</f>
        <v>0</v>
      </c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>
        <v>0</v>
      </c>
    </row>
    <row r="29" spans="1:245">
      <c r="A29" s="4">
        <v>50</v>
      </c>
      <c r="B29" s="4">
        <v>1</v>
      </c>
      <c r="C29" s="4">
        <v>0</v>
      </c>
      <c r="D29" s="4">
        <v>1</v>
      </c>
      <c r="E29" s="4">
        <v>201</v>
      </c>
      <c r="F29" s="4">
        <f>ROUND(Source!O27,O29)</f>
        <v>322</v>
      </c>
      <c r="G29" s="4" t="s">
        <v>28</v>
      </c>
      <c r="H29" s="4" t="s">
        <v>29</v>
      </c>
      <c r="I29" s="4"/>
      <c r="J29" s="4"/>
      <c r="K29" s="4">
        <v>201</v>
      </c>
      <c r="L29" s="4">
        <v>1</v>
      </c>
      <c r="M29" s="4">
        <v>1</v>
      </c>
      <c r="N29" s="4" t="s">
        <v>3</v>
      </c>
      <c r="O29" s="4">
        <v>0</v>
      </c>
      <c r="P29" s="4"/>
      <c r="Q29" s="4"/>
      <c r="R29" s="4"/>
      <c r="S29" s="4"/>
      <c r="T29" s="4"/>
      <c r="U29" s="4"/>
      <c r="V29" s="4"/>
      <c r="W29" s="4"/>
    </row>
    <row r="30" spans="1:245">
      <c r="A30" s="4">
        <v>50</v>
      </c>
      <c r="B30" s="4">
        <v>1</v>
      </c>
      <c r="C30" s="4">
        <v>0</v>
      </c>
      <c r="D30" s="4">
        <v>1</v>
      </c>
      <c r="E30" s="4">
        <v>202</v>
      </c>
      <c r="F30" s="4">
        <f>ROUND(Source!P27,O30)</f>
        <v>56</v>
      </c>
      <c r="G30" s="4" t="s">
        <v>30</v>
      </c>
      <c r="H30" s="4" t="s">
        <v>31</v>
      </c>
      <c r="I30" s="4"/>
      <c r="J30" s="4"/>
      <c r="K30" s="4">
        <v>202</v>
      </c>
      <c r="L30" s="4">
        <v>2</v>
      </c>
      <c r="M30" s="4">
        <v>1</v>
      </c>
      <c r="N30" s="4" t="s">
        <v>3</v>
      </c>
      <c r="O30" s="4">
        <v>0</v>
      </c>
      <c r="P30" s="4"/>
      <c r="Q30" s="4"/>
      <c r="R30" s="4"/>
      <c r="S30" s="4"/>
      <c r="T30" s="4"/>
      <c r="U30" s="4"/>
      <c r="V30" s="4"/>
      <c r="W30" s="4"/>
    </row>
    <row r="31" spans="1:245">
      <c r="A31" s="4">
        <v>50</v>
      </c>
      <c r="B31" s="4">
        <v>0</v>
      </c>
      <c r="C31" s="4">
        <v>0</v>
      </c>
      <c r="D31" s="4">
        <v>1</v>
      </c>
      <c r="E31" s="4">
        <v>222</v>
      </c>
      <c r="F31" s="4">
        <f>ROUND(Source!AO27,O31)</f>
        <v>0</v>
      </c>
      <c r="G31" s="4" t="s">
        <v>32</v>
      </c>
      <c r="H31" s="4" t="s">
        <v>33</v>
      </c>
      <c r="I31" s="4"/>
      <c r="J31" s="4"/>
      <c r="K31" s="4">
        <v>222</v>
      </c>
      <c r="L31" s="4">
        <v>3</v>
      </c>
      <c r="M31" s="4">
        <v>3</v>
      </c>
      <c r="N31" s="4" t="s">
        <v>3</v>
      </c>
      <c r="O31" s="4">
        <v>0</v>
      </c>
      <c r="P31" s="4"/>
      <c r="Q31" s="4"/>
      <c r="R31" s="4"/>
      <c r="S31" s="4"/>
      <c r="T31" s="4"/>
      <c r="U31" s="4"/>
      <c r="V31" s="4"/>
      <c r="W31" s="4"/>
    </row>
    <row r="32" spans="1:245">
      <c r="A32" s="4">
        <v>50</v>
      </c>
      <c r="B32" s="4">
        <v>0</v>
      </c>
      <c r="C32" s="4">
        <v>0</v>
      </c>
      <c r="D32" s="4">
        <v>1</v>
      </c>
      <c r="E32" s="4">
        <v>225</v>
      </c>
      <c r="F32" s="4">
        <f>ROUND(Source!AV27,O32)</f>
        <v>56</v>
      </c>
      <c r="G32" s="4" t="s">
        <v>34</v>
      </c>
      <c r="H32" s="4" t="s">
        <v>35</v>
      </c>
      <c r="I32" s="4"/>
      <c r="J32" s="4"/>
      <c r="K32" s="4">
        <v>225</v>
      </c>
      <c r="L32" s="4">
        <v>4</v>
      </c>
      <c r="M32" s="4">
        <v>3</v>
      </c>
      <c r="N32" s="4" t="s">
        <v>3</v>
      </c>
      <c r="O32" s="4">
        <v>0</v>
      </c>
      <c r="P32" s="4"/>
      <c r="Q32" s="4"/>
      <c r="R32" s="4"/>
      <c r="S32" s="4"/>
      <c r="T32" s="4"/>
      <c r="U32" s="4"/>
      <c r="V32" s="4"/>
      <c r="W32" s="4"/>
    </row>
    <row r="33" spans="1:23">
      <c r="A33" s="4">
        <v>50</v>
      </c>
      <c r="B33" s="4">
        <v>1</v>
      </c>
      <c r="C33" s="4">
        <v>0</v>
      </c>
      <c r="D33" s="4">
        <v>1</v>
      </c>
      <c r="E33" s="4">
        <v>226</v>
      </c>
      <c r="F33" s="4">
        <f>ROUND(Source!AW27,O33)</f>
        <v>56</v>
      </c>
      <c r="G33" s="4" t="s">
        <v>36</v>
      </c>
      <c r="H33" s="4" t="s">
        <v>37</v>
      </c>
      <c r="I33" s="4"/>
      <c r="J33" s="4"/>
      <c r="K33" s="4">
        <v>226</v>
      </c>
      <c r="L33" s="4">
        <v>5</v>
      </c>
      <c r="M33" s="4">
        <v>1</v>
      </c>
      <c r="N33" s="4" t="s">
        <v>3</v>
      </c>
      <c r="O33" s="4">
        <v>0</v>
      </c>
      <c r="P33" s="4"/>
      <c r="Q33" s="4"/>
      <c r="R33" s="4"/>
      <c r="S33" s="4"/>
      <c r="T33" s="4"/>
      <c r="U33" s="4"/>
      <c r="V33" s="4"/>
      <c r="W33" s="4"/>
    </row>
    <row r="34" spans="1:23">
      <c r="A34" s="4">
        <v>50</v>
      </c>
      <c r="B34" s="4">
        <v>0</v>
      </c>
      <c r="C34" s="4">
        <v>0</v>
      </c>
      <c r="D34" s="4">
        <v>1</v>
      </c>
      <c r="E34" s="4">
        <v>227</v>
      </c>
      <c r="F34" s="4">
        <f>ROUND(Source!AX27,O34)</f>
        <v>0</v>
      </c>
      <c r="G34" s="4" t="s">
        <v>38</v>
      </c>
      <c r="H34" s="4" t="s">
        <v>39</v>
      </c>
      <c r="I34" s="4"/>
      <c r="J34" s="4"/>
      <c r="K34" s="4">
        <v>227</v>
      </c>
      <c r="L34" s="4">
        <v>6</v>
      </c>
      <c r="M34" s="4">
        <v>3</v>
      </c>
      <c r="N34" s="4" t="s">
        <v>3</v>
      </c>
      <c r="O34" s="4">
        <v>0</v>
      </c>
      <c r="P34" s="4"/>
      <c r="Q34" s="4"/>
      <c r="R34" s="4"/>
      <c r="S34" s="4"/>
      <c r="T34" s="4"/>
      <c r="U34" s="4"/>
      <c r="V34" s="4"/>
      <c r="W34" s="4"/>
    </row>
    <row r="35" spans="1:23">
      <c r="A35" s="4">
        <v>50</v>
      </c>
      <c r="B35" s="4">
        <v>0</v>
      </c>
      <c r="C35" s="4">
        <v>0</v>
      </c>
      <c r="D35" s="4">
        <v>1</v>
      </c>
      <c r="E35" s="4">
        <v>228</v>
      </c>
      <c r="F35" s="4">
        <f>ROUND(Source!AY27,O35)</f>
        <v>56</v>
      </c>
      <c r="G35" s="4" t="s">
        <v>40</v>
      </c>
      <c r="H35" s="4" t="s">
        <v>41</v>
      </c>
      <c r="I35" s="4"/>
      <c r="J35" s="4"/>
      <c r="K35" s="4">
        <v>228</v>
      </c>
      <c r="L35" s="4">
        <v>7</v>
      </c>
      <c r="M35" s="4">
        <v>3</v>
      </c>
      <c r="N35" s="4" t="s">
        <v>3</v>
      </c>
      <c r="O35" s="4">
        <v>0</v>
      </c>
      <c r="P35" s="4"/>
      <c r="Q35" s="4"/>
      <c r="R35" s="4"/>
      <c r="S35" s="4"/>
      <c r="T35" s="4"/>
      <c r="U35" s="4"/>
      <c r="V35" s="4"/>
      <c r="W35" s="4"/>
    </row>
    <row r="36" spans="1:23">
      <c r="A36" s="4">
        <v>50</v>
      </c>
      <c r="B36" s="4">
        <v>0</v>
      </c>
      <c r="C36" s="4">
        <v>0</v>
      </c>
      <c r="D36" s="4">
        <v>1</v>
      </c>
      <c r="E36" s="4">
        <v>216</v>
      </c>
      <c r="F36" s="4">
        <f>ROUND(Source!AP27,O36)</f>
        <v>0</v>
      </c>
      <c r="G36" s="4" t="s">
        <v>42</v>
      </c>
      <c r="H36" s="4" t="s">
        <v>43</v>
      </c>
      <c r="I36" s="4"/>
      <c r="J36" s="4"/>
      <c r="K36" s="4">
        <v>216</v>
      </c>
      <c r="L36" s="4">
        <v>8</v>
      </c>
      <c r="M36" s="4">
        <v>1</v>
      </c>
      <c r="N36" s="4" t="s">
        <v>3</v>
      </c>
      <c r="O36" s="4">
        <v>0</v>
      </c>
      <c r="P36" s="4"/>
      <c r="Q36" s="4"/>
      <c r="R36" s="4"/>
      <c r="S36" s="4"/>
      <c r="T36" s="4"/>
      <c r="U36" s="4"/>
      <c r="V36" s="4"/>
      <c r="W36" s="4"/>
    </row>
    <row r="37" spans="1:23">
      <c r="A37" s="4">
        <v>50</v>
      </c>
      <c r="B37" s="4">
        <v>0</v>
      </c>
      <c r="C37" s="4">
        <v>0</v>
      </c>
      <c r="D37" s="4">
        <v>1</v>
      </c>
      <c r="E37" s="4">
        <v>223</v>
      </c>
      <c r="F37" s="4">
        <f>ROUND(Source!AQ27,O37)</f>
        <v>0</v>
      </c>
      <c r="G37" s="4" t="s">
        <v>44</v>
      </c>
      <c r="H37" s="4" t="s">
        <v>45</v>
      </c>
      <c r="I37" s="4"/>
      <c r="J37" s="4"/>
      <c r="K37" s="4">
        <v>223</v>
      </c>
      <c r="L37" s="4">
        <v>9</v>
      </c>
      <c r="M37" s="4">
        <v>3</v>
      </c>
      <c r="N37" s="4" t="s">
        <v>3</v>
      </c>
      <c r="O37" s="4">
        <v>0</v>
      </c>
      <c r="P37" s="4"/>
      <c r="Q37" s="4"/>
      <c r="R37" s="4"/>
      <c r="S37" s="4"/>
      <c r="T37" s="4"/>
      <c r="U37" s="4"/>
      <c r="V37" s="4"/>
      <c r="W37" s="4"/>
    </row>
    <row r="38" spans="1:23">
      <c r="A38" s="4">
        <v>50</v>
      </c>
      <c r="B38" s="4">
        <v>0</v>
      </c>
      <c r="C38" s="4">
        <v>0</v>
      </c>
      <c r="D38" s="4">
        <v>1</v>
      </c>
      <c r="E38" s="4">
        <v>229</v>
      </c>
      <c r="F38" s="4">
        <f>ROUND(Source!AZ27,O38)</f>
        <v>0</v>
      </c>
      <c r="G38" s="4" t="s">
        <v>46</v>
      </c>
      <c r="H38" s="4" t="s">
        <v>47</v>
      </c>
      <c r="I38" s="4"/>
      <c r="J38" s="4"/>
      <c r="K38" s="4">
        <v>229</v>
      </c>
      <c r="L38" s="4">
        <v>10</v>
      </c>
      <c r="M38" s="4">
        <v>3</v>
      </c>
      <c r="N38" s="4" t="s">
        <v>3</v>
      </c>
      <c r="O38" s="4">
        <v>0</v>
      </c>
      <c r="P38" s="4"/>
      <c r="Q38" s="4"/>
      <c r="R38" s="4"/>
      <c r="S38" s="4"/>
      <c r="T38" s="4"/>
      <c r="U38" s="4"/>
      <c r="V38" s="4"/>
      <c r="W38" s="4"/>
    </row>
    <row r="39" spans="1:23">
      <c r="A39" s="4">
        <v>50</v>
      </c>
      <c r="B39" s="4">
        <v>1</v>
      </c>
      <c r="C39" s="4">
        <v>0</v>
      </c>
      <c r="D39" s="4">
        <v>1</v>
      </c>
      <c r="E39" s="4">
        <v>203</v>
      </c>
      <c r="F39" s="4">
        <f>ROUND(Source!Q27,O39)</f>
        <v>67</v>
      </c>
      <c r="G39" s="4" t="s">
        <v>48</v>
      </c>
      <c r="H39" s="4" t="s">
        <v>49</v>
      </c>
      <c r="I39" s="4"/>
      <c r="J39" s="4"/>
      <c r="K39" s="4">
        <v>203</v>
      </c>
      <c r="L39" s="4">
        <v>11</v>
      </c>
      <c r="M39" s="4">
        <v>1</v>
      </c>
      <c r="N39" s="4" t="s">
        <v>3</v>
      </c>
      <c r="O39" s="4">
        <v>0</v>
      </c>
      <c r="P39" s="4"/>
      <c r="Q39" s="4"/>
      <c r="R39" s="4"/>
      <c r="S39" s="4"/>
      <c r="T39" s="4"/>
      <c r="U39" s="4"/>
      <c r="V39" s="4"/>
      <c r="W39" s="4"/>
    </row>
    <row r="40" spans="1:23">
      <c r="A40" s="4">
        <v>50</v>
      </c>
      <c r="B40" s="4">
        <v>0</v>
      </c>
      <c r="C40" s="4">
        <v>0</v>
      </c>
      <c r="D40" s="4">
        <v>1</v>
      </c>
      <c r="E40" s="4">
        <v>231</v>
      </c>
      <c r="F40" s="4">
        <f>ROUND(Source!BB27,O40)</f>
        <v>0</v>
      </c>
      <c r="G40" s="4" t="s">
        <v>50</v>
      </c>
      <c r="H40" s="4" t="s">
        <v>51</v>
      </c>
      <c r="I40" s="4"/>
      <c r="J40" s="4"/>
      <c r="K40" s="4">
        <v>231</v>
      </c>
      <c r="L40" s="4">
        <v>12</v>
      </c>
      <c r="M40" s="4">
        <v>3</v>
      </c>
      <c r="N40" s="4" t="s">
        <v>3</v>
      </c>
      <c r="O40" s="4">
        <v>0</v>
      </c>
      <c r="P40" s="4"/>
      <c r="Q40" s="4"/>
      <c r="R40" s="4"/>
      <c r="S40" s="4"/>
      <c r="T40" s="4"/>
      <c r="U40" s="4"/>
      <c r="V40" s="4"/>
      <c r="W40" s="4"/>
    </row>
    <row r="41" spans="1:23">
      <c r="A41" s="4">
        <v>50</v>
      </c>
      <c r="B41" s="4">
        <v>1</v>
      </c>
      <c r="C41" s="4">
        <v>0</v>
      </c>
      <c r="D41" s="4">
        <v>1</v>
      </c>
      <c r="E41" s="4">
        <v>204</v>
      </c>
      <c r="F41" s="4">
        <f>ROUND(Source!R27,O41)</f>
        <v>2</v>
      </c>
      <c r="G41" s="4" t="s">
        <v>52</v>
      </c>
      <c r="H41" s="4" t="s">
        <v>53</v>
      </c>
      <c r="I41" s="4"/>
      <c r="J41" s="4"/>
      <c r="K41" s="4">
        <v>204</v>
      </c>
      <c r="L41" s="4">
        <v>13</v>
      </c>
      <c r="M41" s="4">
        <v>1</v>
      </c>
      <c r="N41" s="4" t="s">
        <v>3</v>
      </c>
      <c r="O41" s="4">
        <v>0</v>
      </c>
      <c r="P41" s="4"/>
      <c r="Q41" s="4"/>
      <c r="R41" s="4"/>
      <c r="S41" s="4"/>
      <c r="T41" s="4"/>
      <c r="U41" s="4"/>
      <c r="V41" s="4"/>
      <c r="W41" s="4"/>
    </row>
    <row r="42" spans="1:23">
      <c r="A42" s="4">
        <v>50</v>
      </c>
      <c r="B42" s="4">
        <v>1</v>
      </c>
      <c r="C42" s="4">
        <v>0</v>
      </c>
      <c r="D42" s="4">
        <v>1</v>
      </c>
      <c r="E42" s="4">
        <v>205</v>
      </c>
      <c r="F42" s="4">
        <f>ROUND(Source!S27,O42)</f>
        <v>199</v>
      </c>
      <c r="G42" s="4" t="s">
        <v>54</v>
      </c>
      <c r="H42" s="4" t="s">
        <v>55</v>
      </c>
      <c r="I42" s="4"/>
      <c r="J42" s="4"/>
      <c r="K42" s="4">
        <v>205</v>
      </c>
      <c r="L42" s="4">
        <v>14</v>
      </c>
      <c r="M42" s="4">
        <v>1</v>
      </c>
      <c r="N42" s="4" t="s">
        <v>3</v>
      </c>
      <c r="O42" s="4">
        <v>0</v>
      </c>
      <c r="P42" s="4"/>
      <c r="Q42" s="4"/>
      <c r="R42" s="4"/>
      <c r="S42" s="4"/>
      <c r="T42" s="4"/>
      <c r="U42" s="4"/>
      <c r="V42" s="4"/>
      <c r="W42" s="4"/>
    </row>
    <row r="43" spans="1:23">
      <c r="A43" s="4">
        <v>50</v>
      </c>
      <c r="B43" s="4">
        <v>0</v>
      </c>
      <c r="C43" s="4">
        <v>0</v>
      </c>
      <c r="D43" s="4">
        <v>1</v>
      </c>
      <c r="E43" s="4">
        <v>232</v>
      </c>
      <c r="F43" s="4">
        <f>ROUND(Source!BC27,O43)</f>
        <v>0</v>
      </c>
      <c r="G43" s="4" t="s">
        <v>56</v>
      </c>
      <c r="H43" s="4" t="s">
        <v>57</v>
      </c>
      <c r="I43" s="4"/>
      <c r="J43" s="4"/>
      <c r="K43" s="4">
        <v>232</v>
      </c>
      <c r="L43" s="4">
        <v>15</v>
      </c>
      <c r="M43" s="4">
        <v>3</v>
      </c>
      <c r="N43" s="4" t="s">
        <v>3</v>
      </c>
      <c r="O43" s="4">
        <v>0</v>
      </c>
      <c r="P43" s="4"/>
      <c r="Q43" s="4"/>
      <c r="R43" s="4"/>
      <c r="S43" s="4"/>
      <c r="T43" s="4"/>
      <c r="U43" s="4"/>
      <c r="V43" s="4"/>
      <c r="W43" s="4"/>
    </row>
    <row r="44" spans="1:23">
      <c r="A44" s="4">
        <v>50</v>
      </c>
      <c r="B44" s="4">
        <v>0</v>
      </c>
      <c r="C44" s="4">
        <v>0</v>
      </c>
      <c r="D44" s="4">
        <v>1</v>
      </c>
      <c r="E44" s="4">
        <v>214</v>
      </c>
      <c r="F44" s="4">
        <f>ROUND(Source!AS27,O44)</f>
        <v>0</v>
      </c>
      <c r="G44" s="4" t="s">
        <v>58</v>
      </c>
      <c r="H44" s="4" t="s">
        <v>59</v>
      </c>
      <c r="I44" s="4"/>
      <c r="J44" s="4"/>
      <c r="K44" s="4">
        <v>214</v>
      </c>
      <c r="L44" s="4">
        <v>16</v>
      </c>
      <c r="M44" s="4">
        <v>1</v>
      </c>
      <c r="N44" s="4" t="s">
        <v>3</v>
      </c>
      <c r="O44" s="4">
        <v>0</v>
      </c>
      <c r="P44" s="4"/>
      <c r="Q44" s="4"/>
      <c r="R44" s="4"/>
      <c r="S44" s="4"/>
      <c r="T44" s="4"/>
      <c r="U44" s="4"/>
      <c r="V44" s="4"/>
      <c r="W44" s="4"/>
    </row>
    <row r="45" spans="1:23">
      <c r="A45" s="4">
        <v>50</v>
      </c>
      <c r="B45" s="4">
        <v>1</v>
      </c>
      <c r="C45" s="4">
        <v>0</v>
      </c>
      <c r="D45" s="4">
        <v>1</v>
      </c>
      <c r="E45" s="4">
        <v>215</v>
      </c>
      <c r="F45" s="4">
        <f>ROUND(Source!AT27,O45)</f>
        <v>576</v>
      </c>
      <c r="G45" s="4" t="s">
        <v>60</v>
      </c>
      <c r="H45" s="4" t="s">
        <v>61</v>
      </c>
      <c r="I45" s="4"/>
      <c r="J45" s="4"/>
      <c r="K45" s="4">
        <v>215</v>
      </c>
      <c r="L45" s="4">
        <v>17</v>
      </c>
      <c r="M45" s="4">
        <v>1</v>
      </c>
      <c r="N45" s="4" t="s">
        <v>3</v>
      </c>
      <c r="O45" s="4">
        <v>0</v>
      </c>
      <c r="P45" s="4"/>
      <c r="Q45" s="4"/>
      <c r="R45" s="4"/>
      <c r="S45" s="4"/>
      <c r="T45" s="4"/>
      <c r="U45" s="4"/>
      <c r="V45" s="4"/>
      <c r="W45" s="4"/>
    </row>
    <row r="46" spans="1:23">
      <c r="A46" s="4">
        <v>50</v>
      </c>
      <c r="B46" s="4">
        <v>0</v>
      </c>
      <c r="C46" s="4">
        <v>0</v>
      </c>
      <c r="D46" s="4">
        <v>1</v>
      </c>
      <c r="E46" s="4">
        <v>217</v>
      </c>
      <c r="F46" s="4">
        <f>ROUND(Source!AU27,O46)</f>
        <v>0</v>
      </c>
      <c r="G46" s="4" t="s">
        <v>62</v>
      </c>
      <c r="H46" s="4" t="s">
        <v>63</v>
      </c>
      <c r="I46" s="4"/>
      <c r="J46" s="4"/>
      <c r="K46" s="4">
        <v>217</v>
      </c>
      <c r="L46" s="4">
        <v>18</v>
      </c>
      <c r="M46" s="4">
        <v>1</v>
      </c>
      <c r="N46" s="4" t="s">
        <v>3</v>
      </c>
      <c r="O46" s="4">
        <v>0</v>
      </c>
      <c r="P46" s="4"/>
      <c r="Q46" s="4"/>
      <c r="R46" s="4"/>
      <c r="S46" s="4"/>
      <c r="T46" s="4"/>
      <c r="U46" s="4"/>
      <c r="V46" s="4"/>
      <c r="W46" s="4"/>
    </row>
    <row r="47" spans="1:23">
      <c r="A47" s="4">
        <v>50</v>
      </c>
      <c r="B47" s="4">
        <v>0</v>
      </c>
      <c r="C47" s="4">
        <v>0</v>
      </c>
      <c r="D47" s="4">
        <v>1</v>
      </c>
      <c r="E47" s="4">
        <v>230</v>
      </c>
      <c r="F47" s="4">
        <f>ROUND(Source!BA27,O47)</f>
        <v>0</v>
      </c>
      <c r="G47" s="4" t="s">
        <v>64</v>
      </c>
      <c r="H47" s="4" t="s">
        <v>65</v>
      </c>
      <c r="I47" s="4"/>
      <c r="J47" s="4"/>
      <c r="K47" s="4">
        <v>230</v>
      </c>
      <c r="L47" s="4">
        <v>19</v>
      </c>
      <c r="M47" s="4">
        <v>3</v>
      </c>
      <c r="N47" s="4" t="s">
        <v>3</v>
      </c>
      <c r="O47" s="4">
        <v>0</v>
      </c>
      <c r="P47" s="4"/>
      <c r="Q47" s="4"/>
      <c r="R47" s="4"/>
      <c r="S47" s="4"/>
      <c r="T47" s="4"/>
      <c r="U47" s="4"/>
      <c r="V47" s="4"/>
      <c r="W47" s="4"/>
    </row>
    <row r="48" spans="1:23">
      <c r="A48" s="4">
        <v>50</v>
      </c>
      <c r="B48" s="4">
        <v>0</v>
      </c>
      <c r="C48" s="4">
        <v>0</v>
      </c>
      <c r="D48" s="4">
        <v>1</v>
      </c>
      <c r="E48" s="4">
        <v>206</v>
      </c>
      <c r="F48" s="4">
        <f>ROUND(Source!T27,O48)</f>
        <v>0</v>
      </c>
      <c r="G48" s="4" t="s">
        <v>66</v>
      </c>
      <c r="H48" s="4" t="s">
        <v>67</v>
      </c>
      <c r="I48" s="4"/>
      <c r="J48" s="4"/>
      <c r="K48" s="4">
        <v>206</v>
      </c>
      <c r="L48" s="4">
        <v>20</v>
      </c>
      <c r="M48" s="4">
        <v>1</v>
      </c>
      <c r="N48" s="4" t="s">
        <v>3</v>
      </c>
      <c r="O48" s="4">
        <v>0</v>
      </c>
      <c r="P48" s="4"/>
      <c r="Q48" s="4"/>
      <c r="R48" s="4"/>
      <c r="S48" s="4"/>
      <c r="T48" s="4"/>
      <c r="U48" s="4"/>
      <c r="V48" s="4"/>
      <c r="W48" s="4"/>
    </row>
    <row r="49" spans="1:206">
      <c r="A49" s="4">
        <v>50</v>
      </c>
      <c r="B49" s="4">
        <v>1</v>
      </c>
      <c r="C49" s="4">
        <v>0</v>
      </c>
      <c r="D49" s="4">
        <v>1</v>
      </c>
      <c r="E49" s="4">
        <v>207</v>
      </c>
      <c r="F49" s="4">
        <f>ROUND(Source!U27,O49)</f>
        <v>22</v>
      </c>
      <c r="G49" s="4" t="s">
        <v>68</v>
      </c>
      <c r="H49" s="4" t="s">
        <v>69</v>
      </c>
      <c r="I49" s="4"/>
      <c r="J49" s="4"/>
      <c r="K49" s="4">
        <v>207</v>
      </c>
      <c r="L49" s="4">
        <v>21</v>
      </c>
      <c r="M49" s="4">
        <v>1</v>
      </c>
      <c r="N49" s="4" t="s">
        <v>3</v>
      </c>
      <c r="O49" s="4">
        <v>0</v>
      </c>
      <c r="P49" s="4"/>
      <c r="Q49" s="4"/>
      <c r="R49" s="4"/>
      <c r="S49" s="4"/>
      <c r="T49" s="4"/>
      <c r="U49" s="4"/>
      <c r="V49" s="4"/>
      <c r="W49" s="4"/>
    </row>
    <row r="50" spans="1:206">
      <c r="A50" s="4">
        <v>50</v>
      </c>
      <c r="B50" s="4">
        <v>0</v>
      </c>
      <c r="C50" s="4">
        <v>0</v>
      </c>
      <c r="D50" s="4">
        <v>1</v>
      </c>
      <c r="E50" s="4">
        <v>208</v>
      </c>
      <c r="F50" s="4">
        <f>ROUND(Source!V27,O50)</f>
        <v>0</v>
      </c>
      <c r="G50" s="4" t="s">
        <v>70</v>
      </c>
      <c r="H50" s="4" t="s">
        <v>71</v>
      </c>
      <c r="I50" s="4"/>
      <c r="J50" s="4"/>
      <c r="K50" s="4">
        <v>208</v>
      </c>
      <c r="L50" s="4">
        <v>22</v>
      </c>
      <c r="M50" s="4">
        <v>1</v>
      </c>
      <c r="N50" s="4" t="s">
        <v>3</v>
      </c>
      <c r="O50" s="4">
        <v>0</v>
      </c>
      <c r="P50" s="4"/>
      <c r="Q50" s="4"/>
      <c r="R50" s="4"/>
      <c r="S50" s="4"/>
      <c r="T50" s="4"/>
      <c r="U50" s="4"/>
      <c r="V50" s="4"/>
      <c r="W50" s="4"/>
    </row>
    <row r="51" spans="1:206">
      <c r="A51" s="4">
        <v>50</v>
      </c>
      <c r="B51" s="4">
        <v>0</v>
      </c>
      <c r="C51" s="4">
        <v>0</v>
      </c>
      <c r="D51" s="4">
        <v>1</v>
      </c>
      <c r="E51" s="4">
        <v>209</v>
      </c>
      <c r="F51" s="4">
        <f>ROUND(Source!W27,O51)</f>
        <v>0</v>
      </c>
      <c r="G51" s="4" t="s">
        <v>72</v>
      </c>
      <c r="H51" s="4" t="s">
        <v>73</v>
      </c>
      <c r="I51" s="4"/>
      <c r="J51" s="4"/>
      <c r="K51" s="4">
        <v>209</v>
      </c>
      <c r="L51" s="4">
        <v>23</v>
      </c>
      <c r="M51" s="4">
        <v>3</v>
      </c>
      <c r="N51" s="4" t="s">
        <v>3</v>
      </c>
      <c r="O51" s="4">
        <v>0</v>
      </c>
      <c r="P51" s="4"/>
      <c r="Q51" s="4"/>
      <c r="R51" s="4"/>
      <c r="S51" s="4"/>
      <c r="T51" s="4"/>
      <c r="U51" s="4"/>
      <c r="V51" s="4"/>
      <c r="W51" s="4"/>
    </row>
    <row r="52" spans="1:206">
      <c r="A52" s="4">
        <v>50</v>
      </c>
      <c r="B52" s="4">
        <v>1</v>
      </c>
      <c r="C52" s="4">
        <v>0</v>
      </c>
      <c r="D52" s="4">
        <v>1</v>
      </c>
      <c r="E52" s="4">
        <v>210</v>
      </c>
      <c r="F52" s="4">
        <f>ROUND(Source!X27,O52)</f>
        <v>135</v>
      </c>
      <c r="G52" s="4" t="s">
        <v>74</v>
      </c>
      <c r="H52" s="4" t="s">
        <v>75</v>
      </c>
      <c r="I52" s="4"/>
      <c r="J52" s="4"/>
      <c r="K52" s="4">
        <v>210</v>
      </c>
      <c r="L52" s="4">
        <v>24</v>
      </c>
      <c r="M52" s="4">
        <v>1</v>
      </c>
      <c r="N52" s="4" t="s">
        <v>3</v>
      </c>
      <c r="O52" s="4">
        <v>0</v>
      </c>
      <c r="P52" s="4"/>
      <c r="Q52" s="4"/>
      <c r="R52" s="4"/>
      <c r="S52" s="4"/>
      <c r="T52" s="4"/>
      <c r="U52" s="4"/>
      <c r="V52" s="4"/>
      <c r="W52" s="4"/>
    </row>
    <row r="53" spans="1:206">
      <c r="A53" s="4">
        <v>50</v>
      </c>
      <c r="B53" s="4">
        <v>1</v>
      </c>
      <c r="C53" s="4">
        <v>0</v>
      </c>
      <c r="D53" s="4">
        <v>1</v>
      </c>
      <c r="E53" s="4">
        <v>211</v>
      </c>
      <c r="F53" s="4">
        <f>ROUND(Source!Y27,O53)</f>
        <v>119</v>
      </c>
      <c r="G53" s="4" t="s">
        <v>76</v>
      </c>
      <c r="H53" s="4" t="s">
        <v>77</v>
      </c>
      <c r="I53" s="4"/>
      <c r="J53" s="4"/>
      <c r="K53" s="4">
        <v>211</v>
      </c>
      <c r="L53" s="4">
        <v>25</v>
      </c>
      <c r="M53" s="4">
        <v>1</v>
      </c>
      <c r="N53" s="4" t="s">
        <v>3</v>
      </c>
      <c r="O53" s="4">
        <v>0</v>
      </c>
      <c r="P53" s="4"/>
      <c r="Q53" s="4"/>
      <c r="R53" s="4"/>
      <c r="S53" s="4"/>
      <c r="T53" s="4"/>
      <c r="U53" s="4"/>
      <c r="V53" s="4"/>
      <c r="W53" s="4"/>
    </row>
    <row r="54" spans="1:206">
      <c r="A54" s="4">
        <v>50</v>
      </c>
      <c r="B54" s="4">
        <v>1</v>
      </c>
      <c r="C54" s="4">
        <v>0</v>
      </c>
      <c r="D54" s="4">
        <v>1</v>
      </c>
      <c r="E54" s="4">
        <v>224</v>
      </c>
      <c r="F54" s="4">
        <f>ROUND(Source!AR27,O54)</f>
        <v>576</v>
      </c>
      <c r="G54" s="4" t="s">
        <v>78</v>
      </c>
      <c r="H54" s="4" t="s">
        <v>79</v>
      </c>
      <c r="I54" s="4"/>
      <c r="J54" s="4"/>
      <c r="K54" s="4">
        <v>224</v>
      </c>
      <c r="L54" s="4">
        <v>26</v>
      </c>
      <c r="M54" s="4">
        <v>1</v>
      </c>
      <c r="N54" s="4" t="s">
        <v>3</v>
      </c>
      <c r="O54" s="4">
        <v>0</v>
      </c>
      <c r="P54" s="4"/>
      <c r="Q54" s="4"/>
      <c r="R54" s="4"/>
      <c r="S54" s="4"/>
      <c r="T54" s="4"/>
      <c r="U54" s="4"/>
      <c r="V54" s="4"/>
      <c r="W54" s="4"/>
    </row>
    <row r="56" spans="1:206">
      <c r="A56" s="2">
        <v>51</v>
      </c>
      <c r="B56" s="2">
        <f>B12</f>
        <v>114</v>
      </c>
      <c r="C56" s="2">
        <f>A12</f>
        <v>1</v>
      </c>
      <c r="D56" s="2">
        <f>ROW(A12)</f>
        <v>12</v>
      </c>
      <c r="E56" s="2"/>
      <c r="F56" s="2" t="str">
        <f>IF(F12&lt;&gt;"",F12,"")</f>
        <v>Новый объект</v>
      </c>
      <c r="G56" s="2" t="str">
        <f>IF(G12&lt;&gt;"",G12,"")</f>
        <v>ТЕР</v>
      </c>
      <c r="H56" s="2">
        <v>0</v>
      </c>
      <c r="I56" s="2"/>
      <c r="J56" s="2"/>
      <c r="K56" s="2"/>
      <c r="L56" s="2"/>
      <c r="M56" s="2"/>
      <c r="N56" s="2"/>
      <c r="O56" s="2">
        <f t="shared" ref="O56:T56" si="17">ROUND(O27,0)</f>
        <v>322</v>
      </c>
      <c r="P56" s="2">
        <f t="shared" si="17"/>
        <v>56</v>
      </c>
      <c r="Q56" s="2">
        <f t="shared" si="17"/>
        <v>67</v>
      </c>
      <c r="R56" s="2">
        <f t="shared" si="17"/>
        <v>2</v>
      </c>
      <c r="S56" s="2">
        <f t="shared" si="17"/>
        <v>199</v>
      </c>
      <c r="T56" s="2">
        <f t="shared" si="17"/>
        <v>0</v>
      </c>
      <c r="U56" s="2">
        <f>U27</f>
        <v>21.689999999999998</v>
      </c>
      <c r="V56" s="2">
        <f>V27</f>
        <v>0.13500000000000001</v>
      </c>
      <c r="W56" s="2">
        <f>ROUND(W27,0)</f>
        <v>0</v>
      </c>
      <c r="X56" s="2">
        <f>ROUND(X27,0)</f>
        <v>135</v>
      </c>
      <c r="Y56" s="2">
        <f>ROUND(Y27,0)</f>
        <v>119</v>
      </c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>
        <f t="shared" ref="AO56:BC56" si="18">ROUND(AO27,0)</f>
        <v>0</v>
      </c>
      <c r="AP56" s="2">
        <f t="shared" si="18"/>
        <v>0</v>
      </c>
      <c r="AQ56" s="2">
        <f t="shared" si="18"/>
        <v>0</v>
      </c>
      <c r="AR56" s="2">
        <f t="shared" si="18"/>
        <v>576</v>
      </c>
      <c r="AS56" s="2">
        <f t="shared" si="18"/>
        <v>0</v>
      </c>
      <c r="AT56" s="2">
        <f t="shared" si="18"/>
        <v>576</v>
      </c>
      <c r="AU56" s="2">
        <f t="shared" si="18"/>
        <v>0</v>
      </c>
      <c r="AV56" s="2">
        <f t="shared" si="18"/>
        <v>56</v>
      </c>
      <c r="AW56" s="2">
        <f t="shared" si="18"/>
        <v>56</v>
      </c>
      <c r="AX56" s="2">
        <f t="shared" si="18"/>
        <v>0</v>
      </c>
      <c r="AY56" s="2">
        <f t="shared" si="18"/>
        <v>56</v>
      </c>
      <c r="AZ56" s="2">
        <f t="shared" si="18"/>
        <v>0</v>
      </c>
      <c r="BA56" s="2">
        <f t="shared" si="18"/>
        <v>0</v>
      </c>
      <c r="BB56" s="2">
        <f t="shared" si="18"/>
        <v>0</v>
      </c>
      <c r="BC56" s="2">
        <f t="shared" si="18"/>
        <v>0</v>
      </c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>
        <v>0</v>
      </c>
    </row>
    <row r="58" spans="1:206">
      <c r="A58" s="4">
        <v>50</v>
      </c>
      <c r="B58" s="4">
        <v>1</v>
      </c>
      <c r="C58" s="4">
        <v>0</v>
      </c>
      <c r="D58" s="4">
        <v>1</v>
      </c>
      <c r="E58" s="4">
        <v>201</v>
      </c>
      <c r="F58" s="4">
        <f>ROUND(Source!O56,O58)</f>
        <v>322</v>
      </c>
      <c r="G58" s="4" t="s">
        <v>28</v>
      </c>
      <c r="H58" s="4" t="s">
        <v>29</v>
      </c>
      <c r="I58" s="4"/>
      <c r="J58" s="4"/>
      <c r="K58" s="4">
        <v>201</v>
      </c>
      <c r="L58" s="4">
        <v>1</v>
      </c>
      <c r="M58" s="4">
        <v>1</v>
      </c>
      <c r="N58" s="4" t="s">
        <v>3</v>
      </c>
      <c r="O58" s="4">
        <v>0</v>
      </c>
      <c r="P58" s="4"/>
      <c r="Q58" s="4"/>
      <c r="R58" s="4"/>
      <c r="S58" s="4"/>
      <c r="T58" s="4"/>
      <c r="U58" s="4"/>
      <c r="V58" s="4"/>
      <c r="W58" s="4"/>
    </row>
    <row r="59" spans="1:206">
      <c r="A59" s="4">
        <v>50</v>
      </c>
      <c r="B59" s="4">
        <v>1</v>
      </c>
      <c r="C59" s="4">
        <v>0</v>
      </c>
      <c r="D59" s="4">
        <v>1</v>
      </c>
      <c r="E59" s="4">
        <v>202</v>
      </c>
      <c r="F59" s="4">
        <f>ROUND(Source!P56,O59)</f>
        <v>56</v>
      </c>
      <c r="G59" s="4" t="s">
        <v>30</v>
      </c>
      <c r="H59" s="4" t="s">
        <v>31</v>
      </c>
      <c r="I59" s="4"/>
      <c r="J59" s="4"/>
      <c r="K59" s="4">
        <v>202</v>
      </c>
      <c r="L59" s="4">
        <v>2</v>
      </c>
      <c r="M59" s="4">
        <v>1</v>
      </c>
      <c r="N59" s="4" t="s">
        <v>3</v>
      </c>
      <c r="O59" s="4">
        <v>0</v>
      </c>
      <c r="P59" s="4"/>
      <c r="Q59" s="4"/>
      <c r="R59" s="4"/>
      <c r="S59" s="4"/>
      <c r="T59" s="4"/>
      <c r="U59" s="4"/>
      <c r="V59" s="4"/>
      <c r="W59" s="4"/>
    </row>
    <row r="60" spans="1:206">
      <c r="A60" s="4">
        <v>50</v>
      </c>
      <c r="B60" s="4">
        <v>0</v>
      </c>
      <c r="C60" s="4">
        <v>0</v>
      </c>
      <c r="D60" s="4">
        <v>1</v>
      </c>
      <c r="E60" s="4">
        <v>222</v>
      </c>
      <c r="F60" s="4">
        <f>ROUND(Source!AO56,O60)</f>
        <v>0</v>
      </c>
      <c r="G60" s="4" t="s">
        <v>32</v>
      </c>
      <c r="H60" s="4" t="s">
        <v>33</v>
      </c>
      <c r="I60" s="4"/>
      <c r="J60" s="4"/>
      <c r="K60" s="4">
        <v>222</v>
      </c>
      <c r="L60" s="4">
        <v>3</v>
      </c>
      <c r="M60" s="4">
        <v>3</v>
      </c>
      <c r="N60" s="4" t="s">
        <v>3</v>
      </c>
      <c r="O60" s="4">
        <v>0</v>
      </c>
      <c r="P60" s="4"/>
      <c r="Q60" s="4"/>
      <c r="R60" s="4"/>
      <c r="S60" s="4"/>
      <c r="T60" s="4"/>
      <c r="U60" s="4"/>
      <c r="V60" s="4"/>
      <c r="W60" s="4"/>
    </row>
    <row r="61" spans="1:206">
      <c r="A61" s="4">
        <v>50</v>
      </c>
      <c r="B61" s="4">
        <v>0</v>
      </c>
      <c r="C61" s="4">
        <v>0</v>
      </c>
      <c r="D61" s="4">
        <v>1</v>
      </c>
      <c r="E61" s="4">
        <v>225</v>
      </c>
      <c r="F61" s="4">
        <f>ROUND(Source!AV56,O61)</f>
        <v>56</v>
      </c>
      <c r="G61" s="4" t="s">
        <v>34</v>
      </c>
      <c r="H61" s="4" t="s">
        <v>35</v>
      </c>
      <c r="I61" s="4"/>
      <c r="J61" s="4"/>
      <c r="K61" s="4">
        <v>225</v>
      </c>
      <c r="L61" s="4">
        <v>4</v>
      </c>
      <c r="M61" s="4">
        <v>3</v>
      </c>
      <c r="N61" s="4" t="s">
        <v>3</v>
      </c>
      <c r="O61" s="4">
        <v>0</v>
      </c>
      <c r="P61" s="4"/>
      <c r="Q61" s="4"/>
      <c r="R61" s="4"/>
      <c r="S61" s="4"/>
      <c r="T61" s="4"/>
      <c r="U61" s="4"/>
      <c r="V61" s="4"/>
      <c r="W61" s="4"/>
    </row>
    <row r="62" spans="1:206">
      <c r="A62" s="4">
        <v>50</v>
      </c>
      <c r="B62" s="4">
        <v>1</v>
      </c>
      <c r="C62" s="4">
        <v>0</v>
      </c>
      <c r="D62" s="4">
        <v>1</v>
      </c>
      <c r="E62" s="4">
        <v>226</v>
      </c>
      <c r="F62" s="4">
        <f>ROUND(Source!AW56,O62)</f>
        <v>56</v>
      </c>
      <c r="G62" s="4" t="s">
        <v>36</v>
      </c>
      <c r="H62" s="4" t="s">
        <v>37</v>
      </c>
      <c r="I62" s="4"/>
      <c r="J62" s="4"/>
      <c r="K62" s="4">
        <v>226</v>
      </c>
      <c r="L62" s="4">
        <v>5</v>
      </c>
      <c r="M62" s="4">
        <v>1</v>
      </c>
      <c r="N62" s="4" t="s">
        <v>3</v>
      </c>
      <c r="O62" s="4">
        <v>0</v>
      </c>
      <c r="P62" s="4"/>
      <c r="Q62" s="4"/>
      <c r="R62" s="4"/>
      <c r="S62" s="4"/>
      <c r="T62" s="4"/>
      <c r="U62" s="4"/>
      <c r="V62" s="4"/>
      <c r="W62" s="4"/>
    </row>
    <row r="63" spans="1:206">
      <c r="A63" s="4">
        <v>50</v>
      </c>
      <c r="B63" s="4">
        <v>0</v>
      </c>
      <c r="C63" s="4">
        <v>0</v>
      </c>
      <c r="D63" s="4">
        <v>1</v>
      </c>
      <c r="E63" s="4">
        <v>227</v>
      </c>
      <c r="F63" s="4">
        <f>ROUND(Source!AX56,O63)</f>
        <v>0</v>
      </c>
      <c r="G63" s="4" t="s">
        <v>38</v>
      </c>
      <c r="H63" s="4" t="s">
        <v>39</v>
      </c>
      <c r="I63" s="4"/>
      <c r="J63" s="4"/>
      <c r="K63" s="4">
        <v>227</v>
      </c>
      <c r="L63" s="4">
        <v>6</v>
      </c>
      <c r="M63" s="4">
        <v>3</v>
      </c>
      <c r="N63" s="4" t="s">
        <v>3</v>
      </c>
      <c r="O63" s="4">
        <v>0</v>
      </c>
      <c r="P63" s="4"/>
      <c r="Q63" s="4"/>
      <c r="R63" s="4"/>
      <c r="S63" s="4"/>
      <c r="T63" s="4"/>
      <c r="U63" s="4"/>
      <c r="V63" s="4"/>
      <c r="W63" s="4"/>
    </row>
    <row r="64" spans="1:206">
      <c r="A64" s="4">
        <v>50</v>
      </c>
      <c r="B64" s="4">
        <v>0</v>
      </c>
      <c r="C64" s="4">
        <v>0</v>
      </c>
      <c r="D64" s="4">
        <v>1</v>
      </c>
      <c r="E64" s="4">
        <v>228</v>
      </c>
      <c r="F64" s="4">
        <f>ROUND(Source!AY56,O64)</f>
        <v>56</v>
      </c>
      <c r="G64" s="4" t="s">
        <v>40</v>
      </c>
      <c r="H64" s="4" t="s">
        <v>41</v>
      </c>
      <c r="I64" s="4"/>
      <c r="J64" s="4"/>
      <c r="K64" s="4">
        <v>228</v>
      </c>
      <c r="L64" s="4">
        <v>7</v>
      </c>
      <c r="M64" s="4">
        <v>3</v>
      </c>
      <c r="N64" s="4" t="s">
        <v>3</v>
      </c>
      <c r="O64" s="4">
        <v>0</v>
      </c>
      <c r="P64" s="4"/>
      <c r="Q64" s="4"/>
      <c r="R64" s="4"/>
      <c r="S64" s="4"/>
      <c r="T64" s="4"/>
      <c r="U64" s="4"/>
      <c r="V64" s="4"/>
      <c r="W64" s="4"/>
    </row>
    <row r="65" spans="1:23">
      <c r="A65" s="4">
        <v>50</v>
      </c>
      <c r="B65" s="4">
        <v>0</v>
      </c>
      <c r="C65" s="4">
        <v>0</v>
      </c>
      <c r="D65" s="4">
        <v>1</v>
      </c>
      <c r="E65" s="4">
        <v>216</v>
      </c>
      <c r="F65" s="4">
        <f>ROUND(Source!AP56,O65)</f>
        <v>0</v>
      </c>
      <c r="G65" s="4" t="s">
        <v>42</v>
      </c>
      <c r="H65" s="4" t="s">
        <v>43</v>
      </c>
      <c r="I65" s="4"/>
      <c r="J65" s="4"/>
      <c r="K65" s="4">
        <v>216</v>
      </c>
      <c r="L65" s="4">
        <v>8</v>
      </c>
      <c r="M65" s="4">
        <v>1</v>
      </c>
      <c r="N65" s="4" t="s">
        <v>3</v>
      </c>
      <c r="O65" s="4">
        <v>0</v>
      </c>
      <c r="P65" s="4"/>
      <c r="Q65" s="4"/>
      <c r="R65" s="4"/>
      <c r="S65" s="4"/>
      <c r="T65" s="4"/>
      <c r="U65" s="4"/>
      <c r="V65" s="4"/>
      <c r="W65" s="4"/>
    </row>
    <row r="66" spans="1:23">
      <c r="A66" s="4">
        <v>50</v>
      </c>
      <c r="B66" s="4">
        <v>0</v>
      </c>
      <c r="C66" s="4">
        <v>0</v>
      </c>
      <c r="D66" s="4">
        <v>1</v>
      </c>
      <c r="E66" s="4">
        <v>223</v>
      </c>
      <c r="F66" s="4">
        <f>ROUND(Source!AQ56,O66)</f>
        <v>0</v>
      </c>
      <c r="G66" s="4" t="s">
        <v>44</v>
      </c>
      <c r="H66" s="4" t="s">
        <v>45</v>
      </c>
      <c r="I66" s="4"/>
      <c r="J66" s="4"/>
      <c r="K66" s="4">
        <v>223</v>
      </c>
      <c r="L66" s="4">
        <v>9</v>
      </c>
      <c r="M66" s="4">
        <v>3</v>
      </c>
      <c r="N66" s="4" t="s">
        <v>3</v>
      </c>
      <c r="O66" s="4">
        <v>0</v>
      </c>
      <c r="P66" s="4"/>
      <c r="Q66" s="4"/>
      <c r="R66" s="4"/>
      <c r="S66" s="4"/>
      <c r="T66" s="4"/>
      <c r="U66" s="4"/>
      <c r="V66" s="4"/>
      <c r="W66" s="4"/>
    </row>
    <row r="67" spans="1:23">
      <c r="A67" s="4">
        <v>50</v>
      </c>
      <c r="B67" s="4">
        <v>0</v>
      </c>
      <c r="C67" s="4">
        <v>0</v>
      </c>
      <c r="D67" s="4">
        <v>1</v>
      </c>
      <c r="E67" s="4">
        <v>229</v>
      </c>
      <c r="F67" s="4">
        <f>ROUND(Source!AZ56,O67)</f>
        <v>0</v>
      </c>
      <c r="G67" s="4" t="s">
        <v>46</v>
      </c>
      <c r="H67" s="4" t="s">
        <v>47</v>
      </c>
      <c r="I67" s="4"/>
      <c r="J67" s="4"/>
      <c r="K67" s="4">
        <v>229</v>
      </c>
      <c r="L67" s="4">
        <v>10</v>
      </c>
      <c r="M67" s="4">
        <v>3</v>
      </c>
      <c r="N67" s="4" t="s">
        <v>3</v>
      </c>
      <c r="O67" s="4">
        <v>0</v>
      </c>
      <c r="P67" s="4"/>
      <c r="Q67" s="4"/>
      <c r="R67" s="4"/>
      <c r="S67" s="4"/>
      <c r="T67" s="4"/>
      <c r="U67" s="4"/>
      <c r="V67" s="4"/>
      <c r="W67" s="4"/>
    </row>
    <row r="68" spans="1:23">
      <c r="A68" s="4">
        <v>50</v>
      </c>
      <c r="B68" s="4">
        <v>1</v>
      </c>
      <c r="C68" s="4">
        <v>0</v>
      </c>
      <c r="D68" s="4">
        <v>1</v>
      </c>
      <c r="E68" s="4">
        <v>203</v>
      </c>
      <c r="F68" s="4">
        <f>ROUND(Source!Q56,O68)</f>
        <v>67</v>
      </c>
      <c r="G68" s="4" t="s">
        <v>48</v>
      </c>
      <c r="H68" s="4" t="s">
        <v>49</v>
      </c>
      <c r="I68" s="4"/>
      <c r="J68" s="4"/>
      <c r="K68" s="4">
        <v>203</v>
      </c>
      <c r="L68" s="4">
        <v>11</v>
      </c>
      <c r="M68" s="4">
        <v>1</v>
      </c>
      <c r="N68" s="4" t="s">
        <v>3</v>
      </c>
      <c r="O68" s="4">
        <v>0</v>
      </c>
      <c r="P68" s="4"/>
      <c r="Q68" s="4"/>
      <c r="R68" s="4"/>
      <c r="S68" s="4"/>
      <c r="T68" s="4"/>
      <c r="U68" s="4"/>
      <c r="V68" s="4"/>
      <c r="W68" s="4"/>
    </row>
    <row r="69" spans="1:23">
      <c r="A69" s="4">
        <v>50</v>
      </c>
      <c r="B69" s="4">
        <v>0</v>
      </c>
      <c r="C69" s="4">
        <v>0</v>
      </c>
      <c r="D69" s="4">
        <v>1</v>
      </c>
      <c r="E69" s="4">
        <v>231</v>
      </c>
      <c r="F69" s="4">
        <f>ROUND(Source!BB56,O69)</f>
        <v>0</v>
      </c>
      <c r="G69" s="4" t="s">
        <v>50</v>
      </c>
      <c r="H69" s="4" t="s">
        <v>51</v>
      </c>
      <c r="I69" s="4"/>
      <c r="J69" s="4"/>
      <c r="K69" s="4">
        <v>231</v>
      </c>
      <c r="L69" s="4">
        <v>12</v>
      </c>
      <c r="M69" s="4">
        <v>3</v>
      </c>
      <c r="N69" s="4" t="s">
        <v>3</v>
      </c>
      <c r="O69" s="4">
        <v>0</v>
      </c>
      <c r="P69" s="4"/>
      <c r="Q69" s="4"/>
      <c r="R69" s="4"/>
      <c r="S69" s="4"/>
      <c r="T69" s="4"/>
      <c r="U69" s="4"/>
      <c r="V69" s="4"/>
      <c r="W69" s="4"/>
    </row>
    <row r="70" spans="1:23">
      <c r="A70" s="4">
        <v>50</v>
      </c>
      <c r="B70" s="4">
        <v>1</v>
      </c>
      <c r="C70" s="4">
        <v>0</v>
      </c>
      <c r="D70" s="4">
        <v>1</v>
      </c>
      <c r="E70" s="4">
        <v>204</v>
      </c>
      <c r="F70" s="4">
        <f>ROUND(Source!R56,O70)</f>
        <v>2</v>
      </c>
      <c r="G70" s="4" t="s">
        <v>52</v>
      </c>
      <c r="H70" s="4" t="s">
        <v>53</v>
      </c>
      <c r="I70" s="4"/>
      <c r="J70" s="4"/>
      <c r="K70" s="4">
        <v>204</v>
      </c>
      <c r="L70" s="4">
        <v>13</v>
      </c>
      <c r="M70" s="4">
        <v>1</v>
      </c>
      <c r="N70" s="4" t="s">
        <v>3</v>
      </c>
      <c r="O70" s="4">
        <v>0</v>
      </c>
      <c r="P70" s="4"/>
      <c r="Q70" s="4"/>
      <c r="R70" s="4"/>
      <c r="S70" s="4"/>
      <c r="T70" s="4"/>
      <c r="U70" s="4"/>
      <c r="V70" s="4"/>
      <c r="W70" s="4"/>
    </row>
    <row r="71" spans="1:23">
      <c r="A71" s="4">
        <v>50</v>
      </c>
      <c r="B71" s="4">
        <v>1</v>
      </c>
      <c r="C71" s="4">
        <v>0</v>
      </c>
      <c r="D71" s="4">
        <v>1</v>
      </c>
      <c r="E71" s="4">
        <v>205</v>
      </c>
      <c r="F71" s="4">
        <f>ROUND(Source!S56,O71)</f>
        <v>199</v>
      </c>
      <c r="G71" s="4" t="s">
        <v>54</v>
      </c>
      <c r="H71" s="4" t="s">
        <v>55</v>
      </c>
      <c r="I71" s="4"/>
      <c r="J71" s="4"/>
      <c r="K71" s="4">
        <v>205</v>
      </c>
      <c r="L71" s="4">
        <v>14</v>
      </c>
      <c r="M71" s="4">
        <v>1</v>
      </c>
      <c r="N71" s="4" t="s">
        <v>3</v>
      </c>
      <c r="O71" s="4">
        <v>0</v>
      </c>
      <c r="P71" s="4"/>
      <c r="Q71" s="4"/>
      <c r="R71" s="4"/>
      <c r="S71" s="4"/>
      <c r="T71" s="4"/>
      <c r="U71" s="4"/>
      <c r="V71" s="4"/>
      <c r="W71" s="4"/>
    </row>
    <row r="72" spans="1:23">
      <c r="A72" s="4">
        <v>50</v>
      </c>
      <c r="B72" s="4">
        <v>0</v>
      </c>
      <c r="C72" s="4">
        <v>0</v>
      </c>
      <c r="D72" s="4">
        <v>1</v>
      </c>
      <c r="E72" s="4">
        <v>232</v>
      </c>
      <c r="F72" s="4">
        <f>ROUND(Source!BC56,O72)</f>
        <v>0</v>
      </c>
      <c r="G72" s="4" t="s">
        <v>56</v>
      </c>
      <c r="H72" s="4" t="s">
        <v>57</v>
      </c>
      <c r="I72" s="4"/>
      <c r="J72" s="4"/>
      <c r="K72" s="4">
        <v>232</v>
      </c>
      <c r="L72" s="4">
        <v>15</v>
      </c>
      <c r="M72" s="4">
        <v>3</v>
      </c>
      <c r="N72" s="4" t="s">
        <v>3</v>
      </c>
      <c r="O72" s="4">
        <v>0</v>
      </c>
      <c r="P72" s="4"/>
      <c r="Q72" s="4"/>
      <c r="R72" s="4"/>
      <c r="S72" s="4"/>
      <c r="T72" s="4"/>
      <c r="U72" s="4"/>
      <c r="V72" s="4"/>
      <c r="W72" s="4"/>
    </row>
    <row r="73" spans="1:23">
      <c r="A73" s="4">
        <v>50</v>
      </c>
      <c r="B73" s="4">
        <v>0</v>
      </c>
      <c r="C73" s="4">
        <v>0</v>
      </c>
      <c r="D73" s="4">
        <v>1</v>
      </c>
      <c r="E73" s="4">
        <v>214</v>
      </c>
      <c r="F73" s="4">
        <f>ROUND(Source!AS56,O73)</f>
        <v>0</v>
      </c>
      <c r="G73" s="4" t="s">
        <v>58</v>
      </c>
      <c r="H73" s="4" t="s">
        <v>59</v>
      </c>
      <c r="I73" s="4"/>
      <c r="J73" s="4"/>
      <c r="K73" s="4">
        <v>214</v>
      </c>
      <c r="L73" s="4">
        <v>16</v>
      </c>
      <c r="M73" s="4">
        <v>1</v>
      </c>
      <c r="N73" s="4" t="s">
        <v>3</v>
      </c>
      <c r="O73" s="4">
        <v>0</v>
      </c>
      <c r="P73" s="4"/>
      <c r="Q73" s="4"/>
      <c r="R73" s="4"/>
      <c r="S73" s="4"/>
      <c r="T73" s="4"/>
      <c r="U73" s="4"/>
      <c r="V73" s="4"/>
      <c r="W73" s="4"/>
    </row>
    <row r="74" spans="1:23">
      <c r="A74" s="4">
        <v>50</v>
      </c>
      <c r="B74" s="4">
        <v>1</v>
      </c>
      <c r="C74" s="4">
        <v>0</v>
      </c>
      <c r="D74" s="4">
        <v>1</v>
      </c>
      <c r="E74" s="4">
        <v>215</v>
      </c>
      <c r="F74" s="4">
        <f>ROUND(Source!AT56,O74)</f>
        <v>576</v>
      </c>
      <c r="G74" s="4" t="s">
        <v>60</v>
      </c>
      <c r="H74" s="4" t="s">
        <v>61</v>
      </c>
      <c r="I74" s="4"/>
      <c r="J74" s="4"/>
      <c r="K74" s="4">
        <v>215</v>
      </c>
      <c r="L74" s="4">
        <v>17</v>
      </c>
      <c r="M74" s="4">
        <v>1</v>
      </c>
      <c r="N74" s="4" t="s">
        <v>3</v>
      </c>
      <c r="O74" s="4">
        <v>0</v>
      </c>
      <c r="P74" s="4"/>
      <c r="Q74" s="4"/>
      <c r="R74" s="4"/>
      <c r="S74" s="4"/>
      <c r="T74" s="4"/>
      <c r="U74" s="4"/>
      <c r="V74" s="4"/>
      <c r="W74" s="4"/>
    </row>
    <row r="75" spans="1:23">
      <c r="A75" s="4">
        <v>50</v>
      </c>
      <c r="B75" s="4">
        <v>0</v>
      </c>
      <c r="C75" s="4">
        <v>0</v>
      </c>
      <c r="D75" s="4">
        <v>1</v>
      </c>
      <c r="E75" s="4">
        <v>217</v>
      </c>
      <c r="F75" s="4">
        <f>ROUND(Source!AU56,O75)</f>
        <v>0</v>
      </c>
      <c r="G75" s="4" t="s">
        <v>62</v>
      </c>
      <c r="H75" s="4" t="s">
        <v>63</v>
      </c>
      <c r="I75" s="4"/>
      <c r="J75" s="4"/>
      <c r="K75" s="4">
        <v>217</v>
      </c>
      <c r="L75" s="4">
        <v>18</v>
      </c>
      <c r="M75" s="4">
        <v>1</v>
      </c>
      <c r="N75" s="4" t="s">
        <v>3</v>
      </c>
      <c r="O75" s="4">
        <v>0</v>
      </c>
      <c r="P75" s="4"/>
      <c r="Q75" s="4"/>
      <c r="R75" s="4"/>
      <c r="S75" s="4"/>
      <c r="T75" s="4"/>
      <c r="U75" s="4"/>
      <c r="V75" s="4"/>
      <c r="W75" s="4"/>
    </row>
    <row r="76" spans="1:23">
      <c r="A76" s="4">
        <v>50</v>
      </c>
      <c r="B76" s="4">
        <v>0</v>
      </c>
      <c r="C76" s="4">
        <v>0</v>
      </c>
      <c r="D76" s="4">
        <v>1</v>
      </c>
      <c r="E76" s="4">
        <v>230</v>
      </c>
      <c r="F76" s="4">
        <f>ROUND(Source!BA56,O76)</f>
        <v>0</v>
      </c>
      <c r="G76" s="4" t="s">
        <v>64</v>
      </c>
      <c r="H76" s="4" t="s">
        <v>65</v>
      </c>
      <c r="I76" s="4"/>
      <c r="J76" s="4"/>
      <c r="K76" s="4">
        <v>230</v>
      </c>
      <c r="L76" s="4">
        <v>19</v>
      </c>
      <c r="M76" s="4">
        <v>3</v>
      </c>
      <c r="N76" s="4" t="s">
        <v>3</v>
      </c>
      <c r="O76" s="4">
        <v>0</v>
      </c>
      <c r="P76" s="4"/>
      <c r="Q76" s="4"/>
      <c r="R76" s="4"/>
      <c r="S76" s="4"/>
      <c r="T76" s="4"/>
      <c r="U76" s="4"/>
      <c r="V76" s="4"/>
      <c r="W76" s="4"/>
    </row>
    <row r="77" spans="1:23">
      <c r="A77" s="4">
        <v>50</v>
      </c>
      <c r="B77" s="4">
        <v>0</v>
      </c>
      <c r="C77" s="4">
        <v>0</v>
      </c>
      <c r="D77" s="4">
        <v>1</v>
      </c>
      <c r="E77" s="4">
        <v>206</v>
      </c>
      <c r="F77" s="4">
        <f>ROUND(Source!T56,O77)</f>
        <v>0</v>
      </c>
      <c r="G77" s="4" t="s">
        <v>66</v>
      </c>
      <c r="H77" s="4" t="s">
        <v>67</v>
      </c>
      <c r="I77" s="4"/>
      <c r="J77" s="4"/>
      <c r="K77" s="4">
        <v>206</v>
      </c>
      <c r="L77" s="4">
        <v>20</v>
      </c>
      <c r="M77" s="4">
        <v>1</v>
      </c>
      <c r="N77" s="4" t="s">
        <v>3</v>
      </c>
      <c r="O77" s="4">
        <v>0</v>
      </c>
      <c r="P77" s="4"/>
      <c r="Q77" s="4"/>
      <c r="R77" s="4"/>
      <c r="S77" s="4"/>
      <c r="T77" s="4"/>
      <c r="U77" s="4"/>
      <c r="V77" s="4"/>
      <c r="W77" s="4"/>
    </row>
    <row r="78" spans="1:23">
      <c r="A78" s="4">
        <v>50</v>
      </c>
      <c r="B78" s="4">
        <v>1</v>
      </c>
      <c r="C78" s="4">
        <v>0</v>
      </c>
      <c r="D78" s="4">
        <v>1</v>
      </c>
      <c r="E78" s="4">
        <v>207</v>
      </c>
      <c r="F78" s="4">
        <f>ROUND(Source!U56,O78)</f>
        <v>22</v>
      </c>
      <c r="G78" s="4" t="s">
        <v>68</v>
      </c>
      <c r="H78" s="4" t="s">
        <v>69</v>
      </c>
      <c r="I78" s="4"/>
      <c r="J78" s="4"/>
      <c r="K78" s="4">
        <v>207</v>
      </c>
      <c r="L78" s="4">
        <v>21</v>
      </c>
      <c r="M78" s="4">
        <v>1</v>
      </c>
      <c r="N78" s="4" t="s">
        <v>3</v>
      </c>
      <c r="O78" s="4">
        <v>0</v>
      </c>
      <c r="P78" s="4"/>
      <c r="Q78" s="4"/>
      <c r="R78" s="4"/>
      <c r="S78" s="4"/>
      <c r="T78" s="4"/>
      <c r="U78" s="4"/>
      <c r="V78" s="4"/>
      <c r="W78" s="4"/>
    </row>
    <row r="79" spans="1:23">
      <c r="A79" s="4">
        <v>50</v>
      </c>
      <c r="B79" s="4">
        <v>0</v>
      </c>
      <c r="C79" s="4">
        <v>0</v>
      </c>
      <c r="D79" s="4">
        <v>1</v>
      </c>
      <c r="E79" s="4">
        <v>208</v>
      </c>
      <c r="F79" s="4">
        <f>ROUND(Source!V56,O79)</f>
        <v>0</v>
      </c>
      <c r="G79" s="4" t="s">
        <v>70</v>
      </c>
      <c r="H79" s="4" t="s">
        <v>71</v>
      </c>
      <c r="I79" s="4"/>
      <c r="J79" s="4"/>
      <c r="K79" s="4">
        <v>208</v>
      </c>
      <c r="L79" s="4">
        <v>22</v>
      </c>
      <c r="M79" s="4">
        <v>1</v>
      </c>
      <c r="N79" s="4" t="s">
        <v>3</v>
      </c>
      <c r="O79" s="4">
        <v>0</v>
      </c>
      <c r="P79" s="4"/>
      <c r="Q79" s="4"/>
      <c r="R79" s="4"/>
      <c r="S79" s="4"/>
      <c r="T79" s="4"/>
      <c r="U79" s="4"/>
      <c r="V79" s="4"/>
      <c r="W79" s="4"/>
    </row>
    <row r="80" spans="1:23">
      <c r="A80" s="4">
        <v>50</v>
      </c>
      <c r="B80" s="4">
        <v>0</v>
      </c>
      <c r="C80" s="4">
        <v>0</v>
      </c>
      <c r="D80" s="4">
        <v>1</v>
      </c>
      <c r="E80" s="4">
        <v>209</v>
      </c>
      <c r="F80" s="4">
        <f>ROUND(Source!W56,O80)</f>
        <v>0</v>
      </c>
      <c r="G80" s="4" t="s">
        <v>72</v>
      </c>
      <c r="H80" s="4" t="s">
        <v>73</v>
      </c>
      <c r="I80" s="4"/>
      <c r="J80" s="4"/>
      <c r="K80" s="4">
        <v>209</v>
      </c>
      <c r="L80" s="4">
        <v>23</v>
      </c>
      <c r="M80" s="4">
        <v>3</v>
      </c>
      <c r="N80" s="4" t="s">
        <v>3</v>
      </c>
      <c r="O80" s="4">
        <v>0</v>
      </c>
      <c r="P80" s="4"/>
      <c r="Q80" s="4"/>
      <c r="R80" s="4"/>
      <c r="S80" s="4"/>
      <c r="T80" s="4"/>
      <c r="U80" s="4"/>
      <c r="V80" s="4"/>
      <c r="W80" s="4"/>
    </row>
    <row r="81" spans="1:23">
      <c r="A81" s="4">
        <v>50</v>
      </c>
      <c r="B81" s="4">
        <v>1</v>
      </c>
      <c r="C81" s="4">
        <v>0</v>
      </c>
      <c r="D81" s="4">
        <v>1</v>
      </c>
      <c r="E81" s="4">
        <v>210</v>
      </c>
      <c r="F81" s="4">
        <f>ROUND(Source!X56,O81)</f>
        <v>135</v>
      </c>
      <c r="G81" s="4" t="s">
        <v>74</v>
      </c>
      <c r="H81" s="4" t="s">
        <v>75</v>
      </c>
      <c r="I81" s="4"/>
      <c r="J81" s="4"/>
      <c r="K81" s="4">
        <v>210</v>
      </c>
      <c r="L81" s="4">
        <v>24</v>
      </c>
      <c r="M81" s="4">
        <v>1</v>
      </c>
      <c r="N81" s="4" t="s">
        <v>3</v>
      </c>
      <c r="O81" s="4">
        <v>0</v>
      </c>
      <c r="P81" s="4"/>
      <c r="Q81" s="4"/>
      <c r="R81" s="4"/>
      <c r="S81" s="4"/>
      <c r="T81" s="4"/>
      <c r="U81" s="4"/>
      <c r="V81" s="4"/>
      <c r="W81" s="4"/>
    </row>
    <row r="82" spans="1:23">
      <c r="A82" s="4">
        <v>50</v>
      </c>
      <c r="B82" s="4">
        <v>1</v>
      </c>
      <c r="C82" s="4">
        <v>0</v>
      </c>
      <c r="D82" s="4">
        <v>1</v>
      </c>
      <c r="E82" s="4">
        <v>211</v>
      </c>
      <c r="F82" s="4">
        <f>ROUND(Source!Y56,O82)</f>
        <v>119</v>
      </c>
      <c r="G82" s="4" t="s">
        <v>76</v>
      </c>
      <c r="H82" s="4" t="s">
        <v>77</v>
      </c>
      <c r="I82" s="4"/>
      <c r="J82" s="4"/>
      <c r="K82" s="4">
        <v>211</v>
      </c>
      <c r="L82" s="4">
        <v>25</v>
      </c>
      <c r="M82" s="4">
        <v>1</v>
      </c>
      <c r="N82" s="4" t="s">
        <v>3</v>
      </c>
      <c r="O82" s="4">
        <v>0</v>
      </c>
      <c r="P82" s="4"/>
      <c r="Q82" s="4"/>
      <c r="R82" s="4"/>
      <c r="S82" s="4"/>
      <c r="T82" s="4"/>
      <c r="U82" s="4"/>
      <c r="V82" s="4"/>
      <c r="W82" s="4"/>
    </row>
    <row r="83" spans="1:23">
      <c r="A83" s="4">
        <v>50</v>
      </c>
      <c r="B83" s="4">
        <v>1</v>
      </c>
      <c r="C83" s="4">
        <v>0</v>
      </c>
      <c r="D83" s="4">
        <v>1</v>
      </c>
      <c r="E83" s="4">
        <v>224</v>
      </c>
      <c r="F83" s="4">
        <f>ROUND(Source!AR56,O83)</f>
        <v>576</v>
      </c>
      <c r="G83" s="4" t="s">
        <v>78</v>
      </c>
      <c r="H83" s="4" t="s">
        <v>79</v>
      </c>
      <c r="I83" s="4"/>
      <c r="J83" s="4"/>
      <c r="K83" s="4">
        <v>224</v>
      </c>
      <c r="L83" s="4">
        <v>26</v>
      </c>
      <c r="M83" s="4">
        <v>1</v>
      </c>
      <c r="N83" s="4" t="s">
        <v>3</v>
      </c>
      <c r="O83" s="4">
        <v>0</v>
      </c>
      <c r="P83" s="4"/>
      <c r="Q83" s="4"/>
      <c r="R83" s="4"/>
      <c r="S83" s="4"/>
      <c r="T83" s="4"/>
      <c r="U83" s="4"/>
      <c r="V83" s="4"/>
      <c r="W83" s="4"/>
    </row>
    <row r="86" spans="1:23">
      <c r="A86">
        <v>70</v>
      </c>
      <c r="B86">
        <v>1</v>
      </c>
      <c r="D86">
        <v>1</v>
      </c>
      <c r="E86" t="s">
        <v>80</v>
      </c>
      <c r="F86" t="s">
        <v>81</v>
      </c>
      <c r="G86">
        <v>1</v>
      </c>
      <c r="H86">
        <v>0</v>
      </c>
      <c r="I86" t="s">
        <v>3</v>
      </c>
      <c r="J86">
        <v>1</v>
      </c>
      <c r="K86">
        <v>0</v>
      </c>
      <c r="L86" t="s">
        <v>3</v>
      </c>
      <c r="M86" t="s">
        <v>3</v>
      </c>
      <c r="N86">
        <v>0</v>
      </c>
    </row>
    <row r="87" spans="1:23">
      <c r="A87">
        <v>70</v>
      </c>
      <c r="B87">
        <v>1</v>
      </c>
      <c r="D87">
        <v>2</v>
      </c>
      <c r="E87" t="s">
        <v>82</v>
      </c>
      <c r="F87" t="s">
        <v>83</v>
      </c>
      <c r="G87">
        <v>0</v>
      </c>
      <c r="H87">
        <v>0</v>
      </c>
      <c r="I87" t="s">
        <v>3</v>
      </c>
      <c r="J87">
        <v>1</v>
      </c>
      <c r="K87">
        <v>0</v>
      </c>
      <c r="L87" t="s">
        <v>3</v>
      </c>
      <c r="M87" t="s">
        <v>3</v>
      </c>
      <c r="N87">
        <v>0</v>
      </c>
    </row>
    <row r="88" spans="1:23">
      <c r="A88">
        <v>70</v>
      </c>
      <c r="B88">
        <v>1</v>
      </c>
      <c r="D88">
        <v>3</v>
      </c>
      <c r="E88" t="s">
        <v>84</v>
      </c>
      <c r="F88" t="s">
        <v>85</v>
      </c>
      <c r="G88">
        <v>0</v>
      </c>
      <c r="H88">
        <v>0</v>
      </c>
      <c r="I88" t="s">
        <v>3</v>
      </c>
      <c r="J88">
        <v>1</v>
      </c>
      <c r="K88">
        <v>0</v>
      </c>
      <c r="L88" t="s">
        <v>3</v>
      </c>
      <c r="M88" t="s">
        <v>3</v>
      </c>
      <c r="N88">
        <v>0</v>
      </c>
    </row>
    <row r="89" spans="1:23">
      <c r="A89">
        <v>70</v>
      </c>
      <c r="B89">
        <v>1</v>
      </c>
      <c r="D89">
        <v>4</v>
      </c>
      <c r="E89" t="s">
        <v>86</v>
      </c>
      <c r="F89" t="s">
        <v>87</v>
      </c>
      <c r="G89">
        <v>1</v>
      </c>
      <c r="H89">
        <v>0</v>
      </c>
      <c r="I89" t="s">
        <v>88</v>
      </c>
      <c r="J89">
        <v>0</v>
      </c>
      <c r="K89">
        <v>0</v>
      </c>
      <c r="L89" t="s">
        <v>3</v>
      </c>
      <c r="M89" t="s">
        <v>3</v>
      </c>
      <c r="N89">
        <v>0</v>
      </c>
    </row>
    <row r="90" spans="1:23">
      <c r="A90">
        <v>70</v>
      </c>
      <c r="B90">
        <v>1</v>
      </c>
      <c r="D90">
        <v>5</v>
      </c>
      <c r="E90" t="s">
        <v>89</v>
      </c>
      <c r="F90" t="s">
        <v>90</v>
      </c>
      <c r="G90">
        <v>0</v>
      </c>
      <c r="H90">
        <v>0</v>
      </c>
      <c r="I90" t="s">
        <v>91</v>
      </c>
      <c r="J90">
        <v>0</v>
      </c>
      <c r="K90">
        <v>0</v>
      </c>
      <c r="L90" t="s">
        <v>3</v>
      </c>
      <c r="M90" t="s">
        <v>3</v>
      </c>
      <c r="N90">
        <v>0</v>
      </c>
    </row>
    <row r="91" spans="1:23">
      <c r="A91">
        <v>70</v>
      </c>
      <c r="B91">
        <v>1</v>
      </c>
      <c r="D91">
        <v>6</v>
      </c>
      <c r="E91" t="s">
        <v>92</v>
      </c>
      <c r="F91" t="s">
        <v>93</v>
      </c>
      <c r="G91">
        <v>0</v>
      </c>
      <c r="H91">
        <v>0</v>
      </c>
      <c r="I91" t="s">
        <v>94</v>
      </c>
      <c r="J91">
        <v>0</v>
      </c>
      <c r="K91">
        <v>0</v>
      </c>
      <c r="L91" t="s">
        <v>3</v>
      </c>
      <c r="M91" t="s">
        <v>3</v>
      </c>
      <c r="N91">
        <v>0</v>
      </c>
    </row>
    <row r="92" spans="1:23">
      <c r="A92">
        <v>70</v>
      </c>
      <c r="B92">
        <v>1</v>
      </c>
      <c r="D92">
        <v>7</v>
      </c>
      <c r="E92" t="s">
        <v>95</v>
      </c>
      <c r="F92" t="s">
        <v>96</v>
      </c>
      <c r="G92">
        <v>1</v>
      </c>
      <c r="H92">
        <v>0</v>
      </c>
      <c r="I92" t="s">
        <v>3</v>
      </c>
      <c r="J92">
        <v>0</v>
      </c>
      <c r="K92">
        <v>0</v>
      </c>
      <c r="L92" t="s">
        <v>3</v>
      </c>
      <c r="M92" t="s">
        <v>3</v>
      </c>
      <c r="N92">
        <v>0</v>
      </c>
    </row>
    <row r="93" spans="1:23">
      <c r="A93">
        <v>70</v>
      </c>
      <c r="B93">
        <v>1</v>
      </c>
      <c r="D93">
        <v>8</v>
      </c>
      <c r="E93" t="s">
        <v>97</v>
      </c>
      <c r="F93" t="s">
        <v>98</v>
      </c>
      <c r="G93">
        <v>0</v>
      </c>
      <c r="H93">
        <v>0</v>
      </c>
      <c r="I93" t="s">
        <v>99</v>
      </c>
      <c r="J93">
        <v>0</v>
      </c>
      <c r="K93">
        <v>0</v>
      </c>
      <c r="L93" t="s">
        <v>3</v>
      </c>
      <c r="M93" t="s">
        <v>3</v>
      </c>
      <c r="N93">
        <v>0</v>
      </c>
    </row>
    <row r="94" spans="1:23">
      <c r="A94">
        <v>70</v>
      </c>
      <c r="B94">
        <v>1</v>
      </c>
      <c r="D94">
        <v>9</v>
      </c>
      <c r="E94" t="s">
        <v>100</v>
      </c>
      <c r="F94" t="s">
        <v>101</v>
      </c>
      <c r="G94">
        <v>0</v>
      </c>
      <c r="H94">
        <v>0</v>
      </c>
      <c r="I94" t="s">
        <v>102</v>
      </c>
      <c r="J94">
        <v>0</v>
      </c>
      <c r="K94">
        <v>0</v>
      </c>
      <c r="L94" t="s">
        <v>3</v>
      </c>
      <c r="M94" t="s">
        <v>3</v>
      </c>
      <c r="N94">
        <v>0</v>
      </c>
    </row>
    <row r="95" spans="1:23">
      <c r="A95">
        <v>70</v>
      </c>
      <c r="B95">
        <v>1</v>
      </c>
      <c r="D95">
        <v>10</v>
      </c>
      <c r="E95" t="s">
        <v>103</v>
      </c>
      <c r="F95" t="s">
        <v>104</v>
      </c>
      <c r="G95">
        <v>0</v>
      </c>
      <c r="H95">
        <v>0</v>
      </c>
      <c r="I95" t="s">
        <v>105</v>
      </c>
      <c r="J95">
        <v>0</v>
      </c>
      <c r="K95">
        <v>0</v>
      </c>
      <c r="L95" t="s">
        <v>3</v>
      </c>
      <c r="M95" t="s">
        <v>3</v>
      </c>
      <c r="N95">
        <v>0</v>
      </c>
    </row>
    <row r="96" spans="1:23">
      <c r="A96">
        <v>70</v>
      </c>
      <c r="B96">
        <v>1</v>
      </c>
      <c r="D96">
        <v>11</v>
      </c>
      <c r="E96" t="s">
        <v>106</v>
      </c>
      <c r="F96" t="s">
        <v>107</v>
      </c>
      <c r="G96">
        <v>0</v>
      </c>
      <c r="H96">
        <v>0</v>
      </c>
      <c r="I96" t="s">
        <v>108</v>
      </c>
      <c r="J96">
        <v>0</v>
      </c>
      <c r="K96">
        <v>0</v>
      </c>
      <c r="L96" t="s">
        <v>3</v>
      </c>
      <c r="M96" t="s">
        <v>3</v>
      </c>
      <c r="N96">
        <v>0</v>
      </c>
    </row>
    <row r="97" spans="1:14">
      <c r="A97">
        <v>70</v>
      </c>
      <c r="B97">
        <v>1</v>
      </c>
      <c r="D97">
        <v>12</v>
      </c>
      <c r="E97" t="s">
        <v>109</v>
      </c>
      <c r="F97" t="s">
        <v>110</v>
      </c>
      <c r="G97">
        <v>0</v>
      </c>
      <c r="H97">
        <v>0</v>
      </c>
      <c r="I97" t="s">
        <v>3</v>
      </c>
      <c r="J97">
        <v>0</v>
      </c>
      <c r="K97">
        <v>0</v>
      </c>
      <c r="L97" t="s">
        <v>3</v>
      </c>
      <c r="M97" t="s">
        <v>3</v>
      </c>
      <c r="N97">
        <v>0</v>
      </c>
    </row>
    <row r="98" spans="1:14">
      <c r="A98">
        <v>70</v>
      </c>
      <c r="B98">
        <v>1</v>
      </c>
      <c r="D98">
        <v>1</v>
      </c>
      <c r="E98" t="s">
        <v>111</v>
      </c>
      <c r="F98" t="s">
        <v>112</v>
      </c>
      <c r="G98">
        <v>0.9</v>
      </c>
      <c r="H98">
        <v>1</v>
      </c>
      <c r="I98" t="s">
        <v>113</v>
      </c>
      <c r="J98">
        <v>0</v>
      </c>
      <c r="K98">
        <v>0</v>
      </c>
      <c r="L98" t="s">
        <v>3</v>
      </c>
      <c r="M98" t="s">
        <v>3</v>
      </c>
      <c r="N98">
        <v>0</v>
      </c>
    </row>
    <row r="99" spans="1:14">
      <c r="A99">
        <v>70</v>
      </c>
      <c r="B99">
        <v>1</v>
      </c>
      <c r="D99">
        <v>2</v>
      </c>
      <c r="E99" t="s">
        <v>114</v>
      </c>
      <c r="F99" t="s">
        <v>115</v>
      </c>
      <c r="G99">
        <v>0.85</v>
      </c>
      <c r="H99">
        <v>1</v>
      </c>
      <c r="I99" t="s">
        <v>116</v>
      </c>
      <c r="J99">
        <v>0</v>
      </c>
      <c r="K99">
        <v>0</v>
      </c>
      <c r="L99" t="s">
        <v>3</v>
      </c>
      <c r="M99" t="s">
        <v>3</v>
      </c>
      <c r="N99">
        <v>0</v>
      </c>
    </row>
    <row r="100" spans="1:14">
      <c r="A100">
        <v>70</v>
      </c>
      <c r="B100">
        <v>1</v>
      </c>
      <c r="D100">
        <v>3</v>
      </c>
      <c r="E100" t="s">
        <v>117</v>
      </c>
      <c r="F100" t="s">
        <v>118</v>
      </c>
      <c r="G100">
        <v>1</v>
      </c>
      <c r="H100">
        <v>0.85</v>
      </c>
      <c r="I100" t="s">
        <v>119</v>
      </c>
      <c r="J100">
        <v>0</v>
      </c>
      <c r="K100">
        <v>0</v>
      </c>
      <c r="L100" t="s">
        <v>3</v>
      </c>
      <c r="M100" t="s">
        <v>3</v>
      </c>
      <c r="N100">
        <v>0</v>
      </c>
    </row>
    <row r="101" spans="1:14">
      <c r="A101">
        <v>70</v>
      </c>
      <c r="B101">
        <v>1</v>
      </c>
      <c r="D101">
        <v>4</v>
      </c>
      <c r="E101" t="s">
        <v>120</v>
      </c>
      <c r="F101" t="s">
        <v>121</v>
      </c>
      <c r="G101">
        <v>1</v>
      </c>
      <c r="H101">
        <v>0</v>
      </c>
      <c r="I101" t="s">
        <v>3</v>
      </c>
      <c r="J101">
        <v>0</v>
      </c>
      <c r="K101">
        <v>0</v>
      </c>
      <c r="L101" t="s">
        <v>3</v>
      </c>
      <c r="M101" t="s">
        <v>3</v>
      </c>
      <c r="N101">
        <v>0</v>
      </c>
    </row>
    <row r="102" spans="1:14">
      <c r="A102">
        <v>70</v>
      </c>
      <c r="B102">
        <v>1</v>
      </c>
      <c r="D102">
        <v>5</v>
      </c>
      <c r="E102" t="s">
        <v>122</v>
      </c>
      <c r="F102" t="s">
        <v>123</v>
      </c>
      <c r="G102">
        <v>1</v>
      </c>
      <c r="H102">
        <v>0.8</v>
      </c>
      <c r="I102" t="s">
        <v>124</v>
      </c>
      <c r="J102">
        <v>0</v>
      </c>
      <c r="K102">
        <v>0</v>
      </c>
      <c r="L102" t="s">
        <v>3</v>
      </c>
      <c r="M102" t="s">
        <v>3</v>
      </c>
      <c r="N102">
        <v>0</v>
      </c>
    </row>
    <row r="103" spans="1:14">
      <c r="A103">
        <v>70</v>
      </c>
      <c r="B103">
        <v>1</v>
      </c>
      <c r="D103">
        <v>6</v>
      </c>
      <c r="E103" t="s">
        <v>125</v>
      </c>
      <c r="F103" t="s">
        <v>126</v>
      </c>
      <c r="G103">
        <v>1</v>
      </c>
      <c r="H103">
        <v>0</v>
      </c>
      <c r="I103" t="s">
        <v>3</v>
      </c>
      <c r="J103">
        <v>0</v>
      </c>
      <c r="K103">
        <v>0</v>
      </c>
      <c r="L103" t="s">
        <v>3</v>
      </c>
      <c r="M103" t="s">
        <v>3</v>
      </c>
      <c r="N103">
        <v>0</v>
      </c>
    </row>
    <row r="104" spans="1:14">
      <c r="A104">
        <v>70</v>
      </c>
      <c r="B104">
        <v>1</v>
      </c>
      <c r="D104">
        <v>7</v>
      </c>
      <c r="E104" t="s">
        <v>127</v>
      </c>
      <c r="F104" t="s">
        <v>128</v>
      </c>
      <c r="G104">
        <v>1</v>
      </c>
      <c r="H104">
        <v>0</v>
      </c>
      <c r="I104" t="s">
        <v>3</v>
      </c>
      <c r="J104">
        <v>0</v>
      </c>
      <c r="K104">
        <v>0</v>
      </c>
      <c r="L104" t="s">
        <v>3</v>
      </c>
      <c r="M104" t="s">
        <v>3</v>
      </c>
      <c r="N104">
        <v>0</v>
      </c>
    </row>
    <row r="105" spans="1:14">
      <c r="A105">
        <v>70</v>
      </c>
      <c r="B105">
        <v>1</v>
      </c>
      <c r="D105">
        <v>8</v>
      </c>
      <c r="E105" t="s">
        <v>129</v>
      </c>
      <c r="F105" t="s">
        <v>130</v>
      </c>
      <c r="G105">
        <v>0.7</v>
      </c>
      <c r="H105">
        <v>0</v>
      </c>
      <c r="I105" t="s">
        <v>3</v>
      </c>
      <c r="J105">
        <v>0</v>
      </c>
      <c r="K105">
        <v>0</v>
      </c>
      <c r="L105" t="s">
        <v>3</v>
      </c>
      <c r="M105" t="s">
        <v>3</v>
      </c>
      <c r="N105">
        <v>0</v>
      </c>
    </row>
    <row r="106" spans="1:14">
      <c r="A106">
        <v>70</v>
      </c>
      <c r="B106">
        <v>1</v>
      </c>
      <c r="D106">
        <v>9</v>
      </c>
      <c r="E106" t="s">
        <v>131</v>
      </c>
      <c r="F106" t="s">
        <v>132</v>
      </c>
      <c r="G106">
        <v>0.9</v>
      </c>
      <c r="H106">
        <v>0</v>
      </c>
      <c r="I106" t="s">
        <v>3</v>
      </c>
      <c r="J106">
        <v>0</v>
      </c>
      <c r="K106">
        <v>0</v>
      </c>
      <c r="L106" t="s">
        <v>3</v>
      </c>
      <c r="M106" t="s">
        <v>3</v>
      </c>
      <c r="N106">
        <v>0</v>
      </c>
    </row>
    <row r="107" spans="1:14">
      <c r="A107">
        <v>70</v>
      </c>
      <c r="B107">
        <v>1</v>
      </c>
      <c r="D107">
        <v>10</v>
      </c>
      <c r="E107" t="s">
        <v>133</v>
      </c>
      <c r="F107" t="s">
        <v>134</v>
      </c>
      <c r="G107">
        <v>0.6</v>
      </c>
      <c r="H107">
        <v>0</v>
      </c>
      <c r="I107" t="s">
        <v>3</v>
      </c>
      <c r="J107">
        <v>0</v>
      </c>
      <c r="K107">
        <v>0</v>
      </c>
      <c r="L107" t="s">
        <v>3</v>
      </c>
      <c r="M107" t="s">
        <v>3</v>
      </c>
      <c r="N107">
        <v>0</v>
      </c>
    </row>
    <row r="108" spans="1:14">
      <c r="A108">
        <v>70</v>
      </c>
      <c r="B108">
        <v>1</v>
      </c>
      <c r="D108">
        <v>11</v>
      </c>
      <c r="E108" t="s">
        <v>135</v>
      </c>
      <c r="F108" t="s">
        <v>136</v>
      </c>
      <c r="G108">
        <v>1.2</v>
      </c>
      <c r="H108">
        <v>0</v>
      </c>
      <c r="I108" t="s">
        <v>3</v>
      </c>
      <c r="J108">
        <v>0</v>
      </c>
      <c r="K108">
        <v>0</v>
      </c>
      <c r="L108" t="s">
        <v>3</v>
      </c>
      <c r="M108" t="s">
        <v>3</v>
      </c>
      <c r="N108">
        <v>0</v>
      </c>
    </row>
    <row r="109" spans="1:14">
      <c r="A109">
        <v>70</v>
      </c>
      <c r="B109">
        <v>1</v>
      </c>
      <c r="D109">
        <v>12</v>
      </c>
      <c r="E109" t="s">
        <v>137</v>
      </c>
      <c r="F109" t="s">
        <v>138</v>
      </c>
      <c r="G109">
        <v>0</v>
      </c>
      <c r="H109">
        <v>0</v>
      </c>
      <c r="I109" t="s">
        <v>3</v>
      </c>
      <c r="J109">
        <v>0</v>
      </c>
      <c r="K109">
        <v>0</v>
      </c>
      <c r="L109" t="s">
        <v>3</v>
      </c>
      <c r="M109" t="s">
        <v>3</v>
      </c>
      <c r="N109">
        <v>0</v>
      </c>
    </row>
    <row r="110" spans="1:14">
      <c r="A110">
        <v>70</v>
      </c>
      <c r="B110">
        <v>1</v>
      </c>
      <c r="D110">
        <v>13</v>
      </c>
      <c r="E110" t="s">
        <v>139</v>
      </c>
      <c r="F110" t="s">
        <v>140</v>
      </c>
      <c r="G110">
        <v>1</v>
      </c>
      <c r="H110">
        <v>0</v>
      </c>
      <c r="I110" t="s">
        <v>3</v>
      </c>
      <c r="J110">
        <v>0</v>
      </c>
      <c r="K110">
        <v>0</v>
      </c>
      <c r="L110" t="s">
        <v>3</v>
      </c>
      <c r="M110" t="s">
        <v>3</v>
      </c>
      <c r="N110">
        <v>0</v>
      </c>
    </row>
    <row r="112" spans="1:14">
      <c r="A112">
        <v>-1</v>
      </c>
    </row>
    <row r="114" spans="1:15">
      <c r="A114" s="3">
        <v>75</v>
      </c>
      <c r="B114" s="3" t="s">
        <v>141</v>
      </c>
      <c r="C114" s="3">
        <v>2000</v>
      </c>
      <c r="D114" s="3">
        <v>0</v>
      </c>
      <c r="E114" s="3">
        <v>1</v>
      </c>
      <c r="F114" s="3">
        <v>0</v>
      </c>
      <c r="G114" s="3">
        <v>0</v>
      </c>
      <c r="H114" s="3">
        <v>1</v>
      </c>
      <c r="I114" s="3">
        <v>0</v>
      </c>
      <c r="J114" s="3">
        <v>1</v>
      </c>
      <c r="K114" s="3">
        <v>0</v>
      </c>
      <c r="L114" s="3">
        <v>0</v>
      </c>
      <c r="M114" s="3">
        <v>0</v>
      </c>
      <c r="N114" s="3">
        <v>37217027</v>
      </c>
      <c r="O114" s="3">
        <v>1</v>
      </c>
    </row>
    <row r="118" spans="1:15">
      <c r="A118">
        <v>65</v>
      </c>
      <c r="C118">
        <v>1</v>
      </c>
      <c r="D118">
        <v>0</v>
      </c>
      <c r="E11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C50"/>
  <sheetViews>
    <sheetView workbookViewId="0"/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142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28224</v>
      </c>
      <c r="M1">
        <v>10</v>
      </c>
      <c r="N1">
        <v>10</v>
      </c>
      <c r="O1">
        <v>1</v>
      </c>
      <c r="P1">
        <v>0</v>
      </c>
      <c r="Q1">
        <v>11</v>
      </c>
    </row>
    <row r="12" spans="1:133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0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>
      <c r="A14" s="1">
        <v>22</v>
      </c>
      <c r="B14" s="1">
        <v>0</v>
      </c>
      <c r="C14" s="1">
        <v>0</v>
      </c>
      <c r="D14" s="1">
        <v>37217027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>
      <c r="A16" s="5">
        <v>3</v>
      </c>
      <c r="B16" s="5">
        <v>1</v>
      </c>
      <c r="C16" s="5" t="s">
        <v>12</v>
      </c>
      <c r="D16" s="5" t="s">
        <v>12</v>
      </c>
      <c r="E16" s="6">
        <f>(Source!F44)/1000</f>
        <v>0</v>
      </c>
      <c r="F16" s="6">
        <f>(Source!F45)/1000</f>
        <v>0.57599999999999996</v>
      </c>
      <c r="G16" s="6">
        <f>(Source!F36)/1000</f>
        <v>0</v>
      </c>
      <c r="H16" s="6">
        <f>(Source!F46)/1000+(Source!F47)/1000</f>
        <v>0</v>
      </c>
      <c r="I16" s="6">
        <f>E16+F16+G16+H16</f>
        <v>0.57599999999999996</v>
      </c>
      <c r="J16" s="6">
        <f>(Source!F42)/1000</f>
        <v>0.19900000000000001</v>
      </c>
      <c r="AI16" s="5">
        <v>0</v>
      </c>
      <c r="AJ16" s="5">
        <v>0</v>
      </c>
      <c r="AK16" s="5" t="s">
        <v>3</v>
      </c>
      <c r="AL16" s="5" t="s">
        <v>3</v>
      </c>
      <c r="AM16" s="5" t="s">
        <v>3</v>
      </c>
      <c r="AN16" s="5">
        <v>0</v>
      </c>
      <c r="AO16" s="5" t="s">
        <v>3</v>
      </c>
      <c r="AP16" s="5" t="s">
        <v>3</v>
      </c>
      <c r="AT16" s="6">
        <v>322</v>
      </c>
      <c r="AU16" s="6">
        <v>56</v>
      </c>
      <c r="AV16" s="6">
        <v>0</v>
      </c>
      <c r="AW16" s="6">
        <v>0</v>
      </c>
      <c r="AX16" s="6">
        <v>0</v>
      </c>
      <c r="AY16" s="6">
        <v>67</v>
      </c>
      <c r="AZ16" s="6">
        <v>2</v>
      </c>
      <c r="BA16" s="6">
        <v>199</v>
      </c>
      <c r="BB16" s="6">
        <v>0</v>
      </c>
      <c r="BC16" s="6">
        <v>576</v>
      </c>
      <c r="BD16" s="6">
        <v>0</v>
      </c>
      <c r="BE16" s="6">
        <v>0</v>
      </c>
      <c r="BF16" s="6">
        <v>22</v>
      </c>
      <c r="BG16" s="6">
        <v>0</v>
      </c>
      <c r="BH16" s="6">
        <v>0</v>
      </c>
      <c r="BI16" s="6">
        <v>135</v>
      </c>
      <c r="BJ16" s="6">
        <v>119</v>
      </c>
      <c r="BK16" s="6">
        <v>576</v>
      </c>
    </row>
    <row r="18" spans="1:19">
      <c r="A18">
        <v>51</v>
      </c>
      <c r="E18" s="7">
        <f>SUMIF(A16:A17,3,E16:E17)</f>
        <v>0</v>
      </c>
      <c r="F18" s="7">
        <f>SUMIF(A16:A17,3,F16:F17)</f>
        <v>0.57599999999999996</v>
      </c>
      <c r="G18" s="7">
        <f>SUMIF(A16:A17,3,G16:G17)</f>
        <v>0</v>
      </c>
      <c r="H18" s="7">
        <f>SUMIF(A16:A17,3,H16:H17)</f>
        <v>0</v>
      </c>
      <c r="I18" s="7">
        <f>SUMIF(A16:A17,3,I16:I17)</f>
        <v>0.57599999999999996</v>
      </c>
      <c r="J18" s="7">
        <f>SUMIF(A16:A17,3,J16:J17)</f>
        <v>0.19900000000000001</v>
      </c>
      <c r="K18" s="7"/>
      <c r="L18" s="7"/>
      <c r="M18" s="7"/>
      <c r="N18" s="7"/>
      <c r="O18" s="7"/>
      <c r="P18" s="7"/>
      <c r="Q18" s="7"/>
      <c r="R18" s="7"/>
      <c r="S18" s="7"/>
    </row>
    <row r="20" spans="1:19">
      <c r="A20" s="4">
        <v>50</v>
      </c>
      <c r="B20" s="4">
        <f>IF(SourceObSm!F20&lt;&gt;0,1,0)</f>
        <v>1</v>
      </c>
      <c r="C20" s="4">
        <v>0</v>
      </c>
      <c r="D20" s="4">
        <v>1</v>
      </c>
      <c r="E20" s="4">
        <v>201</v>
      </c>
      <c r="F20" s="4">
        <v>322</v>
      </c>
      <c r="G20" s="4" t="s">
        <v>28</v>
      </c>
      <c r="H20" s="4" t="s">
        <v>29</v>
      </c>
      <c r="I20" s="4"/>
      <c r="J20" s="4"/>
      <c r="K20" s="4">
        <v>201</v>
      </c>
      <c r="L20" s="4">
        <v>1</v>
      </c>
      <c r="M20" s="4">
        <v>1</v>
      </c>
      <c r="N20" s="4" t="s">
        <v>3</v>
      </c>
      <c r="O20" s="4">
        <v>0</v>
      </c>
      <c r="P20" s="4"/>
    </row>
    <row r="21" spans="1:19">
      <c r="A21" s="4">
        <v>50</v>
      </c>
      <c r="B21" s="4">
        <f>IF(SourceObSm!F21&lt;&gt;0,1,0)</f>
        <v>1</v>
      </c>
      <c r="C21" s="4">
        <v>0</v>
      </c>
      <c r="D21" s="4">
        <v>1</v>
      </c>
      <c r="E21" s="4">
        <v>202</v>
      </c>
      <c r="F21" s="4">
        <v>56</v>
      </c>
      <c r="G21" s="4" t="s">
        <v>30</v>
      </c>
      <c r="H21" s="4" t="s">
        <v>31</v>
      </c>
      <c r="I21" s="4"/>
      <c r="J21" s="4"/>
      <c r="K21" s="4">
        <v>202</v>
      </c>
      <c r="L21" s="4">
        <v>2</v>
      </c>
      <c r="M21" s="4">
        <v>1</v>
      </c>
      <c r="N21" s="4" t="s">
        <v>3</v>
      </c>
      <c r="O21" s="4">
        <v>0</v>
      </c>
      <c r="P21" s="4"/>
    </row>
    <row r="22" spans="1:19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32</v>
      </c>
      <c r="H22" s="4" t="s">
        <v>33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0</v>
      </c>
      <c r="P22" s="4"/>
    </row>
    <row r="23" spans="1:19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56</v>
      </c>
      <c r="G23" s="4" t="s">
        <v>34</v>
      </c>
      <c r="H23" s="4" t="s">
        <v>35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0</v>
      </c>
      <c r="P23" s="4"/>
    </row>
    <row r="24" spans="1:19">
      <c r="A24" s="4">
        <v>50</v>
      </c>
      <c r="B24" s="4">
        <f>IF(SourceObSm!F24&lt;&gt;0,1,0)</f>
        <v>1</v>
      </c>
      <c r="C24" s="4">
        <v>0</v>
      </c>
      <c r="D24" s="4">
        <v>1</v>
      </c>
      <c r="E24" s="4">
        <v>226</v>
      </c>
      <c r="F24" s="4">
        <v>56</v>
      </c>
      <c r="G24" s="4" t="s">
        <v>36</v>
      </c>
      <c r="H24" s="4" t="s">
        <v>37</v>
      </c>
      <c r="I24" s="4"/>
      <c r="J24" s="4"/>
      <c r="K24" s="4">
        <v>226</v>
      </c>
      <c r="L24" s="4">
        <v>5</v>
      </c>
      <c r="M24" s="4">
        <v>1</v>
      </c>
      <c r="N24" s="4" t="s">
        <v>3</v>
      </c>
      <c r="O24" s="4">
        <v>0</v>
      </c>
      <c r="P24" s="4"/>
    </row>
    <row r="25" spans="1:19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38</v>
      </c>
      <c r="H25" s="4" t="s">
        <v>39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0</v>
      </c>
      <c r="P25" s="4"/>
    </row>
    <row r="26" spans="1:19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56</v>
      </c>
      <c r="G26" s="4" t="s">
        <v>40</v>
      </c>
      <c r="H26" s="4" t="s">
        <v>41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0</v>
      </c>
      <c r="P26" s="4"/>
    </row>
    <row r="27" spans="1:19">
      <c r="A27" s="4">
        <v>50</v>
      </c>
      <c r="B27" s="4">
        <f>IF(SourceObSm!F27&lt;&gt;0,1,0)</f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42</v>
      </c>
      <c r="H27" s="4" t="s">
        <v>43</v>
      </c>
      <c r="I27" s="4"/>
      <c r="J27" s="4"/>
      <c r="K27" s="4">
        <v>216</v>
      </c>
      <c r="L27" s="4">
        <v>8</v>
      </c>
      <c r="M27" s="4">
        <v>1</v>
      </c>
      <c r="N27" s="4" t="s">
        <v>3</v>
      </c>
      <c r="O27" s="4">
        <v>0</v>
      </c>
      <c r="P27" s="4"/>
    </row>
    <row r="28" spans="1:19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44</v>
      </c>
      <c r="H28" s="4" t="s">
        <v>45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0</v>
      </c>
      <c r="P28" s="4"/>
    </row>
    <row r="29" spans="1:19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46</v>
      </c>
      <c r="H29" s="4" t="s">
        <v>47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0</v>
      </c>
      <c r="P29" s="4"/>
    </row>
    <row r="30" spans="1:19">
      <c r="A30" s="4">
        <v>50</v>
      </c>
      <c r="B30" s="4">
        <f>IF(SourceObSm!F30&lt;&gt;0,1,0)</f>
        <v>1</v>
      </c>
      <c r="C30" s="4">
        <v>0</v>
      </c>
      <c r="D30" s="4">
        <v>1</v>
      </c>
      <c r="E30" s="4">
        <v>203</v>
      </c>
      <c r="F30" s="4">
        <v>67</v>
      </c>
      <c r="G30" s="4" t="s">
        <v>48</v>
      </c>
      <c r="H30" s="4" t="s">
        <v>49</v>
      </c>
      <c r="I30" s="4"/>
      <c r="J30" s="4"/>
      <c r="K30" s="4">
        <v>203</v>
      </c>
      <c r="L30" s="4">
        <v>11</v>
      </c>
      <c r="M30" s="4">
        <v>1</v>
      </c>
      <c r="N30" s="4" t="s">
        <v>3</v>
      </c>
      <c r="O30" s="4">
        <v>0</v>
      </c>
      <c r="P30" s="4"/>
    </row>
    <row r="31" spans="1:19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50</v>
      </c>
      <c r="H31" s="4" t="s">
        <v>51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0</v>
      </c>
      <c r="P31" s="4"/>
    </row>
    <row r="32" spans="1:19">
      <c r="A32" s="4">
        <v>50</v>
      </c>
      <c r="B32" s="4">
        <f>IF(SourceObSm!F32&lt;&gt;0,1,0)</f>
        <v>1</v>
      </c>
      <c r="C32" s="4">
        <v>0</v>
      </c>
      <c r="D32" s="4">
        <v>1</v>
      </c>
      <c r="E32" s="4">
        <v>204</v>
      </c>
      <c r="F32" s="4">
        <v>2</v>
      </c>
      <c r="G32" s="4" t="s">
        <v>52</v>
      </c>
      <c r="H32" s="4" t="s">
        <v>53</v>
      </c>
      <c r="I32" s="4"/>
      <c r="J32" s="4"/>
      <c r="K32" s="4">
        <v>204</v>
      </c>
      <c r="L32" s="4">
        <v>13</v>
      </c>
      <c r="M32" s="4">
        <v>1</v>
      </c>
      <c r="N32" s="4" t="s">
        <v>3</v>
      </c>
      <c r="O32" s="4">
        <v>0</v>
      </c>
      <c r="P32" s="4"/>
    </row>
    <row r="33" spans="1:16">
      <c r="A33" s="4">
        <v>50</v>
      </c>
      <c r="B33" s="4">
        <f>IF(SourceObSm!F33&lt;&gt;0,1,0)</f>
        <v>1</v>
      </c>
      <c r="C33" s="4">
        <v>0</v>
      </c>
      <c r="D33" s="4">
        <v>1</v>
      </c>
      <c r="E33" s="4">
        <v>205</v>
      </c>
      <c r="F33" s="4">
        <v>199</v>
      </c>
      <c r="G33" s="4" t="s">
        <v>54</v>
      </c>
      <c r="H33" s="4" t="s">
        <v>55</v>
      </c>
      <c r="I33" s="4"/>
      <c r="J33" s="4"/>
      <c r="K33" s="4">
        <v>205</v>
      </c>
      <c r="L33" s="4">
        <v>14</v>
      </c>
      <c r="M33" s="4">
        <v>1</v>
      </c>
      <c r="N33" s="4" t="s">
        <v>3</v>
      </c>
      <c r="O33" s="4">
        <v>0</v>
      </c>
      <c r="P33" s="4"/>
    </row>
    <row r="34" spans="1:16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56</v>
      </c>
      <c r="H34" s="4" t="s">
        <v>57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0</v>
      </c>
      <c r="P34" s="4"/>
    </row>
    <row r="35" spans="1:16">
      <c r="A35" s="4">
        <v>50</v>
      </c>
      <c r="B35" s="4">
        <f>IF(SourceObSm!F35&lt;&gt;0,1,0)</f>
        <v>0</v>
      </c>
      <c r="C35" s="4">
        <v>0</v>
      </c>
      <c r="D35" s="4">
        <v>1</v>
      </c>
      <c r="E35" s="4">
        <v>214</v>
      </c>
      <c r="F35" s="4">
        <v>0</v>
      </c>
      <c r="G35" s="4" t="s">
        <v>58</v>
      </c>
      <c r="H35" s="4" t="s">
        <v>59</v>
      </c>
      <c r="I35" s="4"/>
      <c r="J35" s="4"/>
      <c r="K35" s="4">
        <v>214</v>
      </c>
      <c r="L35" s="4">
        <v>16</v>
      </c>
      <c r="M35" s="4">
        <v>1</v>
      </c>
      <c r="N35" s="4" t="s">
        <v>3</v>
      </c>
      <c r="O35" s="4">
        <v>0</v>
      </c>
      <c r="P35" s="4"/>
    </row>
    <row r="36" spans="1:16">
      <c r="A36" s="4">
        <v>50</v>
      </c>
      <c r="B36" s="4">
        <f>IF(SourceObSm!F36&lt;&gt;0,1,0)</f>
        <v>1</v>
      </c>
      <c r="C36" s="4">
        <v>0</v>
      </c>
      <c r="D36" s="4">
        <v>1</v>
      </c>
      <c r="E36" s="4">
        <v>215</v>
      </c>
      <c r="F36" s="4">
        <v>576</v>
      </c>
      <c r="G36" s="4" t="s">
        <v>60</v>
      </c>
      <c r="H36" s="4" t="s">
        <v>61</v>
      </c>
      <c r="I36" s="4"/>
      <c r="J36" s="4"/>
      <c r="K36" s="4">
        <v>215</v>
      </c>
      <c r="L36" s="4">
        <v>17</v>
      </c>
      <c r="M36" s="4">
        <v>1</v>
      </c>
      <c r="N36" s="4" t="s">
        <v>3</v>
      </c>
      <c r="O36" s="4">
        <v>0</v>
      </c>
      <c r="P36" s="4"/>
    </row>
    <row r="37" spans="1:16">
      <c r="A37" s="4">
        <v>50</v>
      </c>
      <c r="B37" s="4">
        <f>IF(SourceObSm!F37&lt;&gt;0,1,0)</f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62</v>
      </c>
      <c r="H37" s="4" t="s">
        <v>63</v>
      </c>
      <c r="I37" s="4"/>
      <c r="J37" s="4"/>
      <c r="K37" s="4">
        <v>217</v>
      </c>
      <c r="L37" s="4">
        <v>18</v>
      </c>
      <c r="M37" s="4">
        <v>1</v>
      </c>
      <c r="N37" s="4" t="s">
        <v>3</v>
      </c>
      <c r="O37" s="4">
        <v>0</v>
      </c>
      <c r="P37" s="4"/>
    </row>
    <row r="38" spans="1:16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64</v>
      </c>
      <c r="H38" s="4" t="s">
        <v>65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0</v>
      </c>
      <c r="P38" s="4"/>
    </row>
    <row r="39" spans="1:16">
      <c r="A39" s="4">
        <v>50</v>
      </c>
      <c r="B39" s="4">
        <f>IF(SourceObSm!F39&lt;&gt;0,1,0)</f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66</v>
      </c>
      <c r="H39" s="4" t="s">
        <v>67</v>
      </c>
      <c r="I39" s="4"/>
      <c r="J39" s="4"/>
      <c r="K39" s="4">
        <v>206</v>
      </c>
      <c r="L39" s="4">
        <v>20</v>
      </c>
      <c r="M39" s="4">
        <v>1</v>
      </c>
      <c r="N39" s="4" t="s">
        <v>3</v>
      </c>
      <c r="O39" s="4">
        <v>0</v>
      </c>
      <c r="P39" s="4"/>
    </row>
    <row r="40" spans="1:16">
      <c r="A40" s="4">
        <v>50</v>
      </c>
      <c r="B40" s="4">
        <f>IF(SourceObSm!F40&lt;&gt;0,1,0)</f>
        <v>1</v>
      </c>
      <c r="C40" s="4">
        <v>0</v>
      </c>
      <c r="D40" s="4">
        <v>1</v>
      </c>
      <c r="E40" s="4">
        <v>207</v>
      </c>
      <c r="F40" s="4">
        <v>22</v>
      </c>
      <c r="G40" s="4" t="s">
        <v>68</v>
      </c>
      <c r="H40" s="4" t="s">
        <v>69</v>
      </c>
      <c r="I40" s="4"/>
      <c r="J40" s="4"/>
      <c r="K40" s="4">
        <v>207</v>
      </c>
      <c r="L40" s="4">
        <v>21</v>
      </c>
      <c r="M40" s="4">
        <v>1</v>
      </c>
      <c r="N40" s="4" t="s">
        <v>3</v>
      </c>
      <c r="O40" s="4">
        <v>0</v>
      </c>
      <c r="P40" s="4"/>
    </row>
    <row r="41" spans="1:16">
      <c r="A41" s="4">
        <v>50</v>
      </c>
      <c r="B41" s="4">
        <f>IF(SourceObSm!F41&lt;&gt;0,1,0)</f>
        <v>0</v>
      </c>
      <c r="C41" s="4">
        <v>0</v>
      </c>
      <c r="D41" s="4">
        <v>1</v>
      </c>
      <c r="E41" s="4">
        <v>208</v>
      </c>
      <c r="F41" s="4">
        <v>0</v>
      </c>
      <c r="G41" s="4" t="s">
        <v>70</v>
      </c>
      <c r="H41" s="4" t="s">
        <v>71</v>
      </c>
      <c r="I41" s="4"/>
      <c r="J41" s="4"/>
      <c r="K41" s="4">
        <v>208</v>
      </c>
      <c r="L41" s="4">
        <v>22</v>
      </c>
      <c r="M41" s="4">
        <v>1</v>
      </c>
      <c r="N41" s="4" t="s">
        <v>3</v>
      </c>
      <c r="O41" s="4">
        <v>0</v>
      </c>
      <c r="P41" s="4"/>
    </row>
    <row r="42" spans="1:16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72</v>
      </c>
      <c r="H42" s="4" t="s">
        <v>73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0</v>
      </c>
      <c r="P42" s="4"/>
    </row>
    <row r="43" spans="1:16">
      <c r="A43" s="4">
        <v>50</v>
      </c>
      <c r="B43" s="4">
        <f>IF(SourceObSm!F43&lt;&gt;0,1,0)</f>
        <v>1</v>
      </c>
      <c r="C43" s="4">
        <v>0</v>
      </c>
      <c r="D43" s="4">
        <v>1</v>
      </c>
      <c r="E43" s="4">
        <v>210</v>
      </c>
      <c r="F43" s="4">
        <v>135</v>
      </c>
      <c r="G43" s="4" t="s">
        <v>74</v>
      </c>
      <c r="H43" s="4" t="s">
        <v>75</v>
      </c>
      <c r="I43" s="4"/>
      <c r="J43" s="4"/>
      <c r="K43" s="4">
        <v>210</v>
      </c>
      <c r="L43" s="4">
        <v>24</v>
      </c>
      <c r="M43" s="4">
        <v>1</v>
      </c>
      <c r="N43" s="4" t="s">
        <v>3</v>
      </c>
      <c r="O43" s="4">
        <v>0</v>
      </c>
      <c r="P43" s="4"/>
    </row>
    <row r="44" spans="1:16">
      <c r="A44" s="4">
        <v>50</v>
      </c>
      <c r="B44" s="4">
        <f>IF(SourceObSm!F44&lt;&gt;0,1,0)</f>
        <v>1</v>
      </c>
      <c r="C44" s="4">
        <v>0</v>
      </c>
      <c r="D44" s="4">
        <v>1</v>
      </c>
      <c r="E44" s="4">
        <v>211</v>
      </c>
      <c r="F44" s="4">
        <v>119</v>
      </c>
      <c r="G44" s="4" t="s">
        <v>76</v>
      </c>
      <c r="H44" s="4" t="s">
        <v>77</v>
      </c>
      <c r="I44" s="4"/>
      <c r="J44" s="4"/>
      <c r="K44" s="4">
        <v>211</v>
      </c>
      <c r="L44" s="4">
        <v>25</v>
      </c>
      <c r="M44" s="4">
        <v>1</v>
      </c>
      <c r="N44" s="4" t="s">
        <v>3</v>
      </c>
      <c r="O44" s="4">
        <v>0</v>
      </c>
      <c r="P44" s="4"/>
    </row>
    <row r="45" spans="1:16">
      <c r="A45" s="4">
        <v>50</v>
      </c>
      <c r="B45" s="4">
        <f>IF(SourceObSm!F45&lt;&gt;0,1,0)</f>
        <v>1</v>
      </c>
      <c r="C45" s="4">
        <v>0</v>
      </c>
      <c r="D45" s="4">
        <v>1</v>
      </c>
      <c r="E45" s="4">
        <v>224</v>
      </c>
      <c r="F45" s="4">
        <v>576</v>
      </c>
      <c r="G45" s="4" t="s">
        <v>78</v>
      </c>
      <c r="H45" s="4" t="s">
        <v>79</v>
      </c>
      <c r="I45" s="4"/>
      <c r="J45" s="4"/>
      <c r="K45" s="4">
        <v>224</v>
      </c>
      <c r="L45" s="4">
        <v>26</v>
      </c>
      <c r="M45" s="4">
        <v>1</v>
      </c>
      <c r="N45" s="4" t="s">
        <v>3</v>
      </c>
      <c r="O45" s="4">
        <v>0</v>
      </c>
      <c r="P45" s="4"/>
    </row>
    <row r="47" spans="1:16">
      <c r="A47">
        <v>-1</v>
      </c>
    </row>
    <row r="50" spans="1:15">
      <c r="A50" s="3">
        <v>75</v>
      </c>
      <c r="B50" s="3" t="s">
        <v>141</v>
      </c>
      <c r="C50" s="3">
        <v>2000</v>
      </c>
      <c r="D50" s="3">
        <v>0</v>
      </c>
      <c r="E50" s="3">
        <v>1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37217027</v>
      </c>
      <c r="O50" s="3">
        <v>1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C16"/>
  <sheetViews>
    <sheetView workbookViewId="0"/>
  </sheetViews>
  <sheetFormatPr defaultColWidth="9.140625" defaultRowHeight="12.75"/>
  <cols>
    <col min="1" max="256" width="9.140625" customWidth="1"/>
  </cols>
  <sheetData>
    <row r="1" spans="1:107">
      <c r="A1">
        <f>ROW(Source!A24)</f>
        <v>24</v>
      </c>
      <c r="B1">
        <v>37217027</v>
      </c>
      <c r="C1">
        <v>39889147</v>
      </c>
      <c r="D1">
        <v>29084596</v>
      </c>
      <c r="E1">
        <v>1</v>
      </c>
      <c r="F1">
        <v>1</v>
      </c>
      <c r="G1">
        <v>1</v>
      </c>
      <c r="H1">
        <v>1</v>
      </c>
      <c r="I1" t="s">
        <v>143</v>
      </c>
      <c r="J1" t="s">
        <v>3</v>
      </c>
      <c r="K1" t="s">
        <v>144</v>
      </c>
      <c r="L1">
        <v>1369</v>
      </c>
      <c r="N1">
        <v>1013</v>
      </c>
      <c r="O1" t="s">
        <v>145</v>
      </c>
      <c r="P1" t="s">
        <v>145</v>
      </c>
      <c r="Q1">
        <v>1</v>
      </c>
      <c r="W1">
        <v>0</v>
      </c>
      <c r="X1">
        <v>1607597053</v>
      </c>
      <c r="Y1">
        <v>16.29</v>
      </c>
      <c r="AA1">
        <v>0</v>
      </c>
      <c r="AB1">
        <v>0</v>
      </c>
      <c r="AC1">
        <v>0</v>
      </c>
      <c r="AD1">
        <v>9.18</v>
      </c>
      <c r="AE1">
        <v>0</v>
      </c>
      <c r="AF1">
        <v>0</v>
      </c>
      <c r="AG1">
        <v>0</v>
      </c>
      <c r="AH1">
        <v>9.18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16.29</v>
      </c>
      <c r="AU1" t="s">
        <v>3</v>
      </c>
      <c r="AV1">
        <v>1</v>
      </c>
      <c r="AW1">
        <v>2</v>
      </c>
      <c r="AX1">
        <v>39889148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16.29</v>
      </c>
      <c r="CY1">
        <f>AD1</f>
        <v>9.18</v>
      </c>
      <c r="CZ1">
        <f>AH1</f>
        <v>9.18</v>
      </c>
      <c r="DA1">
        <f>AL1</f>
        <v>1</v>
      </c>
      <c r="DB1">
        <f t="shared" ref="DB1:DB16" si="0">ROUND(ROUND(AT1*CZ1,2),6)</f>
        <v>149.54</v>
      </c>
      <c r="DC1">
        <f t="shared" ref="DC1:DC16" si="1">ROUND(ROUND(AT1*AG1,2),6)</f>
        <v>0</v>
      </c>
    </row>
    <row r="2" spans="1:107">
      <c r="A2">
        <f>ROW(Source!A24)</f>
        <v>24</v>
      </c>
      <c r="B2">
        <v>37217027</v>
      </c>
      <c r="C2">
        <v>39889147</v>
      </c>
      <c r="D2">
        <v>29084573</v>
      </c>
      <c r="E2">
        <v>1</v>
      </c>
      <c r="F2">
        <v>1</v>
      </c>
      <c r="G2">
        <v>1</v>
      </c>
      <c r="H2">
        <v>1</v>
      </c>
      <c r="I2" t="s">
        <v>146</v>
      </c>
      <c r="J2" t="s">
        <v>3</v>
      </c>
      <c r="K2" t="s">
        <v>147</v>
      </c>
      <c r="L2">
        <v>608254</v>
      </c>
      <c r="N2">
        <v>1013</v>
      </c>
      <c r="O2" t="s">
        <v>148</v>
      </c>
      <c r="P2" t="s">
        <v>148</v>
      </c>
      <c r="Q2">
        <v>1</v>
      </c>
      <c r="W2">
        <v>0</v>
      </c>
      <c r="X2">
        <v>95408949</v>
      </c>
      <c r="Y2">
        <v>0.01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0.01</v>
      </c>
      <c r="AU2" t="s">
        <v>3</v>
      </c>
      <c r="AV2">
        <v>2</v>
      </c>
      <c r="AW2">
        <v>2</v>
      </c>
      <c r="AX2">
        <v>39889149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0.01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>
      <c r="A3">
        <f>ROW(Source!A24)</f>
        <v>24</v>
      </c>
      <c r="B3">
        <v>37217027</v>
      </c>
      <c r="C3">
        <v>39889147</v>
      </c>
      <c r="D3">
        <v>33441040</v>
      </c>
      <c r="E3">
        <v>1</v>
      </c>
      <c r="F3">
        <v>1</v>
      </c>
      <c r="G3">
        <v>1</v>
      </c>
      <c r="H3">
        <v>2</v>
      </c>
      <c r="I3" t="s">
        <v>149</v>
      </c>
      <c r="J3" t="s">
        <v>150</v>
      </c>
      <c r="K3" t="s">
        <v>151</v>
      </c>
      <c r="L3">
        <v>1368</v>
      </c>
      <c r="N3">
        <v>1011</v>
      </c>
      <c r="O3" t="s">
        <v>152</v>
      </c>
      <c r="P3" t="s">
        <v>152</v>
      </c>
      <c r="Q3">
        <v>1</v>
      </c>
      <c r="W3">
        <v>0</v>
      </c>
      <c r="X3">
        <v>-1205898307</v>
      </c>
      <c r="Y3">
        <v>0.01</v>
      </c>
      <c r="AA3">
        <v>0</v>
      </c>
      <c r="AB3">
        <v>30.85</v>
      </c>
      <c r="AC3">
        <v>13.03</v>
      </c>
      <c r="AD3">
        <v>0</v>
      </c>
      <c r="AE3">
        <v>0</v>
      </c>
      <c r="AF3">
        <v>30.85</v>
      </c>
      <c r="AG3">
        <v>13.03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0.01</v>
      </c>
      <c r="AU3" t="s">
        <v>3</v>
      </c>
      <c r="AV3">
        <v>0</v>
      </c>
      <c r="AW3">
        <v>2</v>
      </c>
      <c r="AX3">
        <v>39889150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0.01</v>
      </c>
      <c r="CY3">
        <f>AB3</f>
        <v>30.85</v>
      </c>
      <c r="CZ3">
        <f>AF3</f>
        <v>30.85</v>
      </c>
      <c r="DA3">
        <f>AJ3</f>
        <v>1</v>
      </c>
      <c r="DB3">
        <f t="shared" si="0"/>
        <v>0.31</v>
      </c>
      <c r="DC3">
        <f t="shared" si="1"/>
        <v>0.13</v>
      </c>
    </row>
    <row r="4" spans="1:107">
      <c r="A4">
        <f>ROW(Source!A24)</f>
        <v>24</v>
      </c>
      <c r="B4">
        <v>37217027</v>
      </c>
      <c r="C4">
        <v>39889147</v>
      </c>
      <c r="D4">
        <v>33441967</v>
      </c>
      <c r="E4">
        <v>1</v>
      </c>
      <c r="F4">
        <v>1</v>
      </c>
      <c r="G4">
        <v>1</v>
      </c>
      <c r="H4">
        <v>2</v>
      </c>
      <c r="I4" t="s">
        <v>153</v>
      </c>
      <c r="J4" t="s">
        <v>154</v>
      </c>
      <c r="K4" t="s">
        <v>155</v>
      </c>
      <c r="L4">
        <v>1368</v>
      </c>
      <c r="N4">
        <v>1011</v>
      </c>
      <c r="O4" t="s">
        <v>152</v>
      </c>
      <c r="P4" t="s">
        <v>152</v>
      </c>
      <c r="Q4">
        <v>1</v>
      </c>
      <c r="W4">
        <v>0</v>
      </c>
      <c r="X4">
        <v>-422547563</v>
      </c>
      <c r="Y4">
        <v>6.08</v>
      </c>
      <c r="AA4">
        <v>0</v>
      </c>
      <c r="AB4">
        <v>3</v>
      </c>
      <c r="AC4">
        <v>0</v>
      </c>
      <c r="AD4">
        <v>0</v>
      </c>
      <c r="AE4">
        <v>0</v>
      </c>
      <c r="AF4">
        <v>3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6.08</v>
      </c>
      <c r="AU4" t="s">
        <v>3</v>
      </c>
      <c r="AV4">
        <v>0</v>
      </c>
      <c r="AW4">
        <v>2</v>
      </c>
      <c r="AX4">
        <v>39889151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6.08</v>
      </c>
      <c r="CY4">
        <f>AB4</f>
        <v>3</v>
      </c>
      <c r="CZ4">
        <f>AF4</f>
        <v>3</v>
      </c>
      <c r="DA4">
        <f>AJ4</f>
        <v>1</v>
      </c>
      <c r="DB4">
        <f t="shared" si="0"/>
        <v>18.239999999999998</v>
      </c>
      <c r="DC4">
        <f t="shared" si="1"/>
        <v>0</v>
      </c>
    </row>
    <row r="5" spans="1:107">
      <c r="A5">
        <f>ROW(Source!A24)</f>
        <v>24</v>
      </c>
      <c r="B5">
        <v>37217027</v>
      </c>
      <c r="C5">
        <v>39889147</v>
      </c>
      <c r="D5">
        <v>33443101</v>
      </c>
      <c r="E5">
        <v>1</v>
      </c>
      <c r="F5">
        <v>1</v>
      </c>
      <c r="G5">
        <v>1</v>
      </c>
      <c r="H5">
        <v>2</v>
      </c>
      <c r="I5" t="s">
        <v>156</v>
      </c>
      <c r="J5" t="s">
        <v>157</v>
      </c>
      <c r="K5" t="s">
        <v>158</v>
      </c>
      <c r="L5">
        <v>1368</v>
      </c>
      <c r="N5">
        <v>1011</v>
      </c>
      <c r="O5" t="s">
        <v>152</v>
      </c>
      <c r="P5" t="s">
        <v>152</v>
      </c>
      <c r="Q5">
        <v>1</v>
      </c>
      <c r="W5">
        <v>0</v>
      </c>
      <c r="X5">
        <v>1464343275</v>
      </c>
      <c r="Y5">
        <v>6.08</v>
      </c>
      <c r="AA5">
        <v>0</v>
      </c>
      <c r="AB5">
        <v>2.08</v>
      </c>
      <c r="AC5">
        <v>0</v>
      </c>
      <c r="AD5">
        <v>0</v>
      </c>
      <c r="AE5">
        <v>0</v>
      </c>
      <c r="AF5">
        <v>2.08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6.08</v>
      </c>
      <c r="AU5" t="s">
        <v>3</v>
      </c>
      <c r="AV5">
        <v>0</v>
      </c>
      <c r="AW5">
        <v>2</v>
      </c>
      <c r="AX5">
        <v>39889152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6.08</v>
      </c>
      <c r="CY5">
        <f>AB5</f>
        <v>2.08</v>
      </c>
      <c r="CZ5">
        <f>AF5</f>
        <v>2.08</v>
      </c>
      <c r="DA5">
        <f>AJ5</f>
        <v>1</v>
      </c>
      <c r="DB5">
        <f t="shared" si="0"/>
        <v>12.65</v>
      </c>
      <c r="DC5">
        <f t="shared" si="1"/>
        <v>0</v>
      </c>
    </row>
    <row r="6" spans="1:107">
      <c r="A6">
        <f>ROW(Source!A24)</f>
        <v>24</v>
      </c>
      <c r="B6">
        <v>37217027</v>
      </c>
      <c r="C6">
        <v>39889147</v>
      </c>
      <c r="D6">
        <v>33445990</v>
      </c>
      <c r="E6">
        <v>1</v>
      </c>
      <c r="F6">
        <v>1</v>
      </c>
      <c r="G6">
        <v>1</v>
      </c>
      <c r="H6">
        <v>3</v>
      </c>
      <c r="I6" t="s">
        <v>159</v>
      </c>
      <c r="J6" t="s">
        <v>160</v>
      </c>
      <c r="K6" t="s">
        <v>161</v>
      </c>
      <c r="L6">
        <v>1348</v>
      </c>
      <c r="N6">
        <v>1009</v>
      </c>
      <c r="O6" t="s">
        <v>162</v>
      </c>
      <c r="P6" t="s">
        <v>162</v>
      </c>
      <c r="Q6">
        <v>1000</v>
      </c>
      <c r="W6">
        <v>0</v>
      </c>
      <c r="X6">
        <v>-1607691118</v>
      </c>
      <c r="Y6">
        <v>1E-3</v>
      </c>
      <c r="AA6">
        <v>10207</v>
      </c>
      <c r="AB6">
        <v>0</v>
      </c>
      <c r="AC6">
        <v>0</v>
      </c>
      <c r="AD6">
        <v>0</v>
      </c>
      <c r="AE6">
        <v>10207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1E-3</v>
      </c>
      <c r="AU6" t="s">
        <v>3</v>
      </c>
      <c r="AV6">
        <v>0</v>
      </c>
      <c r="AW6">
        <v>2</v>
      </c>
      <c r="AX6">
        <v>39889153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Y6*Source!I24</f>
        <v>1E-3</v>
      </c>
      <c r="CY6">
        <f>AA6</f>
        <v>10207</v>
      </c>
      <c r="CZ6">
        <f>AE6</f>
        <v>10207</v>
      </c>
      <c r="DA6">
        <f>AI6</f>
        <v>1</v>
      </c>
      <c r="DB6">
        <f t="shared" si="0"/>
        <v>10.210000000000001</v>
      </c>
      <c r="DC6">
        <f t="shared" si="1"/>
        <v>0</v>
      </c>
    </row>
    <row r="7" spans="1:107">
      <c r="A7">
        <f>ROW(Source!A24)</f>
        <v>24</v>
      </c>
      <c r="B7">
        <v>37217027</v>
      </c>
      <c r="C7">
        <v>39889147</v>
      </c>
      <c r="D7">
        <v>33446786</v>
      </c>
      <c r="E7">
        <v>1</v>
      </c>
      <c r="F7">
        <v>1</v>
      </c>
      <c r="G7">
        <v>1</v>
      </c>
      <c r="H7">
        <v>3</v>
      </c>
      <c r="I7" t="s">
        <v>163</v>
      </c>
      <c r="J7" t="s">
        <v>164</v>
      </c>
      <c r="K7" t="s">
        <v>165</v>
      </c>
      <c r="L7">
        <v>1358</v>
      </c>
      <c r="N7">
        <v>1010</v>
      </c>
      <c r="O7" t="s">
        <v>166</v>
      </c>
      <c r="P7" t="s">
        <v>166</v>
      </c>
      <c r="Q7">
        <v>10</v>
      </c>
      <c r="W7">
        <v>0</v>
      </c>
      <c r="X7">
        <v>492670035</v>
      </c>
      <c r="Y7">
        <v>20</v>
      </c>
      <c r="AA7">
        <v>1.8</v>
      </c>
      <c r="AB7">
        <v>0</v>
      </c>
      <c r="AC7">
        <v>0</v>
      </c>
      <c r="AD7">
        <v>0</v>
      </c>
      <c r="AE7">
        <v>1.8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20</v>
      </c>
      <c r="AU7" t="s">
        <v>3</v>
      </c>
      <c r="AV7">
        <v>0</v>
      </c>
      <c r="AW7">
        <v>2</v>
      </c>
      <c r="AX7">
        <v>39889154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Y7*Source!I24</f>
        <v>20</v>
      </c>
      <c r="CY7">
        <f>AA7</f>
        <v>1.8</v>
      </c>
      <c r="CZ7">
        <f>AE7</f>
        <v>1.8</v>
      </c>
      <c r="DA7">
        <f>AI7</f>
        <v>1</v>
      </c>
      <c r="DB7">
        <f t="shared" si="0"/>
        <v>36</v>
      </c>
      <c r="DC7">
        <f t="shared" si="1"/>
        <v>0</v>
      </c>
    </row>
    <row r="8" spans="1:107">
      <c r="A8">
        <f>ROW(Source!A24)</f>
        <v>24</v>
      </c>
      <c r="B8">
        <v>37217027</v>
      </c>
      <c r="C8">
        <v>39889147</v>
      </c>
      <c r="D8">
        <v>33511561</v>
      </c>
      <c r="E8">
        <v>1</v>
      </c>
      <c r="F8">
        <v>1</v>
      </c>
      <c r="G8">
        <v>1</v>
      </c>
      <c r="H8">
        <v>3</v>
      </c>
      <c r="I8" t="s">
        <v>167</v>
      </c>
      <c r="J8" t="s">
        <v>168</v>
      </c>
      <c r="K8" t="s">
        <v>169</v>
      </c>
      <c r="L8">
        <v>1344</v>
      </c>
      <c r="N8">
        <v>1008</v>
      </c>
      <c r="O8" t="s">
        <v>170</v>
      </c>
      <c r="P8" t="s">
        <v>170</v>
      </c>
      <c r="Q8">
        <v>1</v>
      </c>
      <c r="W8">
        <v>0</v>
      </c>
      <c r="X8">
        <v>-1930947569</v>
      </c>
      <c r="Y8">
        <v>3.1</v>
      </c>
      <c r="AA8">
        <v>1</v>
      </c>
      <c r="AB8">
        <v>0</v>
      </c>
      <c r="AC8">
        <v>0</v>
      </c>
      <c r="AD8">
        <v>0</v>
      </c>
      <c r="AE8">
        <v>1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3.1</v>
      </c>
      <c r="AU8" t="s">
        <v>3</v>
      </c>
      <c r="AV8">
        <v>0</v>
      </c>
      <c r="AW8">
        <v>2</v>
      </c>
      <c r="AX8">
        <v>39889155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Y8*Source!I24</f>
        <v>3.1</v>
      </c>
      <c r="CY8">
        <f>AA8</f>
        <v>1</v>
      </c>
      <c r="CZ8">
        <f>AE8</f>
        <v>1</v>
      </c>
      <c r="DA8">
        <f>AI8</f>
        <v>1</v>
      </c>
      <c r="DB8">
        <f t="shared" si="0"/>
        <v>3.1</v>
      </c>
      <c r="DC8">
        <f t="shared" si="1"/>
        <v>0</v>
      </c>
    </row>
    <row r="9" spans="1:107">
      <c r="A9">
        <f>ROW(Source!A25)</f>
        <v>25</v>
      </c>
      <c r="B9">
        <v>37217027</v>
      </c>
      <c r="C9">
        <v>39889156</v>
      </c>
      <c r="D9">
        <v>29084611</v>
      </c>
      <c r="E9">
        <v>1</v>
      </c>
      <c r="F9">
        <v>1</v>
      </c>
      <c r="G9">
        <v>1</v>
      </c>
      <c r="H9">
        <v>1</v>
      </c>
      <c r="I9" t="s">
        <v>171</v>
      </c>
      <c r="J9" t="s">
        <v>3</v>
      </c>
      <c r="K9" t="s">
        <v>172</v>
      </c>
      <c r="L9">
        <v>1369</v>
      </c>
      <c r="N9">
        <v>1013</v>
      </c>
      <c r="O9" t="s">
        <v>145</v>
      </c>
      <c r="P9" t="s">
        <v>145</v>
      </c>
      <c r="Q9">
        <v>1</v>
      </c>
      <c r="W9">
        <v>0</v>
      </c>
      <c r="X9">
        <v>-1664314294</v>
      </c>
      <c r="Y9">
        <v>54</v>
      </c>
      <c r="AA9">
        <v>0</v>
      </c>
      <c r="AB9">
        <v>0</v>
      </c>
      <c r="AC9">
        <v>0</v>
      </c>
      <c r="AD9">
        <v>9.08</v>
      </c>
      <c r="AE9">
        <v>0</v>
      </c>
      <c r="AF9">
        <v>0</v>
      </c>
      <c r="AG9">
        <v>0</v>
      </c>
      <c r="AH9">
        <v>9.08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54</v>
      </c>
      <c r="AU9" t="s">
        <v>3</v>
      </c>
      <c r="AV9">
        <v>1</v>
      </c>
      <c r="AW9">
        <v>2</v>
      </c>
      <c r="AX9">
        <v>39889157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Y9*Source!I25</f>
        <v>5.4</v>
      </c>
      <c r="CY9">
        <f>AD9</f>
        <v>9.08</v>
      </c>
      <c r="CZ9">
        <f>AH9</f>
        <v>9.08</v>
      </c>
      <c r="DA9">
        <f>AL9</f>
        <v>1</v>
      </c>
      <c r="DB9">
        <f t="shared" si="0"/>
        <v>490.32</v>
      </c>
      <c r="DC9">
        <f t="shared" si="1"/>
        <v>0</v>
      </c>
    </row>
    <row r="10" spans="1:107">
      <c r="A10">
        <f>ROW(Source!A25)</f>
        <v>25</v>
      </c>
      <c r="B10">
        <v>37217027</v>
      </c>
      <c r="C10">
        <v>39889156</v>
      </c>
      <c r="D10">
        <v>29084573</v>
      </c>
      <c r="E10">
        <v>1</v>
      </c>
      <c r="F10">
        <v>1</v>
      </c>
      <c r="G10">
        <v>1</v>
      </c>
      <c r="H10">
        <v>1</v>
      </c>
      <c r="I10" t="s">
        <v>146</v>
      </c>
      <c r="J10" t="s">
        <v>3</v>
      </c>
      <c r="K10" t="s">
        <v>147</v>
      </c>
      <c r="L10">
        <v>608254</v>
      </c>
      <c r="N10">
        <v>1013</v>
      </c>
      <c r="O10" t="s">
        <v>148</v>
      </c>
      <c r="P10" t="s">
        <v>148</v>
      </c>
      <c r="Q10">
        <v>1</v>
      </c>
      <c r="W10">
        <v>0</v>
      </c>
      <c r="X10">
        <v>95408949</v>
      </c>
      <c r="Y10">
        <v>1.25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1.25</v>
      </c>
      <c r="AU10" t="s">
        <v>3</v>
      </c>
      <c r="AV10">
        <v>2</v>
      </c>
      <c r="AW10">
        <v>2</v>
      </c>
      <c r="AX10">
        <v>39889158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0.125</v>
      </c>
      <c r="CY10">
        <f>AD10</f>
        <v>0</v>
      </c>
      <c r="CZ10">
        <f>AH10</f>
        <v>0</v>
      </c>
      <c r="DA10">
        <f>AL10</f>
        <v>1</v>
      </c>
      <c r="DB10">
        <f t="shared" si="0"/>
        <v>0</v>
      </c>
      <c r="DC10">
        <f t="shared" si="1"/>
        <v>0</v>
      </c>
    </row>
    <row r="11" spans="1:107">
      <c r="A11">
        <f>ROW(Source!A25)</f>
        <v>25</v>
      </c>
      <c r="B11">
        <v>37217027</v>
      </c>
      <c r="C11">
        <v>39889156</v>
      </c>
      <c r="D11">
        <v>33440846</v>
      </c>
      <c r="E11">
        <v>1</v>
      </c>
      <c r="F11">
        <v>1</v>
      </c>
      <c r="G11">
        <v>1</v>
      </c>
      <c r="H11">
        <v>2</v>
      </c>
      <c r="I11" t="s">
        <v>173</v>
      </c>
      <c r="J11" t="s">
        <v>174</v>
      </c>
      <c r="K11" t="s">
        <v>175</v>
      </c>
      <c r="L11">
        <v>1368</v>
      </c>
      <c r="N11">
        <v>1011</v>
      </c>
      <c r="O11" t="s">
        <v>152</v>
      </c>
      <c r="P11" t="s">
        <v>152</v>
      </c>
      <c r="Q11">
        <v>1</v>
      </c>
      <c r="W11">
        <v>0</v>
      </c>
      <c r="X11">
        <v>858668480</v>
      </c>
      <c r="Y11">
        <v>1.25</v>
      </c>
      <c r="AA11">
        <v>0</v>
      </c>
      <c r="AB11">
        <v>131.11000000000001</v>
      </c>
      <c r="AC11">
        <v>13.03</v>
      </c>
      <c r="AD11">
        <v>0</v>
      </c>
      <c r="AE11">
        <v>0</v>
      </c>
      <c r="AF11">
        <v>131.11000000000001</v>
      </c>
      <c r="AG11">
        <v>13.03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1.25</v>
      </c>
      <c r="AU11" t="s">
        <v>3</v>
      </c>
      <c r="AV11">
        <v>0</v>
      </c>
      <c r="AW11">
        <v>2</v>
      </c>
      <c r="AX11">
        <v>39889159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Y11*Source!I25</f>
        <v>0.125</v>
      </c>
      <c r="CY11">
        <f>AB11</f>
        <v>131.11000000000001</v>
      </c>
      <c r="CZ11">
        <f>AF11</f>
        <v>131.11000000000001</v>
      </c>
      <c r="DA11">
        <f>AJ11</f>
        <v>1</v>
      </c>
      <c r="DB11">
        <f t="shared" si="0"/>
        <v>163.89</v>
      </c>
      <c r="DC11">
        <f t="shared" si="1"/>
        <v>16.29</v>
      </c>
    </row>
    <row r="12" spans="1:107">
      <c r="A12">
        <f>ROW(Source!A25)</f>
        <v>25</v>
      </c>
      <c r="B12">
        <v>37217027</v>
      </c>
      <c r="C12">
        <v>39889156</v>
      </c>
      <c r="D12">
        <v>33441141</v>
      </c>
      <c r="E12">
        <v>1</v>
      </c>
      <c r="F12">
        <v>1</v>
      </c>
      <c r="G12">
        <v>1</v>
      </c>
      <c r="H12">
        <v>2</v>
      </c>
      <c r="I12" t="s">
        <v>176</v>
      </c>
      <c r="J12" t="s">
        <v>177</v>
      </c>
      <c r="K12" t="s">
        <v>178</v>
      </c>
      <c r="L12">
        <v>1368</v>
      </c>
      <c r="N12">
        <v>1011</v>
      </c>
      <c r="O12" t="s">
        <v>152</v>
      </c>
      <c r="P12" t="s">
        <v>152</v>
      </c>
      <c r="Q12">
        <v>1</v>
      </c>
      <c r="W12">
        <v>0</v>
      </c>
      <c r="X12">
        <v>574955774</v>
      </c>
      <c r="Y12">
        <v>10.48</v>
      </c>
      <c r="AA12">
        <v>0</v>
      </c>
      <c r="AB12">
        <v>8.1</v>
      </c>
      <c r="AC12">
        <v>0</v>
      </c>
      <c r="AD12">
        <v>0</v>
      </c>
      <c r="AE12">
        <v>0</v>
      </c>
      <c r="AF12">
        <v>8.1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10.48</v>
      </c>
      <c r="AU12" t="s">
        <v>3</v>
      </c>
      <c r="AV12">
        <v>0</v>
      </c>
      <c r="AW12">
        <v>2</v>
      </c>
      <c r="AX12">
        <v>39889160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Y12*Source!I25</f>
        <v>1.048</v>
      </c>
      <c r="CY12">
        <f>AB12</f>
        <v>8.1</v>
      </c>
      <c r="CZ12">
        <f>AF12</f>
        <v>8.1</v>
      </c>
      <c r="DA12">
        <f>AJ12</f>
        <v>1</v>
      </c>
      <c r="DB12">
        <f t="shared" si="0"/>
        <v>84.89</v>
      </c>
      <c r="DC12">
        <f t="shared" si="1"/>
        <v>0</v>
      </c>
    </row>
    <row r="13" spans="1:107">
      <c r="A13">
        <f>ROW(Source!A25)</f>
        <v>25</v>
      </c>
      <c r="B13">
        <v>37217027</v>
      </c>
      <c r="C13">
        <v>39889156</v>
      </c>
      <c r="D13">
        <v>33443435</v>
      </c>
      <c r="E13">
        <v>1</v>
      </c>
      <c r="F13">
        <v>1</v>
      </c>
      <c r="G13">
        <v>1</v>
      </c>
      <c r="H13">
        <v>2</v>
      </c>
      <c r="I13" t="s">
        <v>179</v>
      </c>
      <c r="J13" t="s">
        <v>180</v>
      </c>
      <c r="K13" t="s">
        <v>181</v>
      </c>
      <c r="L13">
        <v>1368</v>
      </c>
      <c r="N13">
        <v>1011</v>
      </c>
      <c r="O13" t="s">
        <v>152</v>
      </c>
      <c r="P13" t="s">
        <v>152</v>
      </c>
      <c r="Q13">
        <v>1</v>
      </c>
      <c r="W13">
        <v>0</v>
      </c>
      <c r="X13">
        <v>-1931461795</v>
      </c>
      <c r="Y13">
        <v>1.25</v>
      </c>
      <c r="AA13">
        <v>0</v>
      </c>
      <c r="AB13">
        <v>91.62</v>
      </c>
      <c r="AC13">
        <v>0</v>
      </c>
      <c r="AD13">
        <v>0</v>
      </c>
      <c r="AE13">
        <v>0</v>
      </c>
      <c r="AF13">
        <v>91.62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1.25</v>
      </c>
      <c r="AU13" t="s">
        <v>3</v>
      </c>
      <c r="AV13">
        <v>0</v>
      </c>
      <c r="AW13">
        <v>2</v>
      </c>
      <c r="AX13">
        <v>39889161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Y13*Source!I25</f>
        <v>0.125</v>
      </c>
      <c r="CY13">
        <f>AB13</f>
        <v>91.62</v>
      </c>
      <c r="CZ13">
        <f>AF13</f>
        <v>91.62</v>
      </c>
      <c r="DA13">
        <f>AJ13</f>
        <v>1</v>
      </c>
      <c r="DB13">
        <f t="shared" si="0"/>
        <v>114.53</v>
      </c>
      <c r="DC13">
        <f t="shared" si="1"/>
        <v>0</v>
      </c>
    </row>
    <row r="14" spans="1:107">
      <c r="A14">
        <f>ROW(Source!A25)</f>
        <v>25</v>
      </c>
      <c r="B14">
        <v>37217027</v>
      </c>
      <c r="C14">
        <v>39889156</v>
      </c>
      <c r="D14">
        <v>33446525</v>
      </c>
      <c r="E14">
        <v>1</v>
      </c>
      <c r="F14">
        <v>1</v>
      </c>
      <c r="G14">
        <v>1</v>
      </c>
      <c r="H14">
        <v>3</v>
      </c>
      <c r="I14" t="s">
        <v>182</v>
      </c>
      <c r="J14" t="s">
        <v>183</v>
      </c>
      <c r="K14" t="s">
        <v>184</v>
      </c>
      <c r="L14">
        <v>1346</v>
      </c>
      <c r="N14">
        <v>1009</v>
      </c>
      <c r="O14" t="s">
        <v>185</v>
      </c>
      <c r="P14" t="s">
        <v>185</v>
      </c>
      <c r="Q14">
        <v>1</v>
      </c>
      <c r="W14">
        <v>0</v>
      </c>
      <c r="X14">
        <v>-1161580858</v>
      </c>
      <c r="Y14">
        <v>3.36</v>
      </c>
      <c r="AA14">
        <v>11.11</v>
      </c>
      <c r="AB14">
        <v>0</v>
      </c>
      <c r="AC14">
        <v>0</v>
      </c>
      <c r="AD14">
        <v>0</v>
      </c>
      <c r="AE14">
        <v>11.11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3.36</v>
      </c>
      <c r="AU14" t="s">
        <v>3</v>
      </c>
      <c r="AV14">
        <v>0</v>
      </c>
      <c r="AW14">
        <v>2</v>
      </c>
      <c r="AX14">
        <v>39889162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Y14*Source!I25</f>
        <v>0.33600000000000002</v>
      </c>
      <c r="CY14">
        <f>AA14</f>
        <v>11.11</v>
      </c>
      <c r="CZ14">
        <f>AE14</f>
        <v>11.11</v>
      </c>
      <c r="DA14">
        <f>AI14</f>
        <v>1</v>
      </c>
      <c r="DB14">
        <f t="shared" si="0"/>
        <v>37.33</v>
      </c>
      <c r="DC14">
        <f t="shared" si="1"/>
        <v>0</v>
      </c>
    </row>
    <row r="15" spans="1:107">
      <c r="A15">
        <f>ROW(Source!A25)</f>
        <v>25</v>
      </c>
      <c r="B15">
        <v>37217027</v>
      </c>
      <c r="C15">
        <v>39889156</v>
      </c>
      <c r="D15">
        <v>33446572</v>
      </c>
      <c r="E15">
        <v>1</v>
      </c>
      <c r="F15">
        <v>1</v>
      </c>
      <c r="G15">
        <v>1</v>
      </c>
      <c r="H15">
        <v>3</v>
      </c>
      <c r="I15" t="s">
        <v>186</v>
      </c>
      <c r="J15" t="s">
        <v>187</v>
      </c>
      <c r="K15" t="s">
        <v>188</v>
      </c>
      <c r="L15">
        <v>1346</v>
      </c>
      <c r="N15">
        <v>1009</v>
      </c>
      <c r="O15" t="s">
        <v>185</v>
      </c>
      <c r="P15" t="s">
        <v>185</v>
      </c>
      <c r="Q15">
        <v>1</v>
      </c>
      <c r="W15">
        <v>0</v>
      </c>
      <c r="X15">
        <v>-2031188702</v>
      </c>
      <c r="Y15">
        <v>2.54</v>
      </c>
      <c r="AA15">
        <v>9.4</v>
      </c>
      <c r="AB15">
        <v>0</v>
      </c>
      <c r="AC15">
        <v>0</v>
      </c>
      <c r="AD15">
        <v>0</v>
      </c>
      <c r="AE15">
        <v>9.4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2.54</v>
      </c>
      <c r="AU15" t="s">
        <v>3</v>
      </c>
      <c r="AV15">
        <v>0</v>
      </c>
      <c r="AW15">
        <v>2</v>
      </c>
      <c r="AX15">
        <v>39889163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Y15*Source!I25</f>
        <v>0.254</v>
      </c>
      <c r="CY15">
        <f>AA15</f>
        <v>9.4</v>
      </c>
      <c r="CZ15">
        <f>AE15</f>
        <v>9.4</v>
      </c>
      <c r="DA15">
        <f>AI15</f>
        <v>1</v>
      </c>
      <c r="DB15">
        <f t="shared" si="0"/>
        <v>23.88</v>
      </c>
      <c r="DC15">
        <f t="shared" si="1"/>
        <v>0</v>
      </c>
    </row>
    <row r="16" spans="1:107">
      <c r="A16">
        <f>ROW(Source!A25)</f>
        <v>25</v>
      </c>
      <c r="B16">
        <v>37217027</v>
      </c>
      <c r="C16">
        <v>39889156</v>
      </c>
      <c r="D16">
        <v>33511561</v>
      </c>
      <c r="E16">
        <v>1</v>
      </c>
      <c r="F16">
        <v>1</v>
      </c>
      <c r="G16">
        <v>1</v>
      </c>
      <c r="H16">
        <v>3</v>
      </c>
      <c r="I16" t="s">
        <v>167</v>
      </c>
      <c r="J16" t="s">
        <v>168</v>
      </c>
      <c r="K16" t="s">
        <v>169</v>
      </c>
      <c r="L16">
        <v>1344</v>
      </c>
      <c r="N16">
        <v>1008</v>
      </c>
      <c r="O16" t="s">
        <v>170</v>
      </c>
      <c r="P16" t="s">
        <v>170</v>
      </c>
      <c r="Q16">
        <v>1</v>
      </c>
      <c r="W16">
        <v>0</v>
      </c>
      <c r="X16">
        <v>-1930947569</v>
      </c>
      <c r="Y16">
        <v>10.15</v>
      </c>
      <c r="AA16">
        <v>1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10.15</v>
      </c>
      <c r="AU16" t="s">
        <v>3</v>
      </c>
      <c r="AV16">
        <v>0</v>
      </c>
      <c r="AW16">
        <v>2</v>
      </c>
      <c r="AX16">
        <v>39889164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Y16*Source!I25</f>
        <v>1.0150000000000001</v>
      </c>
      <c r="CY16">
        <f>AA16</f>
        <v>1</v>
      </c>
      <c r="CZ16">
        <f>AE16</f>
        <v>1</v>
      </c>
      <c r="DA16">
        <f>AI16</f>
        <v>1</v>
      </c>
      <c r="DB16">
        <f t="shared" si="0"/>
        <v>10.15</v>
      </c>
      <c r="DC16">
        <f t="shared" si="1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16"/>
  <sheetViews>
    <sheetView workbookViewId="0"/>
  </sheetViews>
  <sheetFormatPr defaultColWidth="9.140625" defaultRowHeight="12.75"/>
  <cols>
    <col min="1" max="256" width="9.140625" customWidth="1"/>
  </cols>
  <sheetData>
    <row r="1" spans="1:44">
      <c r="A1">
        <f>ROW(Source!A24)</f>
        <v>24</v>
      </c>
      <c r="B1">
        <v>39889148</v>
      </c>
      <c r="C1">
        <v>39889147</v>
      </c>
      <c r="D1">
        <v>29084596</v>
      </c>
      <c r="E1">
        <v>1</v>
      </c>
      <c r="F1">
        <v>1</v>
      </c>
      <c r="G1">
        <v>1</v>
      </c>
      <c r="H1">
        <v>1</v>
      </c>
      <c r="I1" t="s">
        <v>143</v>
      </c>
      <c r="J1" t="s">
        <v>3</v>
      </c>
      <c r="K1" t="s">
        <v>144</v>
      </c>
      <c r="L1">
        <v>1369</v>
      </c>
      <c r="N1">
        <v>1013</v>
      </c>
      <c r="O1" t="s">
        <v>145</v>
      </c>
      <c r="P1" t="s">
        <v>145</v>
      </c>
      <c r="Q1">
        <v>1</v>
      </c>
      <c r="X1">
        <v>16.29</v>
      </c>
      <c r="Y1">
        <v>0</v>
      </c>
      <c r="Z1">
        <v>0</v>
      </c>
      <c r="AA1">
        <v>0</v>
      </c>
      <c r="AB1">
        <v>9.18</v>
      </c>
      <c r="AC1">
        <v>0</v>
      </c>
      <c r="AD1">
        <v>1</v>
      </c>
      <c r="AE1">
        <v>1</v>
      </c>
      <c r="AF1" t="s">
        <v>3</v>
      </c>
      <c r="AG1">
        <v>16.29</v>
      </c>
      <c r="AH1">
        <v>2</v>
      </c>
      <c r="AI1">
        <v>39889148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ROW(Source!A24)</f>
        <v>24</v>
      </c>
      <c r="B2">
        <v>39889149</v>
      </c>
      <c r="C2">
        <v>39889147</v>
      </c>
      <c r="D2">
        <v>29084573</v>
      </c>
      <c r="E2">
        <v>1</v>
      </c>
      <c r="F2">
        <v>1</v>
      </c>
      <c r="G2">
        <v>1</v>
      </c>
      <c r="H2">
        <v>1</v>
      </c>
      <c r="I2" t="s">
        <v>146</v>
      </c>
      <c r="J2" t="s">
        <v>3</v>
      </c>
      <c r="K2" t="s">
        <v>147</v>
      </c>
      <c r="L2">
        <v>608254</v>
      </c>
      <c r="N2">
        <v>1013</v>
      </c>
      <c r="O2" t="s">
        <v>148</v>
      </c>
      <c r="P2" t="s">
        <v>148</v>
      </c>
      <c r="Q2">
        <v>1</v>
      </c>
      <c r="X2">
        <v>0.01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0.01</v>
      </c>
      <c r="AH2">
        <v>2</v>
      </c>
      <c r="AI2">
        <v>39889149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ROW(Source!A24)</f>
        <v>24</v>
      </c>
      <c r="B3">
        <v>39889150</v>
      </c>
      <c r="C3">
        <v>39889147</v>
      </c>
      <c r="D3">
        <v>33441040</v>
      </c>
      <c r="E3">
        <v>1</v>
      </c>
      <c r="F3">
        <v>1</v>
      </c>
      <c r="G3">
        <v>1</v>
      </c>
      <c r="H3">
        <v>2</v>
      </c>
      <c r="I3" t="s">
        <v>149</v>
      </c>
      <c r="J3" t="s">
        <v>150</v>
      </c>
      <c r="K3" t="s">
        <v>151</v>
      </c>
      <c r="L3">
        <v>1368</v>
      </c>
      <c r="N3">
        <v>1011</v>
      </c>
      <c r="O3" t="s">
        <v>152</v>
      </c>
      <c r="P3" t="s">
        <v>152</v>
      </c>
      <c r="Q3">
        <v>1</v>
      </c>
      <c r="X3">
        <v>0.01</v>
      </c>
      <c r="Y3">
        <v>0</v>
      </c>
      <c r="Z3">
        <v>30.85</v>
      </c>
      <c r="AA3">
        <v>13.03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0.01</v>
      </c>
      <c r="AH3">
        <v>2</v>
      </c>
      <c r="AI3">
        <v>39889150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ROW(Source!A24)</f>
        <v>24</v>
      </c>
      <c r="B4">
        <v>39889151</v>
      </c>
      <c r="C4">
        <v>39889147</v>
      </c>
      <c r="D4">
        <v>33441967</v>
      </c>
      <c r="E4">
        <v>1</v>
      </c>
      <c r="F4">
        <v>1</v>
      </c>
      <c r="G4">
        <v>1</v>
      </c>
      <c r="H4">
        <v>2</v>
      </c>
      <c r="I4" t="s">
        <v>153</v>
      </c>
      <c r="J4" t="s">
        <v>154</v>
      </c>
      <c r="K4" t="s">
        <v>155</v>
      </c>
      <c r="L4">
        <v>1368</v>
      </c>
      <c r="N4">
        <v>1011</v>
      </c>
      <c r="O4" t="s">
        <v>152</v>
      </c>
      <c r="P4" t="s">
        <v>152</v>
      </c>
      <c r="Q4">
        <v>1</v>
      </c>
      <c r="X4">
        <v>6.08</v>
      </c>
      <c r="Y4">
        <v>0</v>
      </c>
      <c r="Z4">
        <v>3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6.08</v>
      </c>
      <c r="AH4">
        <v>2</v>
      </c>
      <c r="AI4">
        <v>39889151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ROW(Source!A24)</f>
        <v>24</v>
      </c>
      <c r="B5">
        <v>39889152</v>
      </c>
      <c r="C5">
        <v>39889147</v>
      </c>
      <c r="D5">
        <v>33443101</v>
      </c>
      <c r="E5">
        <v>1</v>
      </c>
      <c r="F5">
        <v>1</v>
      </c>
      <c r="G5">
        <v>1</v>
      </c>
      <c r="H5">
        <v>2</v>
      </c>
      <c r="I5" t="s">
        <v>156</v>
      </c>
      <c r="J5" t="s">
        <v>157</v>
      </c>
      <c r="K5" t="s">
        <v>158</v>
      </c>
      <c r="L5">
        <v>1368</v>
      </c>
      <c r="N5">
        <v>1011</v>
      </c>
      <c r="O5" t="s">
        <v>152</v>
      </c>
      <c r="P5" t="s">
        <v>152</v>
      </c>
      <c r="Q5">
        <v>1</v>
      </c>
      <c r="X5">
        <v>6.08</v>
      </c>
      <c r="Y5">
        <v>0</v>
      </c>
      <c r="Z5">
        <v>2.08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6.08</v>
      </c>
      <c r="AH5">
        <v>2</v>
      </c>
      <c r="AI5">
        <v>39889152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ROW(Source!A24)</f>
        <v>24</v>
      </c>
      <c r="B6">
        <v>39889153</v>
      </c>
      <c r="C6">
        <v>39889147</v>
      </c>
      <c r="D6">
        <v>33445990</v>
      </c>
      <c r="E6">
        <v>1</v>
      </c>
      <c r="F6">
        <v>1</v>
      </c>
      <c r="G6">
        <v>1</v>
      </c>
      <c r="H6">
        <v>3</v>
      </c>
      <c r="I6" t="s">
        <v>159</v>
      </c>
      <c r="J6" t="s">
        <v>160</v>
      </c>
      <c r="K6" t="s">
        <v>161</v>
      </c>
      <c r="L6">
        <v>1348</v>
      </c>
      <c r="N6">
        <v>1009</v>
      </c>
      <c r="O6" t="s">
        <v>162</v>
      </c>
      <c r="P6" t="s">
        <v>162</v>
      </c>
      <c r="Q6">
        <v>1000</v>
      </c>
      <c r="X6">
        <v>1E-3</v>
      </c>
      <c r="Y6">
        <v>10207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1E-3</v>
      </c>
      <c r="AH6">
        <v>2</v>
      </c>
      <c r="AI6">
        <v>39889153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ROW(Source!A24)</f>
        <v>24</v>
      </c>
      <c r="B7">
        <v>39889154</v>
      </c>
      <c r="C7">
        <v>39889147</v>
      </c>
      <c r="D7">
        <v>33446786</v>
      </c>
      <c r="E7">
        <v>1</v>
      </c>
      <c r="F7">
        <v>1</v>
      </c>
      <c r="G7">
        <v>1</v>
      </c>
      <c r="H7">
        <v>3</v>
      </c>
      <c r="I7" t="s">
        <v>163</v>
      </c>
      <c r="J7" t="s">
        <v>164</v>
      </c>
      <c r="K7" t="s">
        <v>165</v>
      </c>
      <c r="L7">
        <v>1358</v>
      </c>
      <c r="N7">
        <v>1010</v>
      </c>
      <c r="O7" t="s">
        <v>166</v>
      </c>
      <c r="P7" t="s">
        <v>166</v>
      </c>
      <c r="Q7">
        <v>10</v>
      </c>
      <c r="X7">
        <v>20</v>
      </c>
      <c r="Y7">
        <v>1.8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3</v>
      </c>
      <c r="AG7">
        <v>20</v>
      </c>
      <c r="AH7">
        <v>2</v>
      </c>
      <c r="AI7">
        <v>39889154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ROW(Source!A24)</f>
        <v>24</v>
      </c>
      <c r="B8">
        <v>39889155</v>
      </c>
      <c r="C8">
        <v>39889147</v>
      </c>
      <c r="D8">
        <v>33511561</v>
      </c>
      <c r="E8">
        <v>1</v>
      </c>
      <c r="F8">
        <v>1</v>
      </c>
      <c r="G8">
        <v>1</v>
      </c>
      <c r="H8">
        <v>3</v>
      </c>
      <c r="I8" t="s">
        <v>167</v>
      </c>
      <c r="J8" t="s">
        <v>168</v>
      </c>
      <c r="K8" t="s">
        <v>169</v>
      </c>
      <c r="L8">
        <v>1344</v>
      </c>
      <c r="N8">
        <v>1008</v>
      </c>
      <c r="O8" t="s">
        <v>170</v>
      </c>
      <c r="P8" t="s">
        <v>170</v>
      </c>
      <c r="Q8">
        <v>1</v>
      </c>
      <c r="X8">
        <v>3.1</v>
      </c>
      <c r="Y8">
        <v>1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3.1</v>
      </c>
      <c r="AH8">
        <v>2</v>
      </c>
      <c r="AI8">
        <v>39889155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ROW(Source!A25)</f>
        <v>25</v>
      </c>
      <c r="B9">
        <v>39889157</v>
      </c>
      <c r="C9">
        <v>39889156</v>
      </c>
      <c r="D9">
        <v>29084611</v>
      </c>
      <c r="E9">
        <v>1</v>
      </c>
      <c r="F9">
        <v>1</v>
      </c>
      <c r="G9">
        <v>1</v>
      </c>
      <c r="H9">
        <v>1</v>
      </c>
      <c r="I9" t="s">
        <v>171</v>
      </c>
      <c r="J9" t="s">
        <v>3</v>
      </c>
      <c r="K9" t="s">
        <v>172</v>
      </c>
      <c r="L9">
        <v>1369</v>
      </c>
      <c r="N9">
        <v>1013</v>
      </c>
      <c r="O9" t="s">
        <v>145</v>
      </c>
      <c r="P9" t="s">
        <v>145</v>
      </c>
      <c r="Q9">
        <v>1</v>
      </c>
      <c r="X9">
        <v>54</v>
      </c>
      <c r="Y9">
        <v>0</v>
      </c>
      <c r="Z9">
        <v>0</v>
      </c>
      <c r="AA9">
        <v>0</v>
      </c>
      <c r="AB9">
        <v>9.08</v>
      </c>
      <c r="AC9">
        <v>0</v>
      </c>
      <c r="AD9">
        <v>1</v>
      </c>
      <c r="AE9">
        <v>1</v>
      </c>
      <c r="AF9" t="s">
        <v>3</v>
      </c>
      <c r="AG9">
        <v>54</v>
      </c>
      <c r="AH9">
        <v>2</v>
      </c>
      <c r="AI9">
        <v>39889157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ROW(Source!A25)</f>
        <v>25</v>
      </c>
      <c r="B10">
        <v>39889158</v>
      </c>
      <c r="C10">
        <v>39889156</v>
      </c>
      <c r="D10">
        <v>29084573</v>
      </c>
      <c r="E10">
        <v>1</v>
      </c>
      <c r="F10">
        <v>1</v>
      </c>
      <c r="G10">
        <v>1</v>
      </c>
      <c r="H10">
        <v>1</v>
      </c>
      <c r="I10" t="s">
        <v>146</v>
      </c>
      <c r="J10" t="s">
        <v>3</v>
      </c>
      <c r="K10" t="s">
        <v>147</v>
      </c>
      <c r="L10">
        <v>608254</v>
      </c>
      <c r="N10">
        <v>1013</v>
      </c>
      <c r="O10" t="s">
        <v>148</v>
      </c>
      <c r="P10" t="s">
        <v>148</v>
      </c>
      <c r="Q10">
        <v>1</v>
      </c>
      <c r="X10">
        <v>1.25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2</v>
      </c>
      <c r="AF10" t="s">
        <v>3</v>
      </c>
      <c r="AG10">
        <v>1.25</v>
      </c>
      <c r="AH10">
        <v>2</v>
      </c>
      <c r="AI10">
        <v>39889158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ROW(Source!A25)</f>
        <v>25</v>
      </c>
      <c r="B11">
        <v>39889159</v>
      </c>
      <c r="C11">
        <v>39889156</v>
      </c>
      <c r="D11">
        <v>33440846</v>
      </c>
      <c r="E11">
        <v>1</v>
      </c>
      <c r="F11">
        <v>1</v>
      </c>
      <c r="G11">
        <v>1</v>
      </c>
      <c r="H11">
        <v>2</v>
      </c>
      <c r="I11" t="s">
        <v>173</v>
      </c>
      <c r="J11" t="s">
        <v>174</v>
      </c>
      <c r="K11" t="s">
        <v>175</v>
      </c>
      <c r="L11">
        <v>1368</v>
      </c>
      <c r="N11">
        <v>1011</v>
      </c>
      <c r="O11" t="s">
        <v>152</v>
      </c>
      <c r="P11" t="s">
        <v>152</v>
      </c>
      <c r="Q11">
        <v>1</v>
      </c>
      <c r="X11">
        <v>1.25</v>
      </c>
      <c r="Y11">
        <v>0</v>
      </c>
      <c r="Z11">
        <v>131.11000000000001</v>
      </c>
      <c r="AA11">
        <v>13.03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1.25</v>
      </c>
      <c r="AH11">
        <v>2</v>
      </c>
      <c r="AI11">
        <v>39889159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ROW(Source!A25)</f>
        <v>25</v>
      </c>
      <c r="B12">
        <v>39889160</v>
      </c>
      <c r="C12">
        <v>39889156</v>
      </c>
      <c r="D12">
        <v>33441141</v>
      </c>
      <c r="E12">
        <v>1</v>
      </c>
      <c r="F12">
        <v>1</v>
      </c>
      <c r="G12">
        <v>1</v>
      </c>
      <c r="H12">
        <v>2</v>
      </c>
      <c r="I12" t="s">
        <v>176</v>
      </c>
      <c r="J12" t="s">
        <v>177</v>
      </c>
      <c r="K12" t="s">
        <v>178</v>
      </c>
      <c r="L12">
        <v>1368</v>
      </c>
      <c r="N12">
        <v>1011</v>
      </c>
      <c r="O12" t="s">
        <v>152</v>
      </c>
      <c r="P12" t="s">
        <v>152</v>
      </c>
      <c r="Q12">
        <v>1</v>
      </c>
      <c r="X12">
        <v>10.48</v>
      </c>
      <c r="Y12">
        <v>0</v>
      </c>
      <c r="Z12">
        <v>8.1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10.48</v>
      </c>
      <c r="AH12">
        <v>2</v>
      </c>
      <c r="AI12">
        <v>39889160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ROW(Source!A25)</f>
        <v>25</v>
      </c>
      <c r="B13">
        <v>39889161</v>
      </c>
      <c r="C13">
        <v>39889156</v>
      </c>
      <c r="D13">
        <v>33443435</v>
      </c>
      <c r="E13">
        <v>1</v>
      </c>
      <c r="F13">
        <v>1</v>
      </c>
      <c r="G13">
        <v>1</v>
      </c>
      <c r="H13">
        <v>2</v>
      </c>
      <c r="I13" t="s">
        <v>179</v>
      </c>
      <c r="J13" t="s">
        <v>180</v>
      </c>
      <c r="K13" t="s">
        <v>181</v>
      </c>
      <c r="L13">
        <v>1368</v>
      </c>
      <c r="N13">
        <v>1011</v>
      </c>
      <c r="O13" t="s">
        <v>152</v>
      </c>
      <c r="P13" t="s">
        <v>152</v>
      </c>
      <c r="Q13">
        <v>1</v>
      </c>
      <c r="X13">
        <v>1.25</v>
      </c>
      <c r="Y13">
        <v>0</v>
      </c>
      <c r="Z13">
        <v>91.62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1.25</v>
      </c>
      <c r="AH13">
        <v>2</v>
      </c>
      <c r="AI13">
        <v>39889161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ROW(Source!A25)</f>
        <v>25</v>
      </c>
      <c r="B14">
        <v>39889162</v>
      </c>
      <c r="C14">
        <v>39889156</v>
      </c>
      <c r="D14">
        <v>33446525</v>
      </c>
      <c r="E14">
        <v>1</v>
      </c>
      <c r="F14">
        <v>1</v>
      </c>
      <c r="G14">
        <v>1</v>
      </c>
      <c r="H14">
        <v>3</v>
      </c>
      <c r="I14" t="s">
        <v>182</v>
      </c>
      <c r="J14" t="s">
        <v>183</v>
      </c>
      <c r="K14" t="s">
        <v>184</v>
      </c>
      <c r="L14">
        <v>1346</v>
      </c>
      <c r="N14">
        <v>1009</v>
      </c>
      <c r="O14" t="s">
        <v>185</v>
      </c>
      <c r="P14" t="s">
        <v>185</v>
      </c>
      <c r="Q14">
        <v>1</v>
      </c>
      <c r="X14">
        <v>3.36</v>
      </c>
      <c r="Y14">
        <v>11.11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3.36</v>
      </c>
      <c r="AH14">
        <v>2</v>
      </c>
      <c r="AI14">
        <v>39889162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ROW(Source!A25)</f>
        <v>25</v>
      </c>
      <c r="B15">
        <v>39889163</v>
      </c>
      <c r="C15">
        <v>39889156</v>
      </c>
      <c r="D15">
        <v>33446572</v>
      </c>
      <c r="E15">
        <v>1</v>
      </c>
      <c r="F15">
        <v>1</v>
      </c>
      <c r="G15">
        <v>1</v>
      </c>
      <c r="H15">
        <v>3</v>
      </c>
      <c r="I15" t="s">
        <v>186</v>
      </c>
      <c r="J15" t="s">
        <v>187</v>
      </c>
      <c r="K15" t="s">
        <v>188</v>
      </c>
      <c r="L15">
        <v>1346</v>
      </c>
      <c r="N15">
        <v>1009</v>
      </c>
      <c r="O15" t="s">
        <v>185</v>
      </c>
      <c r="P15" t="s">
        <v>185</v>
      </c>
      <c r="Q15">
        <v>1</v>
      </c>
      <c r="X15">
        <v>2.54</v>
      </c>
      <c r="Y15">
        <v>9.4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2.54</v>
      </c>
      <c r="AH15">
        <v>2</v>
      </c>
      <c r="AI15">
        <v>39889163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ROW(Source!A25)</f>
        <v>25</v>
      </c>
      <c r="B16">
        <v>39889164</v>
      </c>
      <c r="C16">
        <v>39889156</v>
      </c>
      <c r="D16">
        <v>33511561</v>
      </c>
      <c r="E16">
        <v>1</v>
      </c>
      <c r="F16">
        <v>1</v>
      </c>
      <c r="G16">
        <v>1</v>
      </c>
      <c r="H16">
        <v>3</v>
      </c>
      <c r="I16" t="s">
        <v>167</v>
      </c>
      <c r="J16" t="s">
        <v>168</v>
      </c>
      <c r="K16" t="s">
        <v>169</v>
      </c>
      <c r="L16">
        <v>1344</v>
      </c>
      <c r="N16">
        <v>1008</v>
      </c>
      <c r="O16" t="s">
        <v>170</v>
      </c>
      <c r="P16" t="s">
        <v>170</v>
      </c>
      <c r="Q16">
        <v>1</v>
      </c>
      <c r="X16">
        <v>10.15</v>
      </c>
      <c r="Y16">
        <v>1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10.15</v>
      </c>
      <c r="AH16">
        <v>2</v>
      </c>
      <c r="AI16">
        <v>39889164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11 граф c НР и СП</vt:lpstr>
      <vt:lpstr>Source</vt:lpstr>
      <vt:lpstr>SourceObSm</vt:lpstr>
      <vt:lpstr>SmtRes</vt:lpstr>
      <vt:lpstr>EtalonRes</vt:lpstr>
      <vt:lpstr>'Смета 11 граф c НР и СП'!Заголовки_для_печати</vt:lpstr>
      <vt:lpstr>'Смета 11 граф c НР и СП'!Область_печати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created xsi:type="dcterms:W3CDTF">2020-03-04T06:03:00Z</dcterms:created>
  <dcterms:modified xsi:type="dcterms:W3CDTF">2020-03-04T06:03:30Z</dcterms:modified>
</cp:coreProperties>
</file>