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Temp\ГИ\"/>
    </mc:Choice>
  </mc:AlternateContent>
  <bookViews>
    <workbookView xWindow="0" yWindow="0" windowWidth="28800" windowHeight="12435" activeTab="1"/>
  </bookViews>
  <sheets>
    <sheet name="Смета 12 гр. по ФЕР" sheetId="5" r:id="rId1"/>
    <sheet name="Смета Коммерческая" sheetId="6" r:id="rId2"/>
    <sheet name="Source" sheetId="1" r:id="rId3"/>
    <sheet name="SourceObSm" sheetId="2" r:id="rId4"/>
    <sheet name="SmtRes" sheetId="3" r:id="rId5"/>
    <sheet name="EtalonRes" sheetId="4" r:id="rId6"/>
  </sheets>
  <definedNames>
    <definedName name="_xlnm.Print_Titles" localSheetId="0">'Смета 12 гр. по ФЕР'!$40:$40</definedName>
    <definedName name="_xlnm.Print_Titles" localSheetId="1">'Смета Коммерческая'!$35:$35</definedName>
    <definedName name="_xlnm.Print_Area" localSheetId="0">'Смета 12 гр. по ФЕР'!$A$1:$L$93</definedName>
    <definedName name="_xlnm.Print_Area" localSheetId="1">'Смета Коммерческая'!$A$1:$K$76</definedName>
  </definedNames>
  <calcPr calcId="152511"/>
</workbook>
</file>

<file path=xl/calcChain.xml><?xml version="1.0" encoding="utf-8"?>
<calcChain xmlns="http://schemas.openxmlformats.org/spreadsheetml/2006/main">
  <c r="H74" i="6" l="1"/>
  <c r="H71" i="6"/>
  <c r="C74" i="6"/>
  <c r="C71" i="6"/>
  <c r="I68" i="6"/>
  <c r="C68" i="6"/>
  <c r="I67" i="6"/>
  <c r="C67" i="6"/>
  <c r="I66" i="6"/>
  <c r="C66" i="6"/>
  <c r="I28" i="6"/>
  <c r="I27" i="6"/>
  <c r="I26" i="6"/>
  <c r="I25" i="6"/>
  <c r="I24" i="6"/>
  <c r="I23" i="6"/>
  <c r="I29" i="6"/>
  <c r="J65" i="6"/>
  <c r="J64" i="6"/>
  <c r="K63" i="6"/>
  <c r="A63" i="6"/>
  <c r="J61" i="6"/>
  <c r="J60" i="6"/>
  <c r="K59" i="6"/>
  <c r="A59" i="6"/>
  <c r="J57" i="6"/>
  <c r="J56" i="6"/>
  <c r="K55" i="6"/>
  <c r="A55" i="6"/>
  <c r="J53" i="6"/>
  <c r="J52" i="6"/>
  <c r="K51" i="6"/>
  <c r="A51" i="6"/>
  <c r="J49" i="6"/>
  <c r="G49" i="6"/>
  <c r="K49" i="6"/>
  <c r="P49" i="6" s="1"/>
  <c r="E49" i="6"/>
  <c r="D49" i="6"/>
  <c r="B49" i="6"/>
  <c r="A49" i="6"/>
  <c r="J48" i="6"/>
  <c r="G48" i="6"/>
  <c r="K48" i="6"/>
  <c r="P48" i="6" s="1"/>
  <c r="E48" i="6"/>
  <c r="D48" i="6"/>
  <c r="B48" i="6"/>
  <c r="A48" i="6"/>
  <c r="P47" i="6"/>
  <c r="K47" i="6"/>
  <c r="J47" i="6"/>
  <c r="I47" i="6"/>
  <c r="H47" i="6"/>
  <c r="G47" i="6"/>
  <c r="F47" i="6"/>
  <c r="E47" i="6"/>
  <c r="D47" i="6"/>
  <c r="B47" i="6"/>
  <c r="A47" i="6"/>
  <c r="K46" i="6"/>
  <c r="P46" i="6" s="1"/>
  <c r="J46" i="6"/>
  <c r="G46" i="6"/>
  <c r="E46" i="6"/>
  <c r="D46" i="6"/>
  <c r="B46" i="6"/>
  <c r="A46" i="6"/>
  <c r="K45" i="6"/>
  <c r="P45" i="6" s="1"/>
  <c r="J45" i="6"/>
  <c r="G45" i="6"/>
  <c r="E45" i="6"/>
  <c r="D45" i="6"/>
  <c r="B45" i="6"/>
  <c r="A45" i="6"/>
  <c r="K44" i="6"/>
  <c r="P44" i="6" s="1"/>
  <c r="J44" i="6"/>
  <c r="G44" i="6"/>
  <c r="E44" i="6"/>
  <c r="D44" i="6"/>
  <c r="B44" i="6"/>
  <c r="A44" i="6"/>
  <c r="K43" i="6"/>
  <c r="P43" i="6" s="1"/>
  <c r="J43" i="6"/>
  <c r="G43" i="6"/>
  <c r="E43" i="6"/>
  <c r="D43" i="6"/>
  <c r="B43" i="6"/>
  <c r="A43" i="6"/>
  <c r="J42" i="6"/>
  <c r="K42" i="6" s="1"/>
  <c r="P42" i="6" s="1"/>
  <c r="I42" i="6"/>
  <c r="G42" i="6"/>
  <c r="F42" i="6"/>
  <c r="H42" i="6" s="1"/>
  <c r="E42" i="6"/>
  <c r="D42" i="6"/>
  <c r="B42" i="6"/>
  <c r="A42" i="6"/>
  <c r="A41" i="6"/>
  <c r="A39" i="6"/>
  <c r="A37" i="6"/>
  <c r="A21" i="6"/>
  <c r="A18" i="6"/>
  <c r="A13" i="6"/>
  <c r="G6" i="6"/>
  <c r="B6" i="6"/>
  <c r="A1" i="6"/>
  <c r="I91" i="5"/>
  <c r="I88" i="5"/>
  <c r="I85" i="5"/>
  <c r="D91" i="5"/>
  <c r="D88" i="5"/>
  <c r="D85" i="5"/>
  <c r="J82" i="5"/>
  <c r="C82" i="5"/>
  <c r="J81" i="5"/>
  <c r="C81" i="5"/>
  <c r="J80" i="5"/>
  <c r="C80" i="5"/>
  <c r="I32" i="5"/>
  <c r="G32" i="5"/>
  <c r="G31" i="5"/>
  <c r="I31" i="5"/>
  <c r="I30" i="5"/>
  <c r="G30" i="5"/>
  <c r="I29" i="5"/>
  <c r="G29" i="5"/>
  <c r="I28" i="5"/>
  <c r="G28" i="5"/>
  <c r="I27" i="5"/>
  <c r="G27" i="5"/>
  <c r="I26" i="5"/>
  <c r="G26" i="5"/>
  <c r="L78" i="5"/>
  <c r="J78" i="5"/>
  <c r="G78" i="5"/>
  <c r="A78" i="5"/>
  <c r="Q73" i="5"/>
  <c r="P73" i="5"/>
  <c r="O73" i="5"/>
  <c r="L73" i="5"/>
  <c r="J73" i="5"/>
  <c r="G73" i="5"/>
  <c r="Z73" i="5"/>
  <c r="Y73" i="5"/>
  <c r="X73" i="5"/>
  <c r="W73" i="5"/>
  <c r="K72" i="5"/>
  <c r="J72" i="5"/>
  <c r="H72" i="5"/>
  <c r="G72" i="5"/>
  <c r="F72" i="5"/>
  <c r="V72" i="5"/>
  <c r="T72" i="5"/>
  <c r="U72" i="5"/>
  <c r="S72" i="5"/>
  <c r="E72" i="5"/>
  <c r="D72" i="5"/>
  <c r="I72" i="5"/>
  <c r="B72" i="5"/>
  <c r="A72" i="5"/>
  <c r="Q71" i="5"/>
  <c r="P71" i="5"/>
  <c r="O71" i="5"/>
  <c r="L71" i="5"/>
  <c r="J71" i="5"/>
  <c r="G71" i="5"/>
  <c r="Z71" i="5"/>
  <c r="Y71" i="5"/>
  <c r="X71" i="5"/>
  <c r="W71" i="5"/>
  <c r="K70" i="5"/>
  <c r="J70" i="5"/>
  <c r="H70" i="5"/>
  <c r="G70" i="5"/>
  <c r="F70" i="5"/>
  <c r="V70" i="5"/>
  <c r="T70" i="5"/>
  <c r="U70" i="5"/>
  <c r="S70" i="5"/>
  <c r="E70" i="5"/>
  <c r="D70" i="5"/>
  <c r="I70" i="5"/>
  <c r="B70" i="5"/>
  <c r="A70" i="5"/>
  <c r="Q69" i="5"/>
  <c r="P69" i="5"/>
  <c r="O69" i="5"/>
  <c r="L69" i="5"/>
  <c r="J69" i="5"/>
  <c r="G69" i="5"/>
  <c r="Z69" i="5"/>
  <c r="Y69" i="5"/>
  <c r="X69" i="5"/>
  <c r="W69" i="5"/>
  <c r="K67" i="5"/>
  <c r="H67" i="5"/>
  <c r="K66" i="5"/>
  <c r="H66" i="5"/>
  <c r="L68" i="5"/>
  <c r="G68" i="5"/>
  <c r="E68" i="5"/>
  <c r="J67" i="5"/>
  <c r="E67" i="5"/>
  <c r="J66" i="5"/>
  <c r="E66" i="5"/>
  <c r="K65" i="5"/>
  <c r="J65" i="5"/>
  <c r="H65" i="5"/>
  <c r="G65" i="5"/>
  <c r="F65" i="5"/>
  <c r="K64" i="5"/>
  <c r="J64" i="5"/>
  <c r="R64" i="5"/>
  <c r="H64" i="5"/>
  <c r="G64" i="5"/>
  <c r="F64" i="5"/>
  <c r="K63" i="5"/>
  <c r="J63" i="5"/>
  <c r="H63" i="5"/>
  <c r="G63" i="5"/>
  <c r="F63" i="5"/>
  <c r="K62" i="5"/>
  <c r="J62" i="5"/>
  <c r="R62" i="5"/>
  <c r="H62" i="5"/>
  <c r="G62" i="5"/>
  <c r="F62" i="5"/>
  <c r="V61" i="5"/>
  <c r="T61" i="5"/>
  <c r="U61" i="5"/>
  <c r="S61" i="5"/>
  <c r="F61" i="5"/>
  <c r="E61" i="5"/>
  <c r="D61" i="5"/>
  <c r="I61" i="5"/>
  <c r="C61" i="5"/>
  <c r="B61" i="5"/>
  <c r="A61" i="5"/>
  <c r="Q60" i="5"/>
  <c r="P60" i="5"/>
  <c r="O60" i="5"/>
  <c r="L60" i="5"/>
  <c r="J60" i="5"/>
  <c r="G60" i="5"/>
  <c r="Z60" i="5"/>
  <c r="Y60" i="5"/>
  <c r="X60" i="5"/>
  <c r="W60" i="5"/>
  <c r="K54" i="5"/>
  <c r="H54" i="5"/>
  <c r="K53" i="5"/>
  <c r="H53" i="5"/>
  <c r="K59" i="5"/>
  <c r="J59" i="5"/>
  <c r="Z59" i="5"/>
  <c r="Y59" i="5"/>
  <c r="X59" i="5"/>
  <c r="W59" i="5"/>
  <c r="H59" i="5"/>
  <c r="F59" i="5"/>
  <c r="V59" i="5"/>
  <c r="T59" i="5"/>
  <c r="U59" i="5"/>
  <c r="S59" i="5"/>
  <c r="E59" i="5"/>
  <c r="D59" i="5"/>
  <c r="B59" i="5"/>
  <c r="A59" i="5"/>
  <c r="K58" i="5"/>
  <c r="J58" i="5"/>
  <c r="Z58" i="5"/>
  <c r="Y58" i="5"/>
  <c r="X58" i="5"/>
  <c r="W58" i="5"/>
  <c r="H58" i="5"/>
  <c r="F58" i="5"/>
  <c r="V58" i="5"/>
  <c r="T58" i="5"/>
  <c r="U58" i="5"/>
  <c r="S58" i="5"/>
  <c r="E58" i="5"/>
  <c r="D58" i="5"/>
  <c r="C58" i="5"/>
  <c r="B58" i="5"/>
  <c r="A58" i="5"/>
  <c r="K57" i="5"/>
  <c r="J57" i="5"/>
  <c r="Z57" i="5"/>
  <c r="Y57" i="5"/>
  <c r="X57" i="5"/>
  <c r="W57" i="5"/>
  <c r="H57" i="5"/>
  <c r="F57" i="5"/>
  <c r="V57" i="5"/>
  <c r="T57" i="5"/>
  <c r="U57" i="5"/>
  <c r="S57" i="5"/>
  <c r="E57" i="5"/>
  <c r="D57" i="5"/>
  <c r="C57" i="5"/>
  <c r="B57" i="5"/>
  <c r="A57" i="5"/>
  <c r="K56" i="5"/>
  <c r="J56" i="5"/>
  <c r="Z56" i="5"/>
  <c r="Y56" i="5"/>
  <c r="X56" i="5"/>
  <c r="W56" i="5"/>
  <c r="H56" i="5"/>
  <c r="F56" i="5"/>
  <c r="V56" i="5"/>
  <c r="T56" i="5"/>
  <c r="U56" i="5"/>
  <c r="S56" i="5"/>
  <c r="E56" i="5"/>
  <c r="D56" i="5"/>
  <c r="C56" i="5"/>
  <c r="B56" i="5"/>
  <c r="A56" i="5"/>
  <c r="L55" i="5"/>
  <c r="G55" i="5"/>
  <c r="E55" i="5"/>
  <c r="J54" i="5"/>
  <c r="E54" i="5"/>
  <c r="J53" i="5"/>
  <c r="E53" i="5"/>
  <c r="K52" i="5"/>
  <c r="J52" i="5"/>
  <c r="H52" i="5"/>
  <c r="G52" i="5"/>
  <c r="F52" i="5"/>
  <c r="K51" i="5"/>
  <c r="J51" i="5"/>
  <c r="R51" i="5"/>
  <c r="H51" i="5"/>
  <c r="G51" i="5"/>
  <c r="F51" i="5"/>
  <c r="K50" i="5"/>
  <c r="J50" i="5"/>
  <c r="H50" i="5"/>
  <c r="G50" i="5"/>
  <c r="F50" i="5"/>
  <c r="K49" i="5"/>
  <c r="J49" i="5"/>
  <c r="R49" i="5"/>
  <c r="H49" i="5"/>
  <c r="G49" i="5"/>
  <c r="F49" i="5"/>
  <c r="C48" i="5"/>
  <c r="V47" i="5"/>
  <c r="T47" i="5"/>
  <c r="U47" i="5"/>
  <c r="S47" i="5"/>
  <c r="F47" i="5"/>
  <c r="E47" i="5"/>
  <c r="D47" i="5"/>
  <c r="I47" i="5"/>
  <c r="C47" i="5"/>
  <c r="B47" i="5"/>
  <c r="A47" i="5"/>
  <c r="A46" i="5"/>
  <c r="A44" i="5"/>
  <c r="A42" i="5"/>
  <c r="B19" i="5"/>
  <c r="B15" i="5"/>
  <c r="H13" i="5"/>
  <c r="H6" i="5"/>
  <c r="B6" i="5"/>
  <c r="A1" i="5"/>
  <c r="A1" i="4" l="1"/>
  <c r="A2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1" i="3"/>
  <c r="CY1" i="3"/>
  <c r="CZ1" i="3"/>
  <c r="DA1" i="3"/>
  <c r="DB1" i="3"/>
  <c r="DC1" i="3"/>
  <c r="A2" i="3"/>
  <c r="CX2" i="3"/>
  <c r="CY2" i="3"/>
  <c r="CZ2" i="3"/>
  <c r="DA2" i="3"/>
  <c r="DB2" i="3"/>
  <c r="DC2" i="3"/>
  <c r="A3" i="3"/>
  <c r="CY3" i="3"/>
  <c r="CZ3" i="3"/>
  <c r="DB3" i="3" s="1"/>
  <c r="DA3" i="3"/>
  <c r="DC3" i="3"/>
  <c r="A4" i="3"/>
  <c r="CY4" i="3"/>
  <c r="CZ4" i="3"/>
  <c r="DB4" i="3" s="1"/>
  <c r="DA4" i="3"/>
  <c r="DC4" i="3"/>
  <c r="A5" i="3"/>
  <c r="CY5" i="3"/>
  <c r="CZ5" i="3"/>
  <c r="DA5" i="3"/>
  <c r="DB5" i="3"/>
  <c r="DC5" i="3"/>
  <c r="A6" i="3"/>
  <c r="CX6" i="3"/>
  <c r="CY6" i="3"/>
  <c r="CZ6" i="3"/>
  <c r="DA6" i="3"/>
  <c r="DB6" i="3"/>
  <c r="DC6" i="3"/>
  <c r="A7" i="3"/>
  <c r="CY7" i="3"/>
  <c r="CZ7" i="3"/>
  <c r="DB7" i="3" s="1"/>
  <c r="DA7" i="3"/>
  <c r="DC7" i="3"/>
  <c r="A8" i="3"/>
  <c r="CY8" i="3"/>
  <c r="CZ8" i="3"/>
  <c r="DB8" i="3" s="1"/>
  <c r="DA8" i="3"/>
  <c r="DC8" i="3"/>
  <c r="A9" i="3"/>
  <c r="CY9" i="3"/>
  <c r="CZ9" i="3"/>
  <c r="DA9" i="3"/>
  <c r="DB9" i="3"/>
  <c r="DC9" i="3"/>
  <c r="A10" i="3"/>
  <c r="CX10" i="3"/>
  <c r="CY10" i="3"/>
  <c r="CZ10" i="3"/>
  <c r="DA10" i="3"/>
  <c r="DB10" i="3"/>
  <c r="DC10" i="3"/>
  <c r="A11" i="3"/>
  <c r="CY11" i="3"/>
  <c r="CZ11" i="3"/>
  <c r="DB11" i="3" s="1"/>
  <c r="DA11" i="3"/>
  <c r="DC11" i="3"/>
  <c r="A12" i="3"/>
  <c r="CY12" i="3"/>
  <c r="CZ12" i="3"/>
  <c r="DB12" i="3" s="1"/>
  <c r="DA12" i="3"/>
  <c r="DC12" i="3"/>
  <c r="A13" i="3"/>
  <c r="CY13" i="3"/>
  <c r="CZ13" i="3"/>
  <c r="DA13" i="3"/>
  <c r="DB13" i="3"/>
  <c r="DC13" i="3"/>
  <c r="A14" i="3"/>
  <c r="CX14" i="3"/>
  <c r="CY14" i="3"/>
  <c r="CZ14" i="3"/>
  <c r="DA14" i="3"/>
  <c r="DB14" i="3"/>
  <c r="DC14" i="3"/>
  <c r="A15" i="3"/>
  <c r="CY15" i="3"/>
  <c r="CZ15" i="3"/>
  <c r="DB15" i="3" s="1"/>
  <c r="DA15" i="3"/>
  <c r="DC15" i="3"/>
  <c r="A16" i="3"/>
  <c r="CY16" i="3"/>
  <c r="CZ16" i="3"/>
  <c r="DB16" i="3" s="1"/>
  <c r="DA16" i="3"/>
  <c r="DC16" i="3"/>
  <c r="A17" i="3"/>
  <c r="CY17" i="3"/>
  <c r="CZ17" i="3"/>
  <c r="DA17" i="3"/>
  <c r="DB17" i="3"/>
  <c r="DC17" i="3"/>
  <c r="A18" i="3"/>
  <c r="CX18" i="3"/>
  <c r="CY18" i="3"/>
  <c r="CZ18" i="3"/>
  <c r="DA18" i="3"/>
  <c r="DB18" i="3"/>
  <c r="DC18" i="3"/>
  <c r="A19" i="3"/>
  <c r="CY19" i="3"/>
  <c r="CZ19" i="3"/>
  <c r="DB19" i="3" s="1"/>
  <c r="DA19" i="3"/>
  <c r="DC19" i="3"/>
  <c r="A20" i="3"/>
  <c r="CY20" i="3"/>
  <c r="CZ20" i="3"/>
  <c r="DB20" i="3" s="1"/>
  <c r="DA20" i="3"/>
  <c r="DC20" i="3"/>
  <c r="A21" i="3"/>
  <c r="CY21" i="3"/>
  <c r="CZ21" i="3"/>
  <c r="DA21" i="3"/>
  <c r="DB21" i="3"/>
  <c r="DC21" i="3"/>
  <c r="A22" i="3"/>
  <c r="CX22" i="3"/>
  <c r="CY22" i="3"/>
  <c r="CZ22" i="3"/>
  <c r="DA22" i="3"/>
  <c r="DB22" i="3"/>
  <c r="DC22" i="3"/>
  <c r="A23" i="3"/>
  <c r="CY23" i="3"/>
  <c r="CZ23" i="3"/>
  <c r="DB23" i="3" s="1"/>
  <c r="DA23" i="3"/>
  <c r="DC23" i="3"/>
  <c r="A24" i="3"/>
  <c r="CY24" i="3"/>
  <c r="CZ24" i="3"/>
  <c r="DB24" i="3" s="1"/>
  <c r="DA24" i="3"/>
  <c r="DC24" i="3"/>
  <c r="A25" i="3"/>
  <c r="CX25" i="3"/>
  <c r="CY25" i="3"/>
  <c r="CZ25" i="3"/>
  <c r="DA25" i="3"/>
  <c r="DB25" i="3"/>
  <c r="DC25" i="3"/>
  <c r="A26" i="3"/>
  <c r="CX26" i="3"/>
  <c r="CY26" i="3"/>
  <c r="CZ26" i="3"/>
  <c r="DA26" i="3"/>
  <c r="DB26" i="3"/>
  <c r="DC26" i="3"/>
  <c r="A27" i="3"/>
  <c r="CX27" i="3"/>
  <c r="CY27" i="3"/>
  <c r="CZ27" i="3"/>
  <c r="DB27" i="3" s="1"/>
  <c r="DA27" i="3"/>
  <c r="DC27" i="3"/>
  <c r="A28" i="3"/>
  <c r="CX28" i="3"/>
  <c r="CY28" i="3"/>
  <c r="CZ28" i="3"/>
  <c r="DB28" i="3" s="1"/>
  <c r="DA28" i="3"/>
  <c r="DC28" i="3"/>
  <c r="A29" i="3"/>
  <c r="CX29" i="3"/>
  <c r="CY29" i="3"/>
  <c r="CZ29" i="3"/>
  <c r="DA29" i="3"/>
  <c r="DB29" i="3"/>
  <c r="DC29" i="3"/>
  <c r="A30" i="3"/>
  <c r="CX30" i="3"/>
  <c r="CY30" i="3"/>
  <c r="CZ30" i="3"/>
  <c r="DA30" i="3"/>
  <c r="DB30" i="3"/>
  <c r="DC30" i="3"/>
  <c r="A31" i="3"/>
  <c r="CX31" i="3"/>
  <c r="CY31" i="3"/>
  <c r="CZ31" i="3"/>
  <c r="DB31" i="3" s="1"/>
  <c r="DA31" i="3"/>
  <c r="DC31" i="3"/>
  <c r="A32" i="3"/>
  <c r="CX32" i="3"/>
  <c r="CY32" i="3"/>
  <c r="CZ32" i="3"/>
  <c r="DB32" i="3" s="1"/>
  <c r="DA32" i="3"/>
  <c r="DC32" i="3"/>
  <c r="A33" i="3"/>
  <c r="CX33" i="3"/>
  <c r="CY33" i="3"/>
  <c r="CZ33" i="3"/>
  <c r="DA33" i="3"/>
  <c r="DB33" i="3"/>
  <c r="DC33" i="3"/>
  <c r="A34" i="3"/>
  <c r="CX34" i="3"/>
  <c r="CY34" i="3"/>
  <c r="CZ34" i="3"/>
  <c r="DA34" i="3"/>
  <c r="DB34" i="3"/>
  <c r="DC34" i="3"/>
  <c r="A35" i="3"/>
  <c r="CX35" i="3"/>
  <c r="CY35" i="3"/>
  <c r="CZ35" i="3"/>
  <c r="DB35" i="3" s="1"/>
  <c r="DA35" i="3"/>
  <c r="DC35" i="3"/>
  <c r="A36" i="3"/>
  <c r="CX36" i="3"/>
  <c r="CY36" i="3"/>
  <c r="CZ36" i="3"/>
  <c r="DB36" i="3" s="1"/>
  <c r="DA36" i="3"/>
  <c r="DC36" i="3"/>
  <c r="A37" i="3"/>
  <c r="CX37" i="3"/>
  <c r="CY37" i="3"/>
  <c r="CZ37" i="3"/>
  <c r="DA37" i="3"/>
  <c r="DB37" i="3"/>
  <c r="DC37" i="3"/>
  <c r="D12" i="1"/>
  <c r="E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G18" i="1"/>
  <c r="DH18" i="1"/>
  <c r="DI18" i="1"/>
  <c r="DJ18" i="1"/>
  <c r="DK18" i="1"/>
  <c r="DL18" i="1"/>
  <c r="DM18" i="1"/>
  <c r="DN18" i="1"/>
  <c r="DO18" i="1"/>
  <c r="DP18" i="1"/>
  <c r="DQ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G18" i="1"/>
  <c r="EH18" i="1"/>
  <c r="EI18" i="1"/>
  <c r="EJ18" i="1"/>
  <c r="EK18" i="1"/>
  <c r="EL18" i="1"/>
  <c r="EM18" i="1"/>
  <c r="EN18" i="1"/>
  <c r="EO18" i="1"/>
  <c r="EP18" i="1"/>
  <c r="EQ18" i="1"/>
  <c r="ER18" i="1"/>
  <c r="ES18" i="1"/>
  <c r="ET18" i="1"/>
  <c r="EU18" i="1"/>
  <c r="EV18" i="1"/>
  <c r="EW18" i="1"/>
  <c r="EX18" i="1"/>
  <c r="EY18" i="1"/>
  <c r="EZ18" i="1"/>
  <c r="FA18" i="1"/>
  <c r="FB18" i="1"/>
  <c r="FC18" i="1"/>
  <c r="FD18" i="1"/>
  <c r="FE18" i="1"/>
  <c r="FF18" i="1"/>
  <c r="FG18" i="1"/>
  <c r="FH18" i="1"/>
  <c r="FI18" i="1"/>
  <c r="FJ18" i="1"/>
  <c r="FK18" i="1"/>
  <c r="FL18" i="1"/>
  <c r="FM18" i="1"/>
  <c r="FN18" i="1"/>
  <c r="FO18" i="1"/>
  <c r="FP18" i="1"/>
  <c r="FQ18" i="1"/>
  <c r="FR18" i="1"/>
  <c r="FS18" i="1"/>
  <c r="FT18" i="1"/>
  <c r="FU18" i="1"/>
  <c r="FV18" i="1"/>
  <c r="FW18" i="1"/>
  <c r="FX18" i="1"/>
  <c r="FY18" i="1"/>
  <c r="FZ18" i="1"/>
  <c r="GA18" i="1"/>
  <c r="GB18" i="1"/>
  <c r="GC18" i="1"/>
  <c r="GD18" i="1"/>
  <c r="GE18" i="1"/>
  <c r="GF18" i="1"/>
  <c r="GG18" i="1"/>
  <c r="GH18" i="1"/>
  <c r="GI18" i="1"/>
  <c r="GJ18" i="1"/>
  <c r="GK18" i="1"/>
  <c r="GL18" i="1"/>
  <c r="GM18" i="1"/>
  <c r="GN18" i="1"/>
  <c r="GO18" i="1"/>
  <c r="GP18" i="1"/>
  <c r="GQ18" i="1"/>
  <c r="GR18" i="1"/>
  <c r="GS18" i="1"/>
  <c r="GT18" i="1"/>
  <c r="GU18" i="1"/>
  <c r="GV18" i="1"/>
  <c r="GW18" i="1"/>
  <c r="GX18" i="1"/>
  <c r="D20" i="1"/>
  <c r="E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BX22" i="1"/>
  <c r="BY22" i="1"/>
  <c r="BZ22" i="1"/>
  <c r="CA22" i="1"/>
  <c r="CB22" i="1"/>
  <c r="CC22" i="1"/>
  <c r="CD22" i="1"/>
  <c r="CE22" i="1"/>
  <c r="CF22" i="1"/>
  <c r="CG22" i="1"/>
  <c r="CH22" i="1"/>
  <c r="CI22" i="1"/>
  <c r="CJ22" i="1"/>
  <c r="CK22" i="1"/>
  <c r="CL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G22" i="1"/>
  <c r="DH22" i="1"/>
  <c r="DI22" i="1"/>
  <c r="DJ22" i="1"/>
  <c r="DK22" i="1"/>
  <c r="DL22" i="1"/>
  <c r="DM22" i="1"/>
  <c r="DN22" i="1"/>
  <c r="DO22" i="1"/>
  <c r="DP22" i="1"/>
  <c r="DQ22" i="1"/>
  <c r="DR22" i="1"/>
  <c r="DS22" i="1"/>
  <c r="DT22" i="1"/>
  <c r="DU22" i="1"/>
  <c r="DV22" i="1"/>
  <c r="DW22" i="1"/>
  <c r="DX22" i="1"/>
  <c r="DY22" i="1"/>
  <c r="DZ22" i="1"/>
  <c r="EA22" i="1"/>
  <c r="EB22" i="1"/>
  <c r="EC22" i="1"/>
  <c r="ED22" i="1"/>
  <c r="EE22" i="1"/>
  <c r="EF22" i="1"/>
  <c r="EG22" i="1"/>
  <c r="EH22" i="1"/>
  <c r="EI22" i="1"/>
  <c r="EJ22" i="1"/>
  <c r="EK22" i="1"/>
  <c r="EL22" i="1"/>
  <c r="EM22" i="1"/>
  <c r="EN22" i="1"/>
  <c r="EO22" i="1"/>
  <c r="EP22" i="1"/>
  <c r="EQ22" i="1"/>
  <c r="ER22" i="1"/>
  <c r="ES22" i="1"/>
  <c r="ET22" i="1"/>
  <c r="EU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FP22" i="1"/>
  <c r="FQ22" i="1"/>
  <c r="FR22" i="1"/>
  <c r="FS22" i="1"/>
  <c r="FT22" i="1"/>
  <c r="FU22" i="1"/>
  <c r="FV22" i="1"/>
  <c r="FW22" i="1"/>
  <c r="FX22" i="1"/>
  <c r="FY22" i="1"/>
  <c r="FZ22" i="1"/>
  <c r="GA22" i="1"/>
  <c r="GB22" i="1"/>
  <c r="GC22" i="1"/>
  <c r="GD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D24" i="1"/>
  <c r="E26" i="1"/>
  <c r="Z26" i="1"/>
  <c r="AA26" i="1"/>
  <c r="AB26" i="1"/>
  <c r="AC26" i="1"/>
  <c r="AD26" i="1"/>
  <c r="AE26" i="1"/>
  <c r="AF26" i="1"/>
  <c r="AG26" i="1"/>
  <c r="AH26" i="1"/>
  <c r="AI26" i="1"/>
  <c r="AJ26" i="1"/>
  <c r="AK26" i="1"/>
  <c r="AL26" i="1"/>
  <c r="AM26" i="1"/>
  <c r="AN26" i="1"/>
  <c r="BE26" i="1"/>
  <c r="BF26" i="1"/>
  <c r="BG26" i="1"/>
  <c r="BH26" i="1"/>
  <c r="BI26" i="1"/>
  <c r="BJ26" i="1"/>
  <c r="BK26" i="1"/>
  <c r="BL26" i="1"/>
  <c r="BM26" i="1"/>
  <c r="BN26" i="1"/>
  <c r="BO26" i="1"/>
  <c r="BP26" i="1"/>
  <c r="BQ26" i="1"/>
  <c r="BR26" i="1"/>
  <c r="BS26" i="1"/>
  <c r="BT26" i="1"/>
  <c r="BU26" i="1"/>
  <c r="BV26" i="1"/>
  <c r="BW26" i="1"/>
  <c r="BX26" i="1"/>
  <c r="BY26" i="1"/>
  <c r="BZ26" i="1"/>
  <c r="CA26" i="1"/>
  <c r="CB26" i="1"/>
  <c r="CC26" i="1"/>
  <c r="CD26" i="1"/>
  <c r="CE26" i="1"/>
  <c r="CF26" i="1"/>
  <c r="CG26" i="1"/>
  <c r="CH26" i="1"/>
  <c r="CI26" i="1"/>
  <c r="CJ26" i="1"/>
  <c r="CK26" i="1"/>
  <c r="CL26" i="1"/>
  <c r="CM26" i="1"/>
  <c r="CN26" i="1"/>
  <c r="CO26" i="1"/>
  <c r="CP26" i="1"/>
  <c r="CQ26" i="1"/>
  <c r="CR26" i="1"/>
  <c r="CS26" i="1"/>
  <c r="CT26" i="1"/>
  <c r="CU26" i="1"/>
  <c r="CV26" i="1"/>
  <c r="CW26" i="1"/>
  <c r="CX26" i="1"/>
  <c r="CY26" i="1"/>
  <c r="CZ26" i="1"/>
  <c r="DA26" i="1"/>
  <c r="DB26" i="1"/>
  <c r="DC26" i="1"/>
  <c r="DD26" i="1"/>
  <c r="DE26" i="1"/>
  <c r="DF26" i="1"/>
  <c r="DG26" i="1"/>
  <c r="DH26" i="1"/>
  <c r="DI26" i="1"/>
  <c r="DJ26" i="1"/>
  <c r="DK26" i="1"/>
  <c r="DL26" i="1"/>
  <c r="DM26" i="1"/>
  <c r="DN26" i="1"/>
  <c r="DO26" i="1"/>
  <c r="DP26" i="1"/>
  <c r="DQ26" i="1"/>
  <c r="DR26" i="1"/>
  <c r="DS26" i="1"/>
  <c r="DT26" i="1"/>
  <c r="DU26" i="1"/>
  <c r="DV26" i="1"/>
  <c r="DW26" i="1"/>
  <c r="DX26" i="1"/>
  <c r="DY26" i="1"/>
  <c r="DZ26" i="1"/>
  <c r="EA26" i="1"/>
  <c r="EB26" i="1"/>
  <c r="EC26" i="1"/>
  <c r="ED26" i="1"/>
  <c r="EE26" i="1"/>
  <c r="EF26" i="1"/>
  <c r="EG26" i="1"/>
  <c r="EH26" i="1"/>
  <c r="EI26" i="1"/>
  <c r="EJ26" i="1"/>
  <c r="EK26" i="1"/>
  <c r="EL26" i="1"/>
  <c r="EM26" i="1"/>
  <c r="EN26" i="1"/>
  <c r="EO26" i="1"/>
  <c r="EP26" i="1"/>
  <c r="EQ26" i="1"/>
  <c r="ER26" i="1"/>
  <c r="ES26" i="1"/>
  <c r="ET26" i="1"/>
  <c r="EU26" i="1"/>
  <c r="EV26" i="1"/>
  <c r="EW26" i="1"/>
  <c r="EX26" i="1"/>
  <c r="EY26" i="1"/>
  <c r="EZ26" i="1"/>
  <c r="FA26" i="1"/>
  <c r="FB26" i="1"/>
  <c r="FC26" i="1"/>
  <c r="FD26" i="1"/>
  <c r="FE26" i="1"/>
  <c r="FF26" i="1"/>
  <c r="FG26" i="1"/>
  <c r="FH26" i="1"/>
  <c r="FI26" i="1"/>
  <c r="FJ26" i="1"/>
  <c r="FK26" i="1"/>
  <c r="FL26" i="1"/>
  <c r="FM26" i="1"/>
  <c r="FN26" i="1"/>
  <c r="FO26" i="1"/>
  <c r="FP26" i="1"/>
  <c r="FQ26" i="1"/>
  <c r="FR26" i="1"/>
  <c r="FS26" i="1"/>
  <c r="FT26" i="1"/>
  <c r="FU26" i="1"/>
  <c r="FV26" i="1"/>
  <c r="FW26" i="1"/>
  <c r="FX26" i="1"/>
  <c r="FY26" i="1"/>
  <c r="FZ26" i="1"/>
  <c r="GA26" i="1"/>
  <c r="GB26" i="1"/>
  <c r="GC26" i="1"/>
  <c r="GD26" i="1"/>
  <c r="GE26" i="1"/>
  <c r="GF26" i="1"/>
  <c r="GG26" i="1"/>
  <c r="GH26" i="1"/>
  <c r="GI26" i="1"/>
  <c r="GJ26" i="1"/>
  <c r="GK26" i="1"/>
  <c r="GL26" i="1"/>
  <c r="GM26" i="1"/>
  <c r="GN26" i="1"/>
  <c r="GO26" i="1"/>
  <c r="GP26" i="1"/>
  <c r="GQ26" i="1"/>
  <c r="GR26" i="1"/>
  <c r="GS26" i="1"/>
  <c r="GT26" i="1"/>
  <c r="GU26" i="1"/>
  <c r="GV26" i="1"/>
  <c r="GW26" i="1"/>
  <c r="GX26" i="1"/>
  <c r="D28" i="1"/>
  <c r="E30" i="1"/>
  <c r="Z30" i="1"/>
  <c r="AA30" i="1"/>
  <c r="AM30" i="1"/>
  <c r="AN30" i="1"/>
  <c r="BE30" i="1"/>
  <c r="BF30" i="1"/>
  <c r="BG30" i="1"/>
  <c r="BH30" i="1"/>
  <c r="BI30" i="1"/>
  <c r="BJ30" i="1"/>
  <c r="BK30" i="1"/>
  <c r="BL30" i="1"/>
  <c r="BM30" i="1"/>
  <c r="BN30" i="1"/>
  <c r="BO30" i="1"/>
  <c r="BP30" i="1"/>
  <c r="BQ30" i="1"/>
  <c r="BR30" i="1"/>
  <c r="BS30" i="1"/>
  <c r="BT30" i="1"/>
  <c r="BU30" i="1"/>
  <c r="BV30" i="1"/>
  <c r="BW30" i="1"/>
  <c r="CN30" i="1"/>
  <c r="CO30" i="1"/>
  <c r="CP30" i="1"/>
  <c r="CQ30" i="1"/>
  <c r="CR30" i="1"/>
  <c r="CS30" i="1"/>
  <c r="CT30" i="1"/>
  <c r="CU30" i="1"/>
  <c r="CV30" i="1"/>
  <c r="CW30" i="1"/>
  <c r="CX30" i="1"/>
  <c r="CY30" i="1"/>
  <c r="CZ30" i="1"/>
  <c r="DA30" i="1"/>
  <c r="DB30" i="1"/>
  <c r="DC30" i="1"/>
  <c r="DD30" i="1"/>
  <c r="DE30" i="1"/>
  <c r="DF30" i="1"/>
  <c r="DG30" i="1"/>
  <c r="DH30" i="1"/>
  <c r="DI30" i="1"/>
  <c r="DJ30" i="1"/>
  <c r="DK30" i="1"/>
  <c r="DL30" i="1"/>
  <c r="DM30" i="1"/>
  <c r="DN30" i="1"/>
  <c r="DO30" i="1"/>
  <c r="DP30" i="1"/>
  <c r="DQ30" i="1"/>
  <c r="DR30" i="1"/>
  <c r="DS30" i="1"/>
  <c r="DT30" i="1"/>
  <c r="DU30" i="1"/>
  <c r="DV30" i="1"/>
  <c r="DW30" i="1"/>
  <c r="DX30" i="1"/>
  <c r="DY30" i="1"/>
  <c r="DZ30" i="1"/>
  <c r="EA30" i="1"/>
  <c r="EB30" i="1"/>
  <c r="EC30" i="1"/>
  <c r="ED30" i="1"/>
  <c r="EE30" i="1"/>
  <c r="EF30" i="1"/>
  <c r="EG30" i="1"/>
  <c r="EH30" i="1"/>
  <c r="EI30" i="1"/>
  <c r="EJ30" i="1"/>
  <c r="EK30" i="1"/>
  <c r="EL30" i="1"/>
  <c r="EM30" i="1"/>
  <c r="EN30" i="1"/>
  <c r="EO30" i="1"/>
  <c r="EP30" i="1"/>
  <c r="EQ30" i="1"/>
  <c r="ER30" i="1"/>
  <c r="ES30" i="1"/>
  <c r="ET30" i="1"/>
  <c r="EU30" i="1"/>
  <c r="EV30" i="1"/>
  <c r="EW30" i="1"/>
  <c r="EX30" i="1"/>
  <c r="EY30" i="1"/>
  <c r="EZ30" i="1"/>
  <c r="FA30" i="1"/>
  <c r="FB30" i="1"/>
  <c r="FC30" i="1"/>
  <c r="FD30" i="1"/>
  <c r="FE30" i="1"/>
  <c r="FF30" i="1"/>
  <c r="FG30" i="1"/>
  <c r="FH30" i="1"/>
  <c r="FI30" i="1"/>
  <c r="FJ30" i="1"/>
  <c r="FK30" i="1"/>
  <c r="FL30" i="1"/>
  <c r="FM30" i="1"/>
  <c r="FN30" i="1"/>
  <c r="FO30" i="1"/>
  <c r="FP30" i="1"/>
  <c r="FQ30" i="1"/>
  <c r="FR30" i="1"/>
  <c r="FS30" i="1"/>
  <c r="FT30" i="1"/>
  <c r="FU30" i="1"/>
  <c r="FV30" i="1"/>
  <c r="FW30" i="1"/>
  <c r="FX30" i="1"/>
  <c r="FY30" i="1"/>
  <c r="FZ30" i="1"/>
  <c r="GA30" i="1"/>
  <c r="GB30" i="1"/>
  <c r="GC30" i="1"/>
  <c r="GD30" i="1"/>
  <c r="GE30" i="1"/>
  <c r="GF30" i="1"/>
  <c r="GG30" i="1"/>
  <c r="GH30" i="1"/>
  <c r="GI30" i="1"/>
  <c r="GJ30" i="1"/>
  <c r="GK30" i="1"/>
  <c r="GL30" i="1"/>
  <c r="GM30" i="1"/>
  <c r="GN30" i="1"/>
  <c r="GO30" i="1"/>
  <c r="GP30" i="1"/>
  <c r="GQ30" i="1"/>
  <c r="GR30" i="1"/>
  <c r="GS30" i="1"/>
  <c r="GT30" i="1"/>
  <c r="GU30" i="1"/>
  <c r="GV30" i="1"/>
  <c r="GW30" i="1"/>
  <c r="GX30" i="1"/>
  <c r="C32" i="1"/>
  <c r="D32" i="1"/>
  <c r="I32" i="1"/>
  <c r="CX1" i="3" s="1"/>
  <c r="U32" i="1"/>
  <c r="AC32" i="1"/>
  <c r="AE32" i="1"/>
  <c r="AF32" i="1"/>
  <c r="AG32" i="1"/>
  <c r="AH32" i="1"/>
  <c r="AI32" i="1"/>
  <c r="CW32" i="1" s="1"/>
  <c r="V32" i="1" s="1"/>
  <c r="AJ32" i="1"/>
  <c r="CQ32" i="1"/>
  <c r="P32" i="1" s="1"/>
  <c r="CT32" i="1"/>
  <c r="S32" i="1" s="1"/>
  <c r="CU32" i="1"/>
  <c r="T32" i="1" s="1"/>
  <c r="CV32" i="1"/>
  <c r="CX32" i="1"/>
  <c r="W32" i="1" s="1"/>
  <c r="FR32" i="1"/>
  <c r="GL32" i="1"/>
  <c r="GO32" i="1"/>
  <c r="GP32" i="1"/>
  <c r="GV32" i="1"/>
  <c r="GX32" i="1"/>
  <c r="HC32" i="1"/>
  <c r="I33" i="1"/>
  <c r="T33" i="1"/>
  <c r="AC33" i="1"/>
  <c r="AD33" i="1"/>
  <c r="AE33" i="1"/>
  <c r="CS33" i="1" s="1"/>
  <c r="R33" i="1" s="1"/>
  <c r="AF33" i="1"/>
  <c r="CT33" i="1" s="1"/>
  <c r="S33" i="1" s="1"/>
  <c r="CZ33" i="1" s="1"/>
  <c r="Y33" i="1" s="1"/>
  <c r="AG33" i="1"/>
  <c r="AH33" i="1"/>
  <c r="CV33" i="1" s="1"/>
  <c r="U33" i="1" s="1"/>
  <c r="AI33" i="1"/>
  <c r="CW33" i="1" s="1"/>
  <c r="V33" i="1" s="1"/>
  <c r="AJ33" i="1"/>
  <c r="CX33" i="1" s="1"/>
  <c r="W33" i="1" s="1"/>
  <c r="CQ33" i="1"/>
  <c r="P33" i="1" s="1"/>
  <c r="CU33" i="1"/>
  <c r="CY33" i="1"/>
  <c r="X33" i="1" s="1"/>
  <c r="FR33" i="1"/>
  <c r="GL33" i="1"/>
  <c r="GO33" i="1"/>
  <c r="GP33" i="1"/>
  <c r="GV33" i="1"/>
  <c r="HC33" i="1" s="1"/>
  <c r="GX33" i="1" s="1"/>
  <c r="I34" i="1"/>
  <c r="W34" i="1"/>
  <c r="AC34" i="1"/>
  <c r="AD34" i="1"/>
  <c r="CR34" i="1" s="1"/>
  <c r="Q34" i="1" s="1"/>
  <c r="AE34" i="1"/>
  <c r="AF34" i="1"/>
  <c r="AG34" i="1"/>
  <c r="CU34" i="1" s="1"/>
  <c r="T34" i="1" s="1"/>
  <c r="AH34" i="1"/>
  <c r="CV34" i="1" s="1"/>
  <c r="U34" i="1" s="1"/>
  <c r="AI34" i="1"/>
  <c r="AJ34" i="1"/>
  <c r="CS34" i="1"/>
  <c r="R34" i="1" s="1"/>
  <c r="CT34" i="1"/>
  <c r="S34" i="1" s="1"/>
  <c r="CW34" i="1"/>
  <c r="V34" i="1" s="1"/>
  <c r="CX34" i="1"/>
  <c r="FR34" i="1"/>
  <c r="GL34" i="1"/>
  <c r="GO34" i="1"/>
  <c r="GP34" i="1"/>
  <c r="GV34" i="1"/>
  <c r="HC34" i="1"/>
  <c r="GX34" i="1" s="1"/>
  <c r="I35" i="1"/>
  <c r="AB35" i="1"/>
  <c r="AC35" i="1"/>
  <c r="AE35" i="1"/>
  <c r="AD35" i="1" s="1"/>
  <c r="CR35" i="1" s="1"/>
  <c r="AF35" i="1"/>
  <c r="CT35" i="1" s="1"/>
  <c r="AG35" i="1"/>
  <c r="AH35" i="1"/>
  <c r="AI35" i="1"/>
  <c r="AJ35" i="1"/>
  <c r="CX35" i="1" s="1"/>
  <c r="CQ35" i="1"/>
  <c r="CS35" i="1"/>
  <c r="R35" i="1" s="1"/>
  <c r="CU35" i="1"/>
  <c r="CV35" i="1"/>
  <c r="CW35" i="1"/>
  <c r="V35" i="1" s="1"/>
  <c r="FR35" i="1"/>
  <c r="GL35" i="1"/>
  <c r="GO35" i="1"/>
  <c r="GP35" i="1"/>
  <c r="GV35" i="1"/>
  <c r="HC35" i="1"/>
  <c r="I36" i="1"/>
  <c r="U36" i="1"/>
  <c r="AC36" i="1"/>
  <c r="AE36" i="1"/>
  <c r="AF36" i="1"/>
  <c r="AG36" i="1"/>
  <c r="AH36" i="1"/>
  <c r="AI36" i="1"/>
  <c r="CW36" i="1" s="1"/>
  <c r="V36" i="1" s="1"/>
  <c r="AJ36" i="1"/>
  <c r="CQ36" i="1"/>
  <c r="P36" i="1" s="1"/>
  <c r="CT36" i="1"/>
  <c r="S36" i="1" s="1"/>
  <c r="CU36" i="1"/>
  <c r="T36" i="1" s="1"/>
  <c r="CV36" i="1"/>
  <c r="CX36" i="1"/>
  <c r="W36" i="1" s="1"/>
  <c r="FR36" i="1"/>
  <c r="GL36" i="1"/>
  <c r="GO36" i="1"/>
  <c r="GP36" i="1"/>
  <c r="GV36" i="1"/>
  <c r="HC36" i="1" s="1"/>
  <c r="GX36" i="1"/>
  <c r="C37" i="1"/>
  <c r="D37" i="1"/>
  <c r="AC37" i="1"/>
  <c r="AB37" i="1" s="1"/>
  <c r="AE37" i="1"/>
  <c r="AD37" i="1" s="1"/>
  <c r="AF37" i="1"/>
  <c r="AG37" i="1"/>
  <c r="AH37" i="1"/>
  <c r="AI37" i="1"/>
  <c r="CW37" i="1" s="1"/>
  <c r="V37" i="1" s="1"/>
  <c r="AJ37" i="1"/>
  <c r="CQ37" i="1"/>
  <c r="P37" i="1" s="1"/>
  <c r="CP37" i="1" s="1"/>
  <c r="O37" i="1" s="1"/>
  <c r="CR37" i="1"/>
  <c r="Q37" i="1" s="1"/>
  <c r="CT37" i="1"/>
  <c r="S37" i="1" s="1"/>
  <c r="CU37" i="1"/>
  <c r="T37" i="1" s="1"/>
  <c r="CV37" i="1"/>
  <c r="U37" i="1" s="1"/>
  <c r="CX37" i="1"/>
  <c r="W37" i="1" s="1"/>
  <c r="FR37" i="1"/>
  <c r="GL37" i="1"/>
  <c r="GN37" i="1"/>
  <c r="GP37" i="1"/>
  <c r="GV37" i="1"/>
  <c r="HC37" i="1" s="1"/>
  <c r="GX37" i="1" s="1"/>
  <c r="AC38" i="1"/>
  <c r="AE38" i="1"/>
  <c r="AD38" i="1" s="1"/>
  <c r="CR38" i="1" s="1"/>
  <c r="Q38" i="1" s="1"/>
  <c r="AF38" i="1"/>
  <c r="AG38" i="1"/>
  <c r="AH38" i="1"/>
  <c r="AI38" i="1"/>
  <c r="CW38" i="1" s="1"/>
  <c r="V38" i="1" s="1"/>
  <c r="AJ38" i="1"/>
  <c r="CQ38" i="1"/>
  <c r="P38" i="1" s="1"/>
  <c r="CT38" i="1"/>
  <c r="S38" i="1" s="1"/>
  <c r="CU38" i="1"/>
  <c r="T38" i="1" s="1"/>
  <c r="CV38" i="1"/>
  <c r="U38" i="1" s="1"/>
  <c r="CX38" i="1"/>
  <c r="W38" i="1" s="1"/>
  <c r="CY38" i="1"/>
  <c r="X38" i="1" s="1"/>
  <c r="CZ38" i="1"/>
  <c r="Y38" i="1" s="1"/>
  <c r="GL38" i="1"/>
  <c r="GN38" i="1"/>
  <c r="GO38" i="1"/>
  <c r="GP38" i="1"/>
  <c r="GV38" i="1"/>
  <c r="HC38" i="1" s="1"/>
  <c r="GX38" i="1" s="1"/>
  <c r="U39" i="1"/>
  <c r="AC39" i="1"/>
  <c r="CQ39" i="1" s="1"/>
  <c r="P39" i="1" s="1"/>
  <c r="AE39" i="1"/>
  <c r="AF39" i="1"/>
  <c r="AG39" i="1"/>
  <c r="CU39" i="1" s="1"/>
  <c r="T39" i="1" s="1"/>
  <c r="AH39" i="1"/>
  <c r="AI39" i="1"/>
  <c r="CW39" i="1" s="1"/>
  <c r="V39" i="1" s="1"/>
  <c r="AJ39" i="1"/>
  <c r="CT39" i="1"/>
  <c r="S39" i="1" s="1"/>
  <c r="CV39" i="1"/>
  <c r="CX39" i="1"/>
  <c r="W39" i="1" s="1"/>
  <c r="FR39" i="1"/>
  <c r="GL39" i="1"/>
  <c r="GO39" i="1"/>
  <c r="GP39" i="1"/>
  <c r="GV39" i="1"/>
  <c r="HC39" i="1" s="1"/>
  <c r="GX39" i="1"/>
  <c r="B41" i="1"/>
  <c r="B30" i="1" s="1"/>
  <c r="C41" i="1"/>
  <c r="C30" i="1" s="1"/>
  <c r="D41" i="1"/>
  <c r="D30" i="1" s="1"/>
  <c r="F41" i="1"/>
  <c r="F30" i="1" s="1"/>
  <c r="G41" i="1"/>
  <c r="G30" i="1" s="1"/>
  <c r="BX41" i="1"/>
  <c r="CG41" i="1" s="1"/>
  <c r="BZ41" i="1"/>
  <c r="BZ30" i="1" s="1"/>
  <c r="CD41" i="1"/>
  <c r="CD30" i="1" s="1"/>
  <c r="CK41" i="1"/>
  <c r="CK30" i="1" s="1"/>
  <c r="CL41" i="1"/>
  <c r="CL30" i="1" s="1"/>
  <c r="CM41" i="1"/>
  <c r="CM30" i="1" s="1"/>
  <c r="B71" i="1"/>
  <c r="B26" i="1" s="1"/>
  <c r="C71" i="1"/>
  <c r="C26" i="1" s="1"/>
  <c r="D71" i="1"/>
  <c r="D26" i="1" s="1"/>
  <c r="F71" i="1"/>
  <c r="F26" i="1" s="1"/>
  <c r="G71" i="1"/>
  <c r="G26" i="1" s="1"/>
  <c r="B101" i="1"/>
  <c r="B22" i="1" s="1"/>
  <c r="C101" i="1"/>
  <c r="C22" i="1" s="1"/>
  <c r="D101" i="1"/>
  <c r="D22" i="1" s="1"/>
  <c r="F101" i="1"/>
  <c r="F22" i="1" s="1"/>
  <c r="G101" i="1"/>
  <c r="G22" i="1" s="1"/>
  <c r="B131" i="1"/>
  <c r="B18" i="1" s="1"/>
  <c r="C131" i="1"/>
  <c r="C18" i="1" s="1"/>
  <c r="D131" i="1"/>
  <c r="D18" i="1" s="1"/>
  <c r="F131" i="1"/>
  <c r="F18" i="1" s="1"/>
  <c r="G131" i="1"/>
  <c r="G18" i="1" s="1"/>
  <c r="AD39" i="1" l="1"/>
  <c r="CR39" i="1" s="1"/>
  <c r="Q39" i="1" s="1"/>
  <c r="CP39" i="1" s="1"/>
  <c r="O39" i="1" s="1"/>
  <c r="CS39" i="1"/>
  <c r="R39" i="1" s="1"/>
  <c r="CZ39" i="1" s="1"/>
  <c r="Y39" i="1" s="1"/>
  <c r="AB38" i="1"/>
  <c r="AC41" i="1"/>
  <c r="CY39" i="1"/>
  <c r="X39" i="1" s="1"/>
  <c r="CP38" i="1"/>
  <c r="O38" i="1" s="1"/>
  <c r="GM38" i="1" s="1"/>
  <c r="FR38" i="1"/>
  <c r="BY41" i="1" s="1"/>
  <c r="CY37" i="1"/>
  <c r="X37" i="1" s="1"/>
  <c r="CY34" i="1"/>
  <c r="X34" i="1" s="1"/>
  <c r="CZ34" i="1"/>
  <c r="Y34" i="1" s="1"/>
  <c r="AF41" i="1"/>
  <c r="CG30" i="1"/>
  <c r="AX41" i="1"/>
  <c r="BD41" i="1"/>
  <c r="AI41" i="1"/>
  <c r="AO41" i="1"/>
  <c r="AB39" i="1"/>
  <c r="CS38" i="1"/>
  <c r="R38" i="1" s="1"/>
  <c r="CS37" i="1"/>
  <c r="R37" i="1" s="1"/>
  <c r="CZ37" i="1" s="1"/>
  <c r="Y37" i="1" s="1"/>
  <c r="GO37" i="1" s="1"/>
  <c r="CC41" i="1" s="1"/>
  <c r="GX35" i="1"/>
  <c r="CJ41" i="1" s="1"/>
  <c r="T35" i="1"/>
  <c r="AG41" i="1" s="1"/>
  <c r="Q35" i="1"/>
  <c r="CQ34" i="1"/>
  <c r="P34" i="1" s="1"/>
  <c r="CP34" i="1" s="1"/>
  <c r="O34" i="1" s="1"/>
  <c r="AB34" i="1"/>
  <c r="CR33" i="1"/>
  <c r="Q33" i="1" s="1"/>
  <c r="CP33" i="1" s="1"/>
  <c r="O33" i="1" s="1"/>
  <c r="AB33" i="1"/>
  <c r="BX30" i="1"/>
  <c r="BC41" i="1"/>
  <c r="AU41" i="1"/>
  <c r="AQ41" i="1"/>
  <c r="CS36" i="1"/>
  <c r="R36" i="1" s="1"/>
  <c r="CZ36" i="1" s="1"/>
  <c r="Y36" i="1" s="1"/>
  <c r="AD36" i="1"/>
  <c r="P35" i="1"/>
  <c r="CS32" i="1"/>
  <c r="R32" i="1" s="1"/>
  <c r="CY32" i="1" s="1"/>
  <c r="X32" i="1" s="1"/>
  <c r="AD32" i="1"/>
  <c r="CR32" i="1" s="1"/>
  <c r="Q32" i="1" s="1"/>
  <c r="CP32" i="1" s="1"/>
  <c r="O32" i="1" s="1"/>
  <c r="BB41" i="1"/>
  <c r="U35" i="1"/>
  <c r="AH41" i="1" s="1"/>
  <c r="W35" i="1"/>
  <c r="AJ41" i="1" s="1"/>
  <c r="S35" i="1"/>
  <c r="AB32" i="1"/>
  <c r="CX23" i="3"/>
  <c r="CX19" i="3"/>
  <c r="CX15" i="3"/>
  <c r="CX11" i="3"/>
  <c r="CX7" i="3"/>
  <c r="CX3" i="3"/>
  <c r="CX24" i="3"/>
  <c r="CX20" i="3"/>
  <c r="CX16" i="3"/>
  <c r="CX12" i="3"/>
  <c r="CX8" i="3"/>
  <c r="CX4" i="3"/>
  <c r="CX21" i="3"/>
  <c r="CX17" i="3"/>
  <c r="CX13" i="3"/>
  <c r="CX9" i="3"/>
  <c r="CX5" i="3"/>
  <c r="AG30" i="1" l="1"/>
  <c r="T41" i="1"/>
  <c r="GM39" i="1"/>
  <c r="GN39" i="1"/>
  <c r="GM37" i="1"/>
  <c r="CC30" i="1"/>
  <c r="AT41" i="1"/>
  <c r="BY30" i="1"/>
  <c r="AP41" i="1"/>
  <c r="CI41" i="1"/>
  <c r="AJ30" i="1"/>
  <c r="W41" i="1"/>
  <c r="GM32" i="1"/>
  <c r="GN33" i="1"/>
  <c r="GM33" i="1"/>
  <c r="AH30" i="1"/>
  <c r="U41" i="1"/>
  <c r="CY36" i="1"/>
  <c r="X36" i="1" s="1"/>
  <c r="BD71" i="1"/>
  <c r="BD30" i="1"/>
  <c r="F66" i="1"/>
  <c r="BB30" i="1"/>
  <c r="BB71" i="1"/>
  <c r="F54" i="1"/>
  <c r="CP35" i="1"/>
  <c r="O35" i="1" s="1"/>
  <c r="AQ30" i="1"/>
  <c r="AQ71" i="1"/>
  <c r="F51" i="1"/>
  <c r="GM34" i="1"/>
  <c r="GN34" i="1"/>
  <c r="AO30" i="1"/>
  <c r="F45" i="1"/>
  <c r="AO71" i="1"/>
  <c r="AX30" i="1"/>
  <c r="F48" i="1"/>
  <c r="AX71" i="1"/>
  <c r="CZ32" i="1"/>
  <c r="Y32" i="1" s="1"/>
  <c r="AE41" i="1"/>
  <c r="CJ30" i="1"/>
  <c r="BA41" i="1"/>
  <c r="AC30" i="1"/>
  <c r="CH41" i="1"/>
  <c r="CF41" i="1"/>
  <c r="P41" i="1"/>
  <c r="CE41" i="1"/>
  <c r="CY35" i="1"/>
  <c r="X35" i="1" s="1"/>
  <c r="AK41" i="1" s="1"/>
  <c r="CZ35" i="1"/>
  <c r="Y35" i="1" s="1"/>
  <c r="AB36" i="1"/>
  <c r="CR36" i="1"/>
  <c r="Q36" i="1" s="1"/>
  <c r="CP36" i="1" s="1"/>
  <c r="O36" i="1" s="1"/>
  <c r="AU30" i="1"/>
  <c r="F60" i="1"/>
  <c r="AU71" i="1"/>
  <c r="BC30" i="1"/>
  <c r="BC71" i="1"/>
  <c r="F57" i="1"/>
  <c r="AI30" i="1"/>
  <c r="V41" i="1"/>
  <c r="AF30" i="1"/>
  <c r="S41" i="1"/>
  <c r="AK30" i="1" l="1"/>
  <c r="X41" i="1"/>
  <c r="F87" i="1"/>
  <c r="BC26" i="1"/>
  <c r="BC101" i="1"/>
  <c r="CF30" i="1"/>
  <c r="AW41" i="1"/>
  <c r="AQ26" i="1"/>
  <c r="AQ101" i="1"/>
  <c r="F81" i="1"/>
  <c r="BD26" i="1"/>
  <c r="BD101" i="1"/>
  <c r="F96" i="1"/>
  <c r="CA41" i="1"/>
  <c r="V30" i="1"/>
  <c r="F64" i="1"/>
  <c r="V71" i="1"/>
  <c r="CH30" i="1"/>
  <c r="AY41" i="1"/>
  <c r="AU26" i="1"/>
  <c r="F90" i="1"/>
  <c r="AU101" i="1"/>
  <c r="AL41" i="1"/>
  <c r="AO26" i="1"/>
  <c r="F75" i="1"/>
  <c r="AO101" i="1"/>
  <c r="GM35" i="1"/>
  <c r="GN35" i="1"/>
  <c r="U30" i="1"/>
  <c r="U71" i="1"/>
  <c r="F63" i="1"/>
  <c r="AB41" i="1"/>
  <c r="AT30" i="1"/>
  <c r="F59" i="1"/>
  <c r="AT71" i="1"/>
  <c r="BB26" i="1"/>
  <c r="F84" i="1"/>
  <c r="BB101" i="1"/>
  <c r="AP30" i="1"/>
  <c r="AP71" i="1"/>
  <c r="F50" i="1"/>
  <c r="GM36" i="1"/>
  <c r="GN36" i="1"/>
  <c r="AE30" i="1"/>
  <c r="R41" i="1"/>
  <c r="W30" i="1"/>
  <c r="F65" i="1"/>
  <c r="W71" i="1"/>
  <c r="CE30" i="1"/>
  <c r="AV41" i="1"/>
  <c r="S30" i="1"/>
  <c r="F56" i="1"/>
  <c r="S71" i="1"/>
  <c r="AD41" i="1"/>
  <c r="F44" i="1"/>
  <c r="P71" i="1"/>
  <c r="P30" i="1"/>
  <c r="BA30" i="1"/>
  <c r="F61" i="1"/>
  <c r="BA71" i="1"/>
  <c r="AX26" i="1"/>
  <c r="F78" i="1"/>
  <c r="AX101" i="1"/>
  <c r="GN32" i="1"/>
  <c r="CB41" i="1" s="1"/>
  <c r="CI30" i="1"/>
  <c r="AZ41" i="1"/>
  <c r="T71" i="1"/>
  <c r="T30" i="1"/>
  <c r="F62" i="1"/>
  <c r="F52" i="1" l="1"/>
  <c r="AZ71" i="1"/>
  <c r="AZ30" i="1"/>
  <c r="F114" i="1"/>
  <c r="BB22" i="1"/>
  <c r="BB131" i="1"/>
  <c r="U26" i="1"/>
  <c r="U101" i="1"/>
  <c r="F93" i="1"/>
  <c r="AU22" i="1"/>
  <c r="F120" i="1"/>
  <c r="AU131" i="1"/>
  <c r="CB30" i="1"/>
  <c r="AS41" i="1"/>
  <c r="O41" i="1"/>
  <c r="AB30" i="1"/>
  <c r="BD22" i="1"/>
  <c r="F126" i="1"/>
  <c r="BD131" i="1"/>
  <c r="AD30" i="1"/>
  <c r="Q41" i="1"/>
  <c r="AV30" i="1"/>
  <c r="AV71" i="1"/>
  <c r="F46" i="1"/>
  <c r="AO22" i="1"/>
  <c r="F105" i="1"/>
  <c r="AO131" i="1"/>
  <c r="X30" i="1"/>
  <c r="X71" i="1"/>
  <c r="F67" i="1"/>
  <c r="S26" i="1"/>
  <c r="F86" i="1"/>
  <c r="S101" i="1"/>
  <c r="V26" i="1"/>
  <c r="V101" i="1"/>
  <c r="F94" i="1"/>
  <c r="BA26" i="1"/>
  <c r="F91" i="1"/>
  <c r="BA101" i="1"/>
  <c r="P26" i="1"/>
  <c r="F74" i="1"/>
  <c r="P101" i="1"/>
  <c r="F95" i="1"/>
  <c r="W26" i="1"/>
  <c r="W101" i="1"/>
  <c r="AP26" i="1"/>
  <c r="F80" i="1"/>
  <c r="AP101" i="1"/>
  <c r="T26" i="1"/>
  <c r="F92" i="1"/>
  <c r="T101" i="1"/>
  <c r="AX22" i="1"/>
  <c r="F108" i="1"/>
  <c r="AX131" i="1"/>
  <c r="AT26" i="1"/>
  <c r="F89" i="1"/>
  <c r="AT101" i="1"/>
  <c r="AL30" i="1"/>
  <c r="Y41" i="1"/>
  <c r="AY30" i="1"/>
  <c r="AY71" i="1"/>
  <c r="F49" i="1"/>
  <c r="AW30" i="1"/>
  <c r="F47" i="1"/>
  <c r="AW71" i="1"/>
  <c r="CA30" i="1"/>
  <c r="AR41" i="1"/>
  <c r="R30" i="1"/>
  <c r="F55" i="1"/>
  <c r="R71" i="1"/>
  <c r="AQ22" i="1"/>
  <c r="F111" i="1"/>
  <c r="AQ131" i="1"/>
  <c r="BC22" i="1"/>
  <c r="BC131" i="1"/>
  <c r="F117" i="1"/>
  <c r="R26" i="1" l="1"/>
  <c r="R101" i="1"/>
  <c r="F85" i="1"/>
  <c r="AY26" i="1"/>
  <c r="F79" i="1"/>
  <c r="AY101" i="1"/>
  <c r="W22" i="1"/>
  <c r="W131" i="1"/>
  <c r="F125" i="1"/>
  <c r="X26" i="1"/>
  <c r="X101" i="1"/>
  <c r="F97" i="1"/>
  <c r="Q30" i="1"/>
  <c r="F53" i="1"/>
  <c r="Q71" i="1"/>
  <c r="F110" i="1"/>
  <c r="G16" i="2" s="1"/>
  <c r="G18" i="2" s="1"/>
  <c r="AP22" i="1"/>
  <c r="AP131" i="1"/>
  <c r="AU18" i="1"/>
  <c r="F150" i="1"/>
  <c r="U22" i="1"/>
  <c r="F123" i="1"/>
  <c r="U131" i="1"/>
  <c r="AQ18" i="1"/>
  <c r="F141" i="1"/>
  <c r="AW26" i="1"/>
  <c r="AW101" i="1"/>
  <c r="F77" i="1"/>
  <c r="AT22" i="1"/>
  <c r="F119" i="1"/>
  <c r="F16" i="2" s="1"/>
  <c r="F18" i="2" s="1"/>
  <c r="AT131" i="1"/>
  <c r="S22" i="1"/>
  <c r="F116" i="1"/>
  <c r="J16" i="2" s="1"/>
  <c r="J18" i="2" s="1"/>
  <c r="S131" i="1"/>
  <c r="BC18" i="1"/>
  <c r="F147" i="1"/>
  <c r="AR30" i="1"/>
  <c r="F69" i="1"/>
  <c r="AR71" i="1"/>
  <c r="Y30" i="1"/>
  <c r="F68" i="1"/>
  <c r="Y71" i="1"/>
  <c r="T22" i="1"/>
  <c r="F122" i="1"/>
  <c r="T131" i="1"/>
  <c r="BA22" i="1"/>
  <c r="F121" i="1"/>
  <c r="BA131" i="1"/>
  <c r="V131" i="1"/>
  <c r="V22" i="1"/>
  <c r="F124" i="1"/>
  <c r="AO18" i="1"/>
  <c r="F135" i="1"/>
  <c r="AV26" i="1"/>
  <c r="AV101" i="1"/>
  <c r="F76" i="1"/>
  <c r="BD18" i="1"/>
  <c r="F156" i="1"/>
  <c r="O30" i="1"/>
  <c r="F43" i="1"/>
  <c r="O71" i="1"/>
  <c r="H16" i="2"/>
  <c r="H18" i="2" s="1"/>
  <c r="AX18" i="1"/>
  <c r="F138" i="1"/>
  <c r="P22" i="1"/>
  <c r="F104" i="1"/>
  <c r="P131" i="1"/>
  <c r="AS30" i="1"/>
  <c r="AS71" i="1"/>
  <c r="F58" i="1"/>
  <c r="BB18" i="1"/>
  <c r="F144" i="1"/>
  <c r="AZ26" i="1"/>
  <c r="AZ101" i="1"/>
  <c r="F82" i="1"/>
  <c r="Y26" i="1" l="1"/>
  <c r="Y101" i="1"/>
  <c r="F98" i="1"/>
  <c r="S18" i="1"/>
  <c r="F146" i="1"/>
  <c r="R131" i="1"/>
  <c r="R22" i="1"/>
  <c r="F115" i="1"/>
  <c r="AS26" i="1"/>
  <c r="F88" i="1"/>
  <c r="AS101" i="1"/>
  <c r="V18" i="1"/>
  <c r="F154" i="1"/>
  <c r="T18" i="1"/>
  <c r="F152" i="1"/>
  <c r="BA18" i="1"/>
  <c r="F151" i="1"/>
  <c r="W18" i="1"/>
  <c r="F155" i="1"/>
  <c r="AP18" i="1"/>
  <c r="F140" i="1"/>
  <c r="AY22" i="1"/>
  <c r="F109" i="1"/>
  <c r="AY131" i="1"/>
  <c r="O26" i="1"/>
  <c r="F73" i="1"/>
  <c r="O101" i="1"/>
  <c r="P18" i="1"/>
  <c r="F134" i="1"/>
  <c r="AV22" i="1"/>
  <c r="F106" i="1"/>
  <c r="AV131" i="1"/>
  <c r="AR26" i="1"/>
  <c r="F99" i="1"/>
  <c r="AR101" i="1"/>
  <c r="AT18" i="1"/>
  <c r="F149" i="1"/>
  <c r="AW22" i="1"/>
  <c r="AW131" i="1"/>
  <c r="F107" i="1"/>
  <c r="U18" i="1"/>
  <c r="F153" i="1"/>
  <c r="Q26" i="1"/>
  <c r="F83" i="1"/>
  <c r="Q101" i="1"/>
  <c r="X22" i="1"/>
  <c r="F127" i="1"/>
  <c r="X131" i="1"/>
  <c r="AZ22" i="1"/>
  <c r="AZ131" i="1"/>
  <c r="F112" i="1"/>
  <c r="AZ18" i="1" l="1"/>
  <c r="F142" i="1"/>
  <c r="X18" i="1"/>
  <c r="F157" i="1"/>
  <c r="AV18" i="1"/>
  <c r="F136" i="1"/>
  <c r="AY18" i="1"/>
  <c r="F139" i="1"/>
  <c r="AW18" i="1"/>
  <c r="F137" i="1"/>
  <c r="AR22" i="1"/>
  <c r="AR131" i="1"/>
  <c r="F129" i="1"/>
  <c r="O22" i="1"/>
  <c r="O131" i="1"/>
  <c r="F103" i="1"/>
  <c r="AS22" i="1"/>
  <c r="F118" i="1"/>
  <c r="E16" i="2" s="1"/>
  <c r="AS131" i="1"/>
  <c r="R18" i="1"/>
  <c r="F145" i="1"/>
  <c r="Y22" i="1"/>
  <c r="Y131" i="1"/>
  <c r="F128" i="1"/>
  <c r="Q22" i="1"/>
  <c r="F113" i="1"/>
  <c r="Q131" i="1"/>
  <c r="AR18" i="1" l="1"/>
  <c r="F159" i="1"/>
  <c r="F160" i="1" s="1"/>
  <c r="Q18" i="1"/>
  <c r="F143" i="1"/>
  <c r="Y18" i="1"/>
  <c r="F158" i="1"/>
  <c r="AS18" i="1"/>
  <c r="F148" i="1"/>
  <c r="O18" i="1"/>
  <c r="F133" i="1"/>
  <c r="I16" i="2"/>
  <c r="I18" i="2" s="1"/>
  <c r="E18" i="2"/>
  <c r="F161" i="1" l="1"/>
  <c r="F162" i="1" s="1"/>
</calcChain>
</file>

<file path=xl/sharedStrings.xml><?xml version="1.0" encoding="utf-8"?>
<sst xmlns="http://schemas.openxmlformats.org/spreadsheetml/2006/main" count="1625" uniqueCount="358">
  <si>
    <t>Smeta.RU  (495) 974-1589</t>
  </si>
  <si>
    <t>_PS_</t>
  </si>
  <si>
    <t>Smeta.RU</t>
  </si>
  <si>
    <t/>
  </si>
  <si>
    <t>Новый объект</t>
  </si>
  <si>
    <t>Выходной документ. Тест</t>
  </si>
  <si>
    <t>Сметные нормы списания</t>
  </si>
  <si>
    <t>Коды ценников</t>
  </si>
  <si>
    <t>ТСНБ-2014</t>
  </si>
  <si>
    <t>ТР для Версии 10: Центральные регионы (с уч. п-ма 2536-ИП/12/ГС от 27.11.12, 01/57049-ЮЛ от 27.04.2018) от 14.03.2019 г</t>
  </si>
  <si>
    <t>ТСНБ-2001 Московской области (редакция 2014 г версия 15.0)</t>
  </si>
  <si>
    <t>Поправки  для НБ 2014 года от 03.03.2016 ЭТАЛОН</t>
  </si>
  <si>
    <t>Новая локальная смета</t>
  </si>
  <si>
    <t>Монтаж оборудования</t>
  </si>
  <si>
    <t>Новый раздел</t>
  </si>
  <si>
    <t>Строение 1</t>
  </si>
  <si>
    <t>Новый подраздел</t>
  </si>
  <si>
    <t>Пусковая часть 2</t>
  </si>
  <si>
    <t>1</t>
  </si>
  <si>
    <t>06-01-005-4</t>
  </si>
  <si>
    <t>Устройство железобетонных фундаментов общего назначения объемом до 5 м3</t>
  </si>
  <si>
    <t>100 м3 бетона и железобетона в деле</t>
  </si>
  <si>
    <t>ТЕР Московской обл., 06-01-005-4, приказ Минстроя России №675/пр от 28.02.2017 № 260/пр</t>
  </si>
  <si>
    <t>)*1,25</t>
  </si>
  <si>
    <t>)*1,15</t>
  </si>
  <si>
    <t>Общестроительные работы</t>
  </si>
  <si>
    <t>Монолитные бетонные и железобетонные конструкции в промышленном строительстве</t>
  </si>
  <si>
    <t>ФЕР-06</t>
  </si>
  <si>
    <t>Поправка: МДС 81-35.2004, п.4.7</t>
  </si>
  <si>
    <t>1,1</t>
  </si>
  <si>
    <t>204-0100</t>
  </si>
  <si>
    <t>Горячекатаная арматурная сталь класса А-I, А-II, А-III</t>
  </si>
  <si>
    <t>т</t>
  </si>
  <si>
    <t>ТССЦ Московской обл., 204-0100, приказ Минстроя России №675/пр от 28.02.2017 № 255/пр</t>
  </si>
  <si>
    <t>1,2</t>
  </si>
  <si>
    <t>204-0109</t>
  </si>
  <si>
    <t>Горячекатанная арматурная сталь класса А500 С, диаметром 12 мм</t>
  </si>
  <si>
    <t>ТССЦ Московской обл., 204-0109, приказ Минстроя России №675/пр от 28.02.2017 № 255/пр</t>
  </si>
  <si>
    <t>1,3</t>
  </si>
  <si>
    <t>401-0066</t>
  </si>
  <si>
    <t>Бетон тяжелый, крупность заполнителя 20 мм, класс В15 (М200)</t>
  </si>
  <si>
    <t>комплекс работ</t>
  </si>
  <si>
    <t>ТССЦ Московской обл., 401-0066, приказ Минстроя России №675/пр от 28.02.2017 № 257/пр</t>
  </si>
  <si>
    <t>м3</t>
  </si>
  <si>
    <t>1,4</t>
  </si>
  <si>
    <t>Дог Цена</t>
  </si>
  <si>
    <t>Бетон тяжелый В12,5 F300 с учетом поставки</t>
  </si>
  <si>
    <t>1 м3</t>
  </si>
  <si>
    <t>[5 225 / 1,2] +  2% Заг.скл</t>
  </si>
  <si>
    <t>2</t>
  </si>
  <si>
    <t>м37-01-001-3</t>
  </si>
  <si>
    <t>Монтаж оборудования без механизмов на открытой площадке, масса оборудования 0,1 т</t>
  </si>
  <si>
    <t>1  ШТ.</t>
  </si>
  <si>
    <t>ТЕРм Московской обл., м37-01-001-3, приказ Минстроя России №675/пр от 28.02.2017 № 259/пр</t>
  </si>
  <si>
    <t>Монтажные работы</t>
  </si>
  <si>
    <t>Оборудование общего назначения</t>
  </si>
  <si>
    <t>мФЕР-37</t>
  </si>
  <si>
    <t>3</t>
  </si>
  <si>
    <t>Поставка</t>
  </si>
  <si>
    <t>Станок напольный</t>
  </si>
  <si>
    <t>КОМПЛ</t>
  </si>
  <si>
    <t>оборудование</t>
  </si>
  <si>
    <t>Оборудование</t>
  </si>
  <si>
    <t>оборудование (03)</t>
  </si>
  <si>
    <t>[1 988 000 / 1,2] +  4% Трансп +  1,2% Заг.скл</t>
  </si>
  <si>
    <t>4</t>
  </si>
  <si>
    <t>Бетон тяжелый В12,5 F600</t>
  </si>
  <si>
    <t>ПЗ</t>
  </si>
  <si>
    <t>Прямые затраты</t>
  </si>
  <si>
    <t>СтМатОб</t>
  </si>
  <si>
    <t>Стоимость материальных ресурсов (всего)</t>
  </si>
  <si>
    <t>СтМатОбЗак</t>
  </si>
  <si>
    <t>Стоимость материалов и оборудования заказчика</t>
  </si>
  <si>
    <t>СтМатОбПод</t>
  </si>
  <si>
    <t>Стоимость материалов и оборудования подрядчика</t>
  </si>
  <si>
    <t>СтМат</t>
  </si>
  <si>
    <t>Стоимость материалов (всего)</t>
  </si>
  <si>
    <t>СтМатЗак</t>
  </si>
  <si>
    <t>Стоимость материалов заказчика</t>
  </si>
  <si>
    <t>СтМатПод</t>
  </si>
  <si>
    <t>Стоимость материалов подрядчика</t>
  </si>
  <si>
    <t>Оборуд</t>
  </si>
  <si>
    <t>Стоимость оборудования (всего)</t>
  </si>
  <si>
    <t>ОборудЗак</t>
  </si>
  <si>
    <t>Стоимость оборудования заказчика</t>
  </si>
  <si>
    <t>ОборудПод</t>
  </si>
  <si>
    <t>Стоимость оборудования подрядчика</t>
  </si>
  <si>
    <t>ЭММ</t>
  </si>
  <si>
    <t>Эксплуатация машин</t>
  </si>
  <si>
    <t>ЭММсНРиСП</t>
  </si>
  <si>
    <t>Эксплуатация машин по ТСН-2001.16</t>
  </si>
  <si>
    <t>ЗПМ</t>
  </si>
  <si>
    <t>ЗП машинистов</t>
  </si>
  <si>
    <t>ОЗП</t>
  </si>
  <si>
    <t>Основная ЗП рабочих</t>
  </si>
  <si>
    <t>ОЗПсНРиСП</t>
  </si>
  <si>
    <t>Основная ЗП рабочих по ТСН-2001.16</t>
  </si>
  <si>
    <t>Строит</t>
  </si>
  <si>
    <t>Строительные работы с НР и СП</t>
  </si>
  <si>
    <t>Монтаж</t>
  </si>
  <si>
    <t>Монтажные работы с НР и СП</t>
  </si>
  <si>
    <t>Прочие</t>
  </si>
  <si>
    <t>Прочие работы с НР и СП</t>
  </si>
  <si>
    <t>ПрочиеЗатр</t>
  </si>
  <si>
    <t>Прочие затраты по ТСН-2001.16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</si>
  <si>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</si>
  <si>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</si>
  <si>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</si>
  <si>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</si>
  <si>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</si>
  <si>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</si>
  <si>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</si>
  <si>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</si>
  <si>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Перевозка</t>
  </si>
  <si>
    <t>Перевозка грузов</t>
  </si>
  <si>
    <t>НР</t>
  </si>
  <si>
    <t>Накладные расходы</t>
  </si>
  <si>
    <t>СмПриб</t>
  </si>
  <si>
    <t>Сметная прибыль</t>
  </si>
  <si>
    <t>Всего</t>
  </si>
  <si>
    <t>Всего с НР и СП</t>
  </si>
  <si>
    <t>ИР</t>
  </si>
  <si>
    <t>Итого по разделам:</t>
  </si>
  <si>
    <t>НДС</t>
  </si>
  <si>
    <t>НДС - 20%</t>
  </si>
  <si>
    <t>ВС</t>
  </si>
  <si>
    <t>Всего:</t>
  </si>
  <si>
    <t>СТР_РЕК</t>
  </si>
  <si>
    <t>СТРОИТЕЛЬСТВО и РЕКОНСТРУКЦИЯ  зданий и сооружений всех назначений</t>
  </si>
  <si>
    <t>РЕМ_ЖИЛ</t>
  </si>
  <si>
    <t>КАП. РЕМ. ЖИЛЫХ И ОБЩЕСТВЕННЫХ ЗДАНИЙ</t>
  </si>
  <si>
    <t>РЕМ_ПР</t>
  </si>
  <si>
    <t>КАП. РЕМ. ПРОИЗВОДСТВЕННЫХ ЗД, и СООРУЖЕНИЙ,  НАРУЖНЫХ ИНЖЕНЕРНЫХ СЕТЕЙ, УЛИЦ И ДОРОГ МЕСТНОГО ЗНАЧЕНИЯ, МОСТОВ И ПУТЕПРОВОДОВ</t>
  </si>
  <si>
    <t>УПР</t>
  </si>
  <si>
    <t>{вкл} - УПРОЩЕННОЕ НАЛОГООБЛОЖЕНИЕ</t>
  </si>
  <si>
    <t>Для всех  расценок. (  при применении упрощенной системы налогообложения)  · {УПР} - ( вкл.)    -  при упрощенной системе   ;  к = 0,9 к СП ( к= 0,7 к НР отменен с 1.01.11)  · {УПР} - ( выкл.) -  при  обычной системе налогообложения</t>
  </si>
  <si>
    <t>ХОЗ</t>
  </si>
  <si>
    <t>{вкл} - ХОЗЯЙСТВЕННЫЙ СПОСОБ</t>
  </si>
  <si>
    <t>Для всех  расценок. (  при хозяйственном способе производства работ):  · {ХОЗ} - ( вкл.)    -  при  хоз. способе (к=0,6 к НР )  · {ХОЗ} - ( выкл.) -  при обычном способе производства работ</t>
  </si>
  <si>
    <t>СЛЖ</t>
  </si>
  <si>
    <t>{вкл} -  При  РЕКОНСТРУКЦИИ сложных объектов, РЕКОНСТРУКЦИИ и КАП. РЕМОНТЕ объектов с дейст. яд. реакторами</t>
  </si>
  <si>
    <t>Для сборников ФЕР ( при производстве работ на технически сложных объектах ):  ·  { СЛЖ } - (вкл.)    - работа на сложных объектах  (к=1,2 к НР)           ·  { СЛЖ } - (выкл.) - работа на обычных объектах</t>
  </si>
  <si>
    <t>ТЕК_М/Т/Я</t>
  </si>
  <si>
    <t>При работе в тек. уровне цен с 27.04.2018 г. (письмо № 01/57049-ЮЛ от 27.04.2018 Минюст РФ), коэффициенты к НР =0,85 и к СП-0,8 не назначаются. До 27.04.2018 г. только для мостов, тоннелей, метро, АЭС, объектов с ядерным топливом (см. прим.)</t>
  </si>
  <si>
    <t>ОПТ/В</t>
  </si>
  <si>
    <t>{вкл}    - Прокладка  МЕЖДУГОРОДНИХ  ВОЛОКОННО-ОПТИЧЕСКИХ ЛИНИЙ (для ФЕРм10, отд. 6 разд.3)  {выкл} - Прокладка  ГОРОДСКИХ               ВОЛОКОННО-ОПТИТЕСКИХ ЛИНИЙ  (для ФЕРм10, отд. 6 разд.3)</t>
  </si>
  <si>
    <t>Для сборников ФЕРм-10  ( волоконно-оптические линии связи ): ·  {М_ГОР_опт} -  ( вкл.)  - междугородные сети связи ( НР=120% , СП=70% )           ·  {М_ГОР_опт} - ( выкл.) - городские сети связи  ( НР=100%; СП=65%)</t>
  </si>
  <si>
    <t>ЗАКР</t>
  </si>
  <si>
    <t>{вкл}   -  Обслуживающие и сопутстующие работы в тоннелях при  производве работ ЗАКРЫТЫМ СПОСОБОМ   {выкл} - Обслуживающие и сопутстующие работы в тоннелях при  производве работ  ОТКРЫТЫМ                       (ФЕР-29, разд.04 )</t>
  </si>
  <si>
    <t>Для сборника ФЕР -29 ( сопутствующие работы в тоннелях и метро. ): ·  {ЗАКР} - (вкл.)     -  при выполнении работ в тоннелях  и метро закрытым способом  (НР=145% , СП=75%); ·                {ЗАКР} - (выкл.) -   при выполнении работ в тоннелях и метро  отк</t>
  </si>
  <si>
    <t>АВИ</t>
  </si>
  <si>
    <t>(вкл)   -  При работах по ДИСПЕТЧЕРЕЗАЦИИ управления движением АВИАТРАНСПОРТОМ {вкл}  (монтажные работы )</t>
  </si>
  <si>
    <t>Для сборников ФЕРм 08;10;11 :    · {мАВИА} -  (вкл.)     -  производство монтажных  работы по диспетчеризации управления  движением авиатранспортном (НР=95%, СП=55%) ;    ·            {мАВИА} -  (выкл. ) -  при производстве работ на прочих объектах , кром</t>
  </si>
  <si>
    <t>АЭС</t>
  </si>
  <si>
    <t>(вкл)  -  Производство эл./монт. работ на АЭС ( ФЕРм -08 , отдел 01-03 ),  и контроль свар. швов  на АЭС {вкл}  (ФЕРм-39, отд. 02 и 03 )  (вык) -  Произовдство эл./монт. работ  и и контроль свар. швов на ОБЫЧНЫХ СООРУЖ,</t>
  </si>
  <si>
    <t>Для сборника ФЕРм -39  и ФЕРМ-08  ( при работах по контролю сварных соединений) :    {мАЭС} - ( вкл.)  -     при выполнении работ по на АЭС  (HР=101%; СП= 68%;             {мАЭС} - (выкл.) -  при выполнении работ  на обычных объектах</t>
  </si>
  <si>
    <t>Инд_исп.Сводный</t>
  </si>
  <si>
    <t>Используется Индекс "по сводному"</t>
  </si>
  <si>
    <t>К_НР_РЕМ</t>
  </si>
  <si>
    <t>при ремонте жилых и общественных зданий если  ( если {РЕМ_ЖИЛ}= [вкл.]</t>
  </si>
  <si>
    <t>Для сборников  ФЕР и  ФЕРмр :  · Значение {_МДСрем_НР}= 0,90 -  при ремонте зданий жилого и гражданского назначений ( 0,90 к НР) ;  · Значение {_МДСрем_НР}= 1,00  - при строительстве  и реконструкции  объектов всех назначений</t>
  </si>
  <si>
    <t>К_СП_РЕМ</t>
  </si>
  <si>
    <t>к нормам СП при капитальном ремонте зданий и сооружений всех назначений ( если или {РЕМ_ЖИЛ}=[вкл] , или (РЕМ_ПР}=[вкл] )</t>
  </si>
  <si>
    <t>Для сборников  ФЕР и  ФЕРмр :   · Значение {_МДСрем_СП} = 0.85  -  при ремонте зданий всех назначений ( 0,85 к СП);   · Значение {_МДСрем_СП} = 1,00 -  при строительстве  и реконструкции  объектов всех назначений</t>
  </si>
  <si>
    <t>К_НР_05</t>
  </si>
  <si>
    <t>К нормам НР  с 1.01.2005 по 1.01.2011</t>
  </si>
  <si>
    <t>Для норм НР с 1.01.2011 года:  · {_ТЕК_НР} = 0.85  -  Коэффициент   учитывающий изменение нормы страховых взносов с  1.01.1 - (при расчете в текущем уровне цен  индексами по статьям затрат )  · {_ТЕК_НР} = 1,00  -  при расчет в текущем уровне цен и при уп</t>
  </si>
  <si>
    <t>К_НР_11</t>
  </si>
  <si>
    <t>Коэфф.  к НР для текущего уровня цен с 01.01.2011  при обычном и упрощенном налогообложении  при постатейной индексации</t>
  </si>
  <si>
    <t>К_СП_11</t>
  </si>
  <si>
    <t>Коэф. к  СП в текущем уровне цен  с 01.01.2011</t>
  </si>
  <si>
    <t>Для норм СП с 1.01.2011 года:  · {_ТЕК_СП} = 0.80  -  Коэффициент   учитывающий изменение нормы страховых взносов с  1.01.11 - (при расчете в текущем уровне цен  индексами по статьям затрат )  · {_ТЕК_СП} = 1,00  -  без учета</t>
  </si>
  <si>
    <t>К_НР_12</t>
  </si>
  <si>
    <t>Корректировка НР с 03.12.12 до 27.04.18 если (ТЕК_М/Т/Я) = {выкл.}</t>
  </si>
  <si>
    <t>К_СП_12</t>
  </si>
  <si>
    <t>Корректировка СП с 03.12.12 до 27.04.18 в текущем уровне цен по письму  2536-ИП/12/ГС от 27.11.12  ( если (ТЕК_М/Т/Я) = {выкл.} )</t>
  </si>
  <si>
    <t>К_НР_УПР</t>
  </si>
  <si>
    <t>Коэф. к  НР при упрощенном налогообложении    ( если {УПР} = [вкл] )</t>
  </si>
  <si>
    <t>К_СП_УПР</t>
  </si>
  <si>
    <t>Коэф. к СП при упрощенном налогообложении    ( если {УПР} = [вкл] )</t>
  </si>
  <si>
    <t>К_НР_ХОЗ</t>
  </si>
  <si>
    <t>Коэф. к НР при хозяйственном способе производства работ   ( если {ХОЗ}= {вкл} )</t>
  </si>
  <si>
    <t>К_НР_СЛЖ</t>
  </si>
  <si>
    <t>Коэф.  при реконструкции сложных объектов (мосты, метро, путепроводы)  и  кап. ремонте АЭС, объектов с яд. реакторами   ( если {СЛЖ} = [вкл] )</t>
  </si>
  <si>
    <t>Р_ОКР</t>
  </si>
  <si>
    <t>Разрядность округления результата расчета НР и СП  ( с 01.01.2011 - до целых )</t>
  </si>
  <si>
    <t>К_НР_УПР_ПУ</t>
  </si>
  <si>
    <t>Коэф. к НР при упрощенном налогообложении ( если {УПР} = [вкл] ) для расценок на изготовление материалов, полуфабрикатов, а также металлических и трубопроводных заготовок, изготовляемых в построечных условиях</t>
  </si>
  <si>
    <t>Уровень цен</t>
  </si>
  <si>
    <t>Сборник индексов</t>
  </si>
  <si>
    <t>ТСНБ-2001 Московской области (редакция 2014 г)</t>
  </si>
  <si>
    <t>_OBSM_</t>
  </si>
  <si>
    <t>1-1029-90</t>
  </si>
  <si>
    <t>Рабочий строитель среднего разряда 2,9</t>
  </si>
  <si>
    <t>чел.-ч</t>
  </si>
  <si>
    <t>Затраты труда машинистов</t>
  </si>
  <si>
    <t>чел.час</t>
  </si>
  <si>
    <t>021141</t>
  </si>
  <si>
    <t>ТСЭМ Московской обл., 021141, приказ Минстроя России №675/пр от 28.02.2017 № 264/пр</t>
  </si>
  <si>
    <t>Краны на автомобильном ходу при работе на других видах строительства 10 т</t>
  </si>
  <si>
    <t>маш.-ч</t>
  </si>
  <si>
    <t>021243</t>
  </si>
  <si>
    <t>ТСЭМ Московской обл., 021243, приказ Минстроя России №675/пр от 28.02.2017 № 264/пр</t>
  </si>
  <si>
    <t>Краны на гусеничном ходу при работе на других видах строительства до 16 т</t>
  </si>
  <si>
    <t>030101</t>
  </si>
  <si>
    <t>ТСЭМ Московской обл., 030101, приказ Минстроя России №675/пр от 28.02.2017 № 264/пр</t>
  </si>
  <si>
    <t>Автопогрузчики 5 т</t>
  </si>
  <si>
    <t>040502</t>
  </si>
  <si>
    <t>ТСЭМ Московской обл., 040502, приказ Минстроя России №675/пр от 28.02.2017 № 264/пр</t>
  </si>
  <si>
    <t>Установки для сварки ручной дуговой (постоянного тока)</t>
  </si>
  <si>
    <t>111100</t>
  </si>
  <si>
    <t>ТСЭМ Московской обл., 111100, приказ Минстроя России №675/пр от 28.02.2017 № 264/пр</t>
  </si>
  <si>
    <t>Вибратор глубинный</t>
  </si>
  <si>
    <t>331532</t>
  </si>
  <si>
    <t>ТСЭМ Московской обл., 331532, приказ Минстроя России №675/пр от 28.02.2017 № 264/пр</t>
  </si>
  <si>
    <t>Пила цепная электрическая</t>
  </si>
  <si>
    <t>400001</t>
  </si>
  <si>
    <t>ТСЭМ Московской обл., 400001, приказ Минстроя России №675/пр от 28.02.2017 № 264/пр</t>
  </si>
  <si>
    <t>Автомобили бортовые, грузоподъемность до 5 т</t>
  </si>
  <si>
    <t>101-0797</t>
  </si>
  <si>
    <t>ТССЦ Московской обл., 101-0797, приказ Минстроя России №675/пр от 28.02.2017 № 254/пр</t>
  </si>
  <si>
    <t>Проволока горячекатаная в мотках, диаметром 6,3-6,5 мм</t>
  </si>
  <si>
    <t>101-1529</t>
  </si>
  <si>
    <t>ТССЦ Московской обл., 101-1529, приказ Минстроя России №675/пр от 28.02.2017 № 254/пр</t>
  </si>
  <si>
    <t>Электроды диаметром 6 мм Э42</t>
  </si>
  <si>
    <t>101-1668</t>
  </si>
  <si>
    <t>ТССЦ Московской обл., 101-1668, приказ Минстроя России №675/пр от 28.02.2017 № 254/пр</t>
  </si>
  <si>
    <t>Рогожа</t>
  </si>
  <si>
    <t>м2</t>
  </si>
  <si>
    <t>101-1805</t>
  </si>
  <si>
    <t>ТССЦ Московской обл., 101-1805, приказ Минстроя России №675/пр от 28.02.2017 № 254/пр</t>
  </si>
  <si>
    <t>Гвозди строительные</t>
  </si>
  <si>
    <t>102-0008</t>
  </si>
  <si>
    <t>ТССЦ Московской обл., 102-0008, приказ Минстроя России №675/пр от 28.02.2017 № 254/пр</t>
  </si>
  <si>
    <t>Лесоматериалы круглые хвойных пород для строительства диаметром 14-24 см, длиной 3-6,5 м</t>
  </si>
  <si>
    <t>102-0025</t>
  </si>
  <si>
    <t>ТССЦ Московской обл., 102-0025, приказ Минстроя России №675/пр от 28.02.2017 № 254/пр</t>
  </si>
  <si>
    <t>Бруски обрезные хвойных пород длиной 4-6,5 м, шириной 75-150 мм, толщиной 40-75 мм, III сорта</t>
  </si>
  <si>
    <t>102-0053</t>
  </si>
  <si>
    <t>ТССЦ Московской обл., 102-0053, приказ Минстроя России №675/пр от 28.02.2017 № 254/пр</t>
  </si>
  <si>
    <t>Доски обрезные хвойных пород длиной 4-6,5 м, шириной 75-150 мм, толщиной 25 мм, III сорта</t>
  </si>
  <si>
    <t>102-0061</t>
  </si>
  <si>
    <t>ТССЦ Московской обл., 102-0061, приказ Минстроя России №675/пр от 28.02.2017 № 254/пр</t>
  </si>
  <si>
    <t>Доски обрезные хвойных пород длиной 4-6,5 м, шириной 75-150 мм, толщиной 44 мм и более, III сорта</t>
  </si>
  <si>
    <t>203-0511</t>
  </si>
  <si>
    <t>ТССЦ Московской обл., 203-0511, приказ Минстроя России №675/пр от 28.02.2017 № 255/пр</t>
  </si>
  <si>
    <t>Щиты из досок толщиной 25 мм</t>
  </si>
  <si>
    <t>405-0253</t>
  </si>
  <si>
    <t>ТССЦ Московской обл., 405-0253, приказ Минстроя России №675/пр от 28.02.2017 № 257/пр</t>
  </si>
  <si>
    <t>Известь строительная негашеная комовая, сорт I</t>
  </si>
  <si>
    <t>411-0001</t>
  </si>
  <si>
    <t>ТССЦ Московской обл., 411-0001, приказ Минстроя России №675/пр от 28.02.2017 № 257/пр</t>
  </si>
  <si>
    <t>Вода</t>
  </si>
  <si>
    <t>1-2036-90</t>
  </si>
  <si>
    <t>Рабочий монтажник среднего разряда 3,6</t>
  </si>
  <si>
    <t>021201</t>
  </si>
  <si>
    <t>ТСЭМ Московской обл., 021201, приказ Минстроя России №675/пр от 28.02.2017 № 264/пр</t>
  </si>
  <si>
    <t>Краны на гусеничном ходу при работе на монтаже технологического оборудования до 16 т</t>
  </si>
  <si>
    <t>021401</t>
  </si>
  <si>
    <t>ТСЭМ Московской обл., 021401, приказ Минстроя России №675/пр от 28.02.2017 № 264/пр</t>
  </si>
  <si>
    <t>Краны на пневмоколесном ходу при работе на монтаже технологического оборудования 16 т</t>
  </si>
  <si>
    <t>040504</t>
  </si>
  <si>
    <t>ТСЭМ Московской обл., 040504, приказ Минстроя России №675/пр от 28.02.2017 № 264/пр</t>
  </si>
  <si>
    <t>Аппарат для газовой сварки и резки</t>
  </si>
  <si>
    <t>330301</t>
  </si>
  <si>
    <t>ТСЭМ Московской обл., 330301, приказ Минстроя России №675/пр от 28.02.2017 № 264/пр</t>
  </si>
  <si>
    <t>Машины шлифовальные электрические</t>
  </si>
  <si>
    <t>101-0324</t>
  </si>
  <si>
    <t>ТССЦ Московской обл., 101-0324, приказ Минстроя России №675/пр от 28.02.2017 № 254/пр</t>
  </si>
  <si>
    <t>Кислород технический газообразный</t>
  </si>
  <si>
    <t>101-1518</t>
  </si>
  <si>
    <t>ТССЦ Московской обл., 101-1518, приказ Минстроя России №675/пр от 28.02.2017 № 254/пр</t>
  </si>
  <si>
    <t>Электроды диаметром 4 мм Э50А</t>
  </si>
  <si>
    <t>101-2278</t>
  </si>
  <si>
    <t>ТССЦ Московской обл., 101-2278, приказ Минстроя России №675/пр от 28.02.2017 № 254/пр</t>
  </si>
  <si>
    <t>Пропан-бутан, смесь техническая</t>
  </si>
  <si>
    <t>кг</t>
  </si>
  <si>
    <t>201-0835</t>
  </si>
  <si>
    <t>ТССЦ Московской обл., 201-0835, приказ Минстроя России №675/пр от 28.02.2017 № 255/пр</t>
  </si>
  <si>
    <t>Подкладки металлические</t>
  </si>
  <si>
    <t>999-9950</t>
  </si>
  <si>
    <t>ТССЦ Московской обл., 999-9950, приказ Минстроя России №675/пр от 21.09.2015 г.</t>
  </si>
  <si>
    <t>Вспомогательные ненормируемые материалы (2% от ОЗП)</t>
  </si>
  <si>
    <t>РУБ</t>
  </si>
  <si>
    <t>Поправка: МДС 81-35.2004, п.4.7  Наименование: Работы, выполняемые при реконструкции зданий и сооружений работы, аналогичные технологическим процессам в новом строительстве (в том числе возведение новых конструктивных элементов) стоимость которых определена по соответствующим сборникам ФЕР, кроме сборника № 46 «Работы при реконструкции зданий и сооружений»</t>
  </si>
  <si>
    <t>"СОГЛАСОВАНО"</t>
  </si>
  <si>
    <t>"УТВЕРЖДАЮ"</t>
  </si>
  <si>
    <t>"_____"________________ 2020 г.</t>
  </si>
  <si>
    <t>(наименование стройки)</t>
  </si>
  <si>
    <t xml:space="preserve">Номер заказа   </t>
  </si>
  <si>
    <t>(наименование работ и затрат, наименование объекта)</t>
  </si>
  <si>
    <t>базовая цена</t>
  </si>
  <si>
    <t>текущая цена</t>
  </si>
  <si>
    <t>Сметная стоимость</t>
  </si>
  <si>
    <t>тыс. руб.</t>
  </si>
  <si>
    <t xml:space="preserve">     Строительные работы</t>
  </si>
  <si>
    <t xml:space="preserve">     Монтажные работы</t>
  </si>
  <si>
    <t xml:space="preserve">     Оборудование</t>
  </si>
  <si>
    <t xml:space="preserve">     Прочие работы</t>
  </si>
  <si>
    <t>Нормативная трудоемкость</t>
  </si>
  <si>
    <t>чел. -ч.</t>
  </si>
  <si>
    <t>Средства на оплату труда</t>
  </si>
  <si>
    <t>Строительный объем:</t>
  </si>
  <si>
    <t>Стоимость ед.стр.объема:</t>
  </si>
  <si>
    <t>№ п/п</t>
  </si>
  <si>
    <t>Шифр расценки и коды ресурсов</t>
  </si>
  <si>
    <t>Наименование работ и затрат</t>
  </si>
  <si>
    <t>Ед. изм.</t>
  </si>
  <si>
    <t>Кол-во единиц</t>
  </si>
  <si>
    <t>Цена на ед. изм.</t>
  </si>
  <si>
    <t>Попра-вочные коэфф.</t>
  </si>
  <si>
    <t>Стоимость в ценах 2001г.</t>
  </si>
  <si>
    <t>Пункт коэфф. пересчета</t>
  </si>
  <si>
    <t>Коэфф. пересчета</t>
  </si>
  <si>
    <t>Стоимость в текущих ценах</t>
  </si>
  <si>
    <t>ЗТР всего чел.-час</t>
  </si>
  <si>
    <t>Основание: 1</t>
  </si>
  <si>
    <t>Составлена в ценах ТСНБ-2001 Московской области (редакция 2014 г) ноябрь 2019 года</t>
  </si>
  <si>
    <t>Зарплата</t>
  </si>
  <si>
    <t>в т.ч. зарплата машинистов</t>
  </si>
  <si>
    <t>Материальные ресурсы</t>
  </si>
  <si>
    <t>НР от ФОТ</t>
  </si>
  <si>
    <t>%</t>
  </si>
  <si>
    <t>СП от ФОТ</t>
  </si>
  <si>
    <t>Затраты труда</t>
  </si>
  <si>
    <t>чел-ч</t>
  </si>
  <si>
    <r>
      <t>Бетон тяжелый В12,5 F300 с учетом поставки</t>
    </r>
    <r>
      <rPr>
        <i/>
        <sz val="10"/>
        <rFont val="Arial"/>
        <family val="2"/>
        <charset val="204"/>
      </rPr>
      <t xml:space="preserve">
Базисная стоимость: 4 441,25 = [5 225 / 1,2] +  2% Заг.скл</t>
    </r>
  </si>
  <si>
    <r>
      <t>Станок напольный</t>
    </r>
    <r>
      <rPr>
        <i/>
        <sz val="10"/>
        <rFont val="Arial"/>
        <family val="2"/>
        <charset val="204"/>
      </rPr>
      <t xml:space="preserve">
Базисная стоимость: 1 743 608,54 = [1 988 000 / 1,2] +  4% Трансп +  1,2% Заг.скл</t>
    </r>
  </si>
  <si>
    <r>
      <t>Бетон тяжелый В12,5 F600</t>
    </r>
    <r>
      <rPr>
        <i/>
        <sz val="10"/>
        <rFont val="Arial"/>
        <family val="2"/>
        <charset val="204"/>
      </rPr>
      <t xml:space="preserve">
Базисная стоимость: 4 441,25 = [5 225 / 1,2] +  2% Заг.скл</t>
    </r>
  </si>
  <si>
    <t xml:space="preserve">   </t>
  </si>
  <si>
    <t xml:space="preserve">Объемы согласовал  </t>
  </si>
  <si>
    <t>[должность,подпись(инициалы,фамилия)]</t>
  </si>
  <si>
    <t xml:space="preserve">Составил  </t>
  </si>
  <si>
    <t xml:space="preserve">Проверил  </t>
  </si>
  <si>
    <t>разработана форма по тех. заданию Вороненко А. В.</t>
  </si>
  <si>
    <t xml:space="preserve">Приложение №1 к Договору № </t>
  </si>
  <si>
    <t>(локальный сметный расчет)</t>
  </si>
  <si>
    <t>Строительные работы</t>
  </si>
  <si>
    <t>Прочие работы</t>
  </si>
  <si>
    <t>№№ п/п</t>
  </si>
  <si>
    <t>Единица измерения</t>
  </si>
  <si>
    <t>Цена работ за единицу</t>
  </si>
  <si>
    <t>Стоимость работ</t>
  </si>
  <si>
    <t>Работа</t>
  </si>
  <si>
    <t>Материалы</t>
  </si>
  <si>
    <t>Итого за ед.
гр. (6+7)</t>
  </si>
  <si>
    <t>Всего 
гр.(9+10)</t>
  </si>
  <si>
    <t>Составлен(а) в уровне текущих (прогнозных) цен ТСНБ-2001 Московской области (редакция 2014 г) ноябрь 2019 года</t>
  </si>
  <si>
    <t>Устройство железобетонных фундаментов общего назначения объемом до 5 м3
Объем: 0,0295=(0,15+1,6+1,2)/100</t>
  </si>
  <si>
    <r>
      <t>Бетон тяжелый В12,5 F300 с учетом поставки</t>
    </r>
    <r>
      <rPr>
        <i/>
        <sz val="10"/>
        <color rgb="FF0000C8"/>
        <rFont val="Times New Roman"/>
        <family val="1"/>
        <charset val="204"/>
      </rPr>
      <t xml:space="preserve">
Базисная стоимость: 4 441,25 = [5 225 / 1,2] +  2% Заг.скл</t>
    </r>
  </si>
  <si>
    <r>
      <t>ОБОРУДОВАНИЕ:
Станок напольный</t>
    </r>
    <r>
      <rPr>
        <i/>
        <sz val="10"/>
        <color rgb="FF821E82"/>
        <rFont val="Times New Roman"/>
        <family val="1"/>
        <charset val="204"/>
      </rPr>
      <t xml:space="preserve">
Базисная стоимость: 1 743 608,54 = [1 988 000 / 1,2] +  4% Трансп +  1,2% Заг.скл</t>
    </r>
  </si>
  <si>
    <r>
      <t>Бетон тяжелый В12,5 F600</t>
    </r>
    <r>
      <rPr>
        <i/>
        <sz val="10"/>
        <rFont val="Times New Roman"/>
        <family val="1"/>
        <charset val="204"/>
      </rPr>
      <t xml:space="preserve">
Базисная стоимость: 4 441,25 = [5 225 / 1,2] +  2% Заг.скл</t>
    </r>
  </si>
  <si>
    <t xml:space="preserve">   Итого по ТСН-2001.16</t>
  </si>
  <si>
    <t xml:space="preserve">   Итого возвратных сумм</t>
  </si>
  <si>
    <t xml:space="preserve">  руб.</t>
  </si>
  <si>
    <t xml:space="preserve">  чел.-ч.</t>
  </si>
  <si>
    <t xml:space="preserve">Составил   </t>
  </si>
  <si>
    <t xml:space="preserve">Проверил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</si>
</sst>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\-\ #,##0.00"/>
    <numFmt numFmtId="165" formatCode="#,##0.00####;[Red]\-\ #,##0.00####"/>
  </numFmts>
  <fonts count="34" x14ac:knownFonts="1">
    <font>
      <sz val="10"/>
      <name val="Arial"/>
      <charset val="204"/>
    </font>
    <font>
      <b/>
      <sz val="10"/>
      <color indexed="12"/>
      <name val="Arial"/>
      <charset val="204"/>
    </font>
    <font>
      <b/>
      <sz val="10"/>
      <color indexed="16"/>
      <name val="Arial"/>
      <charset val="204"/>
    </font>
    <font>
      <b/>
      <sz val="10"/>
      <color indexed="20"/>
      <name val="Arial"/>
      <charset val="204"/>
    </font>
    <font>
      <b/>
      <sz val="10"/>
      <color indexed="17"/>
      <name val="Arial"/>
      <charset val="204"/>
    </font>
    <font>
      <sz val="10"/>
      <color indexed="17"/>
      <name val="Arial"/>
      <charset val="204"/>
    </font>
    <font>
      <sz val="10"/>
      <color indexed="12"/>
      <name val="Arial"/>
      <charset val="204"/>
    </font>
    <font>
      <sz val="10"/>
      <color indexed="14"/>
      <name val="Arial"/>
      <charset val="204"/>
    </font>
    <font>
      <b/>
      <sz val="10"/>
      <color indexed="14"/>
      <name val="Arial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11"/>
      <name val="Arial"/>
      <family val="2"/>
      <charset val="204"/>
    </font>
    <font>
      <b/>
      <sz val="13"/>
      <name val="Arial"/>
      <family val="2"/>
      <charset val="204"/>
    </font>
    <font>
      <b/>
      <sz val="12"/>
      <name val="Arial"/>
      <family val="2"/>
      <charset val="204"/>
    </font>
    <font>
      <b/>
      <sz val="11"/>
      <name val="Arial"/>
      <family val="2"/>
      <charset val="204"/>
    </font>
    <font>
      <b/>
      <sz val="14"/>
      <name val="Arial"/>
      <family val="2"/>
      <charset val="204"/>
    </font>
    <font>
      <sz val="12"/>
      <name val="Arial"/>
      <family val="2"/>
      <charset val="204"/>
    </font>
    <font>
      <i/>
      <sz val="11"/>
      <name val="Arial"/>
      <family val="2"/>
      <charset val="204"/>
    </font>
    <font>
      <i/>
      <sz val="10"/>
      <name val="Arial"/>
      <family val="2"/>
      <charset val="204"/>
    </font>
    <font>
      <b/>
      <sz val="9"/>
      <name val="Arial"/>
      <family val="2"/>
      <charset val="204"/>
    </font>
    <font>
      <sz val="10"/>
      <color rgb="FFFFFFFF"/>
      <name val="Arial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sz val="11"/>
      <name val="Times New Roman"/>
      <family val="1"/>
      <charset val="204"/>
    </font>
    <font>
      <b/>
      <sz val="13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color rgb="FF0000C8"/>
      <name val="Times New Roman"/>
      <family val="1"/>
      <charset val="204"/>
    </font>
    <font>
      <i/>
      <sz val="10"/>
      <color rgb="FF0000C8"/>
      <name val="Times New Roman"/>
      <family val="1"/>
      <charset val="204"/>
    </font>
    <font>
      <sz val="11"/>
      <color rgb="FF821E82"/>
      <name val="Times New Roman"/>
      <family val="1"/>
      <charset val="204"/>
    </font>
    <font>
      <i/>
      <sz val="10"/>
      <color rgb="FF821E8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17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10" fillId="0" borderId="0" xfId="0" applyFont="1"/>
    <xf numFmtId="0" fontId="11" fillId="0" borderId="0" xfId="0" applyFont="1" applyAlignment="1">
      <alignment horizontal="right"/>
    </xf>
    <xf numFmtId="0" fontId="11" fillId="0" borderId="0" xfId="0" applyFont="1"/>
    <xf numFmtId="0" fontId="12" fillId="0" borderId="0" xfId="0" applyFont="1" applyAlignment="1"/>
    <xf numFmtId="0" fontId="13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11" fillId="0" borderId="0" xfId="0" applyFont="1" applyAlignment="1"/>
    <xf numFmtId="0" fontId="11" fillId="0" borderId="0" xfId="0" applyFont="1" applyBorder="1" applyAlignment="1">
      <alignment horizontal="left"/>
    </xf>
    <xf numFmtId="0" fontId="11" fillId="0" borderId="0" xfId="0" applyFont="1" applyAlignment="1">
      <alignment horizontal="left"/>
    </xf>
    <xf numFmtId="0" fontId="11" fillId="0" borderId="0" xfId="0" applyFont="1" applyBorder="1" applyAlignment="1">
      <alignment wrapText="1"/>
    </xf>
    <xf numFmtId="0" fontId="11" fillId="0" borderId="0" xfId="0" applyFont="1" applyBorder="1" applyAlignment="1">
      <alignment horizontal="left" wrapText="1"/>
    </xf>
    <xf numFmtId="0" fontId="13" fillId="0" borderId="0" xfId="0" applyFont="1" applyBorder="1" applyAlignment="1">
      <alignment horizontal="center" wrapText="1"/>
    </xf>
    <xf numFmtId="0" fontId="11" fillId="0" borderId="0" xfId="0" applyFont="1" applyBorder="1"/>
    <xf numFmtId="0" fontId="10" fillId="0" borderId="1" xfId="0" applyFont="1" applyBorder="1" applyAlignment="1">
      <alignment horizontal="center" vertical="top" wrapText="1"/>
    </xf>
    <xf numFmtId="0" fontId="11" fillId="0" borderId="0" xfId="0" applyFont="1" applyAlignment="1">
      <alignment horizontal="right" wrapText="1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wrapText="1"/>
    </xf>
    <xf numFmtId="0" fontId="14" fillId="0" borderId="0" xfId="0" applyFont="1" applyAlignment="1">
      <alignment vertical="center" wrapText="1"/>
    </xf>
    <xf numFmtId="0" fontId="13" fillId="0" borderId="0" xfId="0" applyFont="1" applyBorder="1" applyAlignment="1">
      <alignment horizontal="center" wrapText="1"/>
    </xf>
    <xf numFmtId="0" fontId="15" fillId="0" borderId="0" xfId="0" applyFont="1" applyBorder="1" applyAlignment="1">
      <alignment horizontal="center" wrapText="1"/>
    </xf>
    <xf numFmtId="0" fontId="15" fillId="0" borderId="2" xfId="0" applyFont="1" applyBorder="1" applyAlignment="1">
      <alignment horizontal="center" wrapText="1"/>
    </xf>
    <xf numFmtId="0" fontId="14" fillId="0" borderId="0" xfId="0" applyFont="1" applyBorder="1" applyAlignment="1">
      <alignment wrapText="1"/>
    </xf>
    <xf numFmtId="0" fontId="10" fillId="0" borderId="0" xfId="0" applyFont="1" applyBorder="1" applyAlignment="1">
      <alignment horizontal="center" vertical="top" wrapText="1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 vertical="top"/>
    </xf>
    <xf numFmtId="0" fontId="14" fillId="0" borderId="0" xfId="0" applyFont="1" applyAlignment="1">
      <alignment horizontal="right"/>
    </xf>
    <xf numFmtId="164" fontId="11" fillId="0" borderId="0" xfId="0" applyNumberFormat="1" applyFont="1" applyAlignment="1">
      <alignment horizontal="right"/>
    </xf>
    <xf numFmtId="0" fontId="11" fillId="0" borderId="0" xfId="0" applyFont="1"/>
    <xf numFmtId="0" fontId="11" fillId="0" borderId="0" xfId="0" applyFont="1" applyAlignment="1">
      <alignment horizontal="right"/>
    </xf>
    <xf numFmtId="0" fontId="11" fillId="0" borderId="0" xfId="0" applyFont="1" applyAlignment="1">
      <alignment horizontal="left" vertical="top"/>
    </xf>
    <xf numFmtId="0" fontId="14" fillId="0" borderId="0" xfId="0" applyFont="1" applyAlignment="1">
      <alignment horizontal="right"/>
    </xf>
    <xf numFmtId="0" fontId="11" fillId="0" borderId="0" xfId="0" applyFont="1" applyAlignment="1">
      <alignment horizontal="right" vertical="top"/>
    </xf>
    <xf numFmtId="0" fontId="16" fillId="0" borderId="0" xfId="0" applyFont="1" applyAlignment="1">
      <alignment horizontal="right" vertical="top"/>
    </xf>
    <xf numFmtId="0" fontId="16" fillId="0" borderId="0" xfId="0" applyFont="1" applyAlignment="1">
      <alignment horizontal="left"/>
    </xf>
    <xf numFmtId="0" fontId="11" fillId="0" borderId="2" xfId="0" applyFont="1" applyBorder="1" applyAlignment="1">
      <alignment horizontal="left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9" fillId="0" borderId="0" xfId="0" applyFont="1" applyAlignment="1">
      <alignment wrapText="1"/>
    </xf>
    <xf numFmtId="164" fontId="0" fillId="0" borderId="0" xfId="0" applyNumberFormat="1"/>
    <xf numFmtId="0" fontId="11" fillId="0" borderId="2" xfId="0" applyFont="1" applyBorder="1"/>
    <xf numFmtId="0" fontId="11" fillId="0" borderId="0" xfId="0" applyFont="1" applyAlignment="1">
      <alignment vertical="center"/>
    </xf>
    <xf numFmtId="0" fontId="10" fillId="0" borderId="1" xfId="0" applyFont="1" applyBorder="1" applyAlignment="1">
      <alignment horizontal="center" vertical="top"/>
    </xf>
    <xf numFmtId="0" fontId="14" fillId="0" borderId="0" xfId="0" applyFont="1"/>
    <xf numFmtId="0" fontId="12" fillId="0" borderId="0" xfId="0" applyFont="1" applyAlignment="1">
      <alignment horizontal="center" wrapText="1"/>
    </xf>
    <xf numFmtId="0" fontId="11" fillId="0" borderId="0" xfId="0" applyFont="1" applyAlignment="1">
      <alignment horizontal="left" wrapText="1"/>
    </xf>
    <xf numFmtId="0" fontId="14" fillId="0" borderId="0" xfId="0" applyFont="1" applyAlignment="1">
      <alignment horizontal="left" wrapText="1"/>
    </xf>
    <xf numFmtId="0" fontId="17" fillId="0" borderId="0" xfId="0" applyFont="1" applyAlignment="1">
      <alignment horizontal="right" wrapText="1"/>
    </xf>
    <xf numFmtId="165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right" wrapText="1"/>
    </xf>
    <xf numFmtId="164" fontId="11" fillId="0" borderId="0" xfId="0" applyNumberFormat="1" applyFont="1" applyAlignment="1">
      <alignment horizontal="right"/>
    </xf>
    <xf numFmtId="0" fontId="10" fillId="0" borderId="0" xfId="0" applyFont="1" applyAlignment="1">
      <alignment horizontal="right"/>
    </xf>
    <xf numFmtId="164" fontId="17" fillId="0" borderId="0" xfId="0" applyNumberFormat="1" applyFont="1" applyAlignment="1">
      <alignment horizontal="right"/>
    </xf>
    <xf numFmtId="0" fontId="9" fillId="0" borderId="0" xfId="0" applyFont="1" applyAlignment="1">
      <alignment horizontal="right" wrapText="1"/>
    </xf>
    <xf numFmtId="164" fontId="10" fillId="0" borderId="0" xfId="0" applyNumberFormat="1" applyFont="1" applyAlignment="1">
      <alignment horizontal="right"/>
    </xf>
    <xf numFmtId="0" fontId="11" fillId="0" borderId="0" xfId="0" quotePrefix="1" applyFont="1" applyAlignment="1">
      <alignment horizontal="right" wrapText="1"/>
    </xf>
    <xf numFmtId="0" fontId="17" fillId="0" borderId="2" xfId="0" applyFont="1" applyBorder="1" applyAlignment="1">
      <alignment horizontal="right" wrapText="1"/>
    </xf>
    <xf numFmtId="0" fontId="11" fillId="0" borderId="2" xfId="0" applyFont="1" applyBorder="1" applyAlignment="1">
      <alignment horizontal="right"/>
    </xf>
    <xf numFmtId="165" fontId="11" fillId="0" borderId="2" xfId="0" applyNumberFormat="1" applyFont="1" applyBorder="1" applyAlignment="1">
      <alignment horizontal="right"/>
    </xf>
    <xf numFmtId="0" fontId="11" fillId="0" borderId="2" xfId="0" quotePrefix="1" applyFont="1" applyBorder="1" applyAlignment="1">
      <alignment horizontal="right" wrapText="1"/>
    </xf>
    <xf numFmtId="164" fontId="11" fillId="0" borderId="2" xfId="0" applyNumberFormat="1" applyFont="1" applyBorder="1" applyAlignment="1">
      <alignment horizontal="right"/>
    </xf>
    <xf numFmtId="0" fontId="11" fillId="0" borderId="2" xfId="0" applyFont="1" applyBorder="1" applyAlignment="1">
      <alignment horizontal="right" wrapText="1"/>
    </xf>
    <xf numFmtId="0" fontId="10" fillId="0" borderId="2" xfId="0" applyFont="1" applyBorder="1" applyAlignment="1">
      <alignment horizontal="right"/>
    </xf>
    <xf numFmtId="164" fontId="14" fillId="0" borderId="1" xfId="0" applyNumberFormat="1" applyFont="1" applyBorder="1" applyAlignment="1">
      <alignment horizontal="right"/>
    </xf>
    <xf numFmtId="164" fontId="19" fillId="0" borderId="0" xfId="0" applyNumberFormat="1" applyFont="1" applyAlignment="1">
      <alignment horizontal="right"/>
    </xf>
    <xf numFmtId="164" fontId="10" fillId="0" borderId="2" xfId="0" applyNumberFormat="1" applyFont="1" applyBorder="1" applyAlignment="1">
      <alignment horizontal="right"/>
    </xf>
    <xf numFmtId="164" fontId="14" fillId="0" borderId="0" xfId="0" applyNumberFormat="1" applyFont="1" applyAlignment="1">
      <alignment horizontal="right"/>
    </xf>
    <xf numFmtId="0" fontId="11" fillId="0" borderId="0" xfId="0" applyFont="1" applyAlignment="1">
      <alignment horizontal="left" vertical="top" wrapText="1"/>
    </xf>
    <xf numFmtId="0" fontId="11" fillId="0" borderId="2" xfId="0" applyFont="1" applyBorder="1" applyAlignment="1">
      <alignment horizontal="left" vertical="top"/>
    </xf>
    <xf numFmtId="0" fontId="11" fillId="0" borderId="2" xfId="0" applyFont="1" applyBorder="1" applyAlignment="1">
      <alignment horizontal="left" vertical="top" wrapText="1"/>
    </xf>
    <xf numFmtId="165" fontId="9" fillId="0" borderId="0" xfId="0" applyNumberFormat="1" applyFont="1" applyAlignment="1">
      <alignment horizontal="left"/>
    </xf>
    <xf numFmtId="0" fontId="20" fillId="0" borderId="0" xfId="0" applyFont="1"/>
    <xf numFmtId="0" fontId="22" fillId="0" borderId="0" xfId="0" applyFont="1"/>
    <xf numFmtId="0" fontId="23" fillId="0" borderId="0" xfId="0" applyFont="1" applyAlignment="1">
      <alignment horizontal="right"/>
    </xf>
    <xf numFmtId="0" fontId="23" fillId="0" borderId="0" xfId="0" applyFont="1"/>
    <xf numFmtId="0" fontId="24" fillId="0" borderId="0" xfId="0" applyFont="1" applyAlignment="1"/>
    <xf numFmtId="0" fontId="25" fillId="0" borderId="0" xfId="0" applyFont="1" applyAlignment="1">
      <alignment horizontal="left"/>
    </xf>
    <xf numFmtId="0" fontId="23" fillId="0" borderId="0" xfId="0" applyFont="1" applyAlignment="1">
      <alignment horizontal="left"/>
    </xf>
    <xf numFmtId="0" fontId="23" fillId="0" borderId="0" xfId="0" applyFont="1" applyAlignment="1"/>
    <xf numFmtId="0" fontId="23" fillId="0" borderId="0" xfId="0" applyFont="1" applyBorder="1" applyAlignment="1">
      <alignment horizontal="left"/>
    </xf>
    <xf numFmtId="0" fontId="23" fillId="0" borderId="0" xfId="0" applyFont="1" applyAlignment="1">
      <alignment horizontal="left"/>
    </xf>
    <xf numFmtId="0" fontId="23" fillId="0" borderId="0" xfId="0" applyFont="1" applyBorder="1" applyAlignment="1">
      <alignment wrapText="1"/>
    </xf>
    <xf numFmtId="0" fontId="23" fillId="0" borderId="0" xfId="0" applyFont="1" applyBorder="1" applyAlignment="1">
      <alignment horizontal="left" wrapText="1"/>
    </xf>
    <xf numFmtId="0" fontId="25" fillId="0" borderId="2" xfId="0" applyFont="1" applyBorder="1" applyAlignment="1">
      <alignment horizontal="center" wrapText="1"/>
    </xf>
    <xf numFmtId="0" fontId="22" fillId="0" borderId="1" xfId="0" applyFont="1" applyBorder="1" applyAlignment="1">
      <alignment horizontal="center"/>
    </xf>
    <xf numFmtId="0" fontId="26" fillId="0" borderId="2" xfId="0" applyFont="1" applyBorder="1" applyAlignment="1">
      <alignment horizontal="center" wrapText="1"/>
    </xf>
    <xf numFmtId="0" fontId="22" fillId="0" borderId="0" xfId="0" applyFont="1" applyAlignment="1">
      <alignment horizontal="center" wrapText="1"/>
    </xf>
    <xf numFmtId="0" fontId="27" fillId="0" borderId="0" xfId="0" applyFont="1" applyAlignment="1">
      <alignment horizontal="center" wrapText="1"/>
    </xf>
    <xf numFmtId="0" fontId="27" fillId="0" borderId="2" xfId="0" applyFont="1" applyBorder="1" applyAlignment="1">
      <alignment horizontal="center" wrapText="1"/>
    </xf>
    <xf numFmtId="0" fontId="21" fillId="0" borderId="0" xfId="0" applyFont="1" applyAlignment="1"/>
    <xf numFmtId="0" fontId="23" fillId="0" borderId="0" xfId="0" applyFont="1" applyAlignment="1">
      <alignment horizontal="left" wrapText="1"/>
    </xf>
    <xf numFmtId="0" fontId="28" fillId="0" borderId="0" xfId="0" applyFont="1" applyAlignment="1">
      <alignment horizontal="left"/>
    </xf>
    <xf numFmtId="0" fontId="23" fillId="0" borderId="0" xfId="0" applyFont="1" applyAlignment="1">
      <alignment horizontal="right"/>
    </xf>
    <xf numFmtId="0" fontId="28" fillId="0" borderId="0" xfId="0" applyFont="1" applyFill="1" applyAlignment="1">
      <alignment horizontal="left"/>
    </xf>
    <xf numFmtId="0" fontId="23" fillId="0" borderId="0" xfId="0" applyFont="1" applyFill="1" applyAlignment="1">
      <alignment horizontal="left"/>
    </xf>
    <xf numFmtId="164" fontId="23" fillId="0" borderId="0" xfId="0" applyNumberFormat="1" applyFont="1" applyAlignment="1">
      <alignment horizontal="right"/>
    </xf>
    <xf numFmtId="0" fontId="23" fillId="0" borderId="0" xfId="1" applyFont="1" applyFill="1" applyAlignment="1">
      <alignment horizontal="left"/>
    </xf>
    <xf numFmtId="0" fontId="21" fillId="0" borderId="0" xfId="1" applyFont="1" applyFill="1" applyAlignment="1">
      <alignment horizontal="left"/>
    </xf>
    <xf numFmtId="164" fontId="23" fillId="0" borderId="0" xfId="0" applyNumberFormat="1" applyFont="1"/>
    <xf numFmtId="0" fontId="23" fillId="0" borderId="5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23" fillId="0" borderId="7" xfId="0" applyFont="1" applyBorder="1" applyAlignment="1">
      <alignment horizontal="center" vertical="center" wrapText="1"/>
    </xf>
    <xf numFmtId="0" fontId="23" fillId="0" borderId="8" xfId="0" applyFont="1" applyBorder="1" applyAlignment="1">
      <alignment horizontal="center" vertical="center" wrapText="1"/>
    </xf>
    <xf numFmtId="0" fontId="23" fillId="0" borderId="9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center" wrapText="1"/>
    </xf>
    <xf numFmtId="0" fontId="23" fillId="0" borderId="12" xfId="0" applyFont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 wrapText="1"/>
    </xf>
    <xf numFmtId="0" fontId="23" fillId="0" borderId="14" xfId="0" applyFont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 wrapText="1"/>
    </xf>
    <xf numFmtId="0" fontId="23" fillId="0" borderId="15" xfId="0" applyFont="1" applyBorder="1" applyAlignment="1">
      <alignment horizontal="center" vertical="center" wrapText="1"/>
    </xf>
    <xf numFmtId="0" fontId="23" fillId="0" borderId="16" xfId="0" applyFont="1" applyBorder="1" applyAlignment="1">
      <alignment horizontal="center" vertical="center" wrapText="1"/>
    </xf>
    <xf numFmtId="0" fontId="23" fillId="0" borderId="17" xfId="0" applyFont="1" applyBorder="1" applyAlignment="1">
      <alignment horizontal="center" vertical="center" wrapText="1"/>
    </xf>
    <xf numFmtId="0" fontId="23" fillId="0" borderId="18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0" fontId="21" fillId="0" borderId="20" xfId="0" applyFont="1" applyBorder="1" applyAlignment="1">
      <alignment horizontal="center" vertical="center" wrapText="1"/>
    </xf>
    <xf numFmtId="0" fontId="21" fillId="0" borderId="21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left" wrapText="1"/>
    </xf>
    <xf numFmtId="0" fontId="24" fillId="0" borderId="0" xfId="0" applyFont="1" applyAlignment="1">
      <alignment horizontal="center" wrapText="1"/>
    </xf>
    <xf numFmtId="0" fontId="23" fillId="0" borderId="22" xfId="0" applyFont="1" applyBorder="1" applyAlignment="1">
      <alignment horizontal="left" vertical="top" wrapText="1"/>
    </xf>
    <xf numFmtId="0" fontId="23" fillId="0" borderId="22" xfId="0" applyFont="1" applyBorder="1" applyAlignment="1">
      <alignment horizontal="right" wrapText="1"/>
    </xf>
    <xf numFmtId="0" fontId="23" fillId="0" borderId="23" xfId="0" applyFont="1" applyBorder="1" applyAlignment="1">
      <alignment horizontal="left" vertical="top"/>
    </xf>
    <xf numFmtId="0" fontId="23" fillId="0" borderId="24" xfId="0" applyFont="1" applyBorder="1" applyAlignment="1">
      <alignment horizontal="right"/>
    </xf>
    <xf numFmtId="4" fontId="23" fillId="0" borderId="23" xfId="0" applyNumberFormat="1" applyFont="1" applyBorder="1" applyAlignment="1">
      <alignment horizontal="right"/>
    </xf>
    <xf numFmtId="4" fontId="23" fillId="0" borderId="22" xfId="0" applyNumberFormat="1" applyFont="1" applyBorder="1" applyAlignment="1">
      <alignment horizontal="right" wrapText="1"/>
    </xf>
    <xf numFmtId="4" fontId="23" fillId="0" borderId="24" xfId="0" applyNumberFormat="1" applyFont="1" applyBorder="1" applyAlignment="1">
      <alignment horizontal="right"/>
    </xf>
    <xf numFmtId="4" fontId="23" fillId="0" borderId="22" xfId="0" applyNumberFormat="1" applyFont="1" applyBorder="1" applyAlignment="1">
      <alignment horizontal="right"/>
    </xf>
    <xf numFmtId="0" fontId="23" fillId="0" borderId="5" xfId="0" applyFont="1" applyBorder="1" applyAlignment="1">
      <alignment horizontal="left" vertical="top"/>
    </xf>
    <xf numFmtId="0" fontId="23" fillId="0" borderId="6" xfId="0" applyFont="1" applyBorder="1" applyAlignment="1">
      <alignment horizontal="left" vertical="top" wrapText="1"/>
    </xf>
    <xf numFmtId="0" fontId="23" fillId="0" borderId="6" xfId="0" applyFont="1" applyBorder="1" applyAlignment="1">
      <alignment horizontal="right" wrapText="1"/>
    </xf>
    <xf numFmtId="0" fontId="23" fillId="0" borderId="7" xfId="0" applyFont="1" applyBorder="1" applyAlignment="1">
      <alignment horizontal="right"/>
    </xf>
    <xf numFmtId="4" fontId="23" fillId="0" borderId="5" xfId="0" applyNumberFormat="1" applyFont="1" applyBorder="1" applyAlignment="1">
      <alignment horizontal="right"/>
    </xf>
    <xf numFmtId="4" fontId="23" fillId="0" borderId="6" xfId="0" applyNumberFormat="1" applyFont="1" applyBorder="1" applyAlignment="1">
      <alignment horizontal="right" wrapText="1"/>
    </xf>
    <xf numFmtId="4" fontId="23" fillId="0" borderId="7" xfId="0" applyNumberFormat="1" applyFont="1" applyBorder="1" applyAlignment="1">
      <alignment horizontal="right"/>
    </xf>
    <xf numFmtId="4" fontId="23" fillId="0" borderId="6" xfId="0" applyNumberFormat="1" applyFont="1" applyBorder="1" applyAlignment="1">
      <alignment horizontal="right"/>
    </xf>
    <xf numFmtId="0" fontId="30" fillId="0" borderId="19" xfId="0" applyFont="1" applyBorder="1" applyAlignment="1">
      <alignment horizontal="left" vertical="top"/>
    </xf>
    <xf numFmtId="0" fontId="30" fillId="0" borderId="20" xfId="0" applyFont="1" applyBorder="1" applyAlignment="1">
      <alignment horizontal="left" vertical="top" wrapText="1"/>
    </xf>
    <xf numFmtId="0" fontId="30" fillId="0" borderId="20" xfId="0" applyFont="1" applyBorder="1" applyAlignment="1">
      <alignment horizontal="right" wrapText="1"/>
    </xf>
    <xf numFmtId="0" fontId="30" fillId="0" borderId="21" xfId="0" applyFont="1" applyBorder="1" applyAlignment="1">
      <alignment horizontal="right"/>
    </xf>
    <xf numFmtId="4" fontId="30" fillId="0" borderId="19" xfId="0" applyNumberFormat="1" applyFont="1" applyBorder="1" applyAlignment="1">
      <alignment horizontal="right"/>
    </xf>
    <xf numFmtId="4" fontId="30" fillId="0" borderId="20" xfId="0" applyNumberFormat="1" applyFont="1" applyBorder="1" applyAlignment="1">
      <alignment horizontal="right" wrapText="1"/>
    </xf>
    <xf numFmtId="4" fontId="30" fillId="0" borderId="21" xfId="0" applyNumberFormat="1" applyFont="1" applyBorder="1" applyAlignment="1">
      <alignment horizontal="right"/>
    </xf>
    <xf numFmtId="4" fontId="30" fillId="0" borderId="20" xfId="0" applyNumberFormat="1" applyFont="1" applyBorder="1" applyAlignment="1">
      <alignment horizontal="right"/>
    </xf>
    <xf numFmtId="0" fontId="30" fillId="0" borderId="25" xfId="0" applyFont="1" applyBorder="1" applyAlignment="1">
      <alignment horizontal="left" vertical="top"/>
    </xf>
    <xf numFmtId="0" fontId="30" fillId="0" borderId="26" xfId="0" applyFont="1" applyBorder="1" applyAlignment="1">
      <alignment horizontal="left" vertical="top" wrapText="1"/>
    </xf>
    <xf numFmtId="0" fontId="30" fillId="0" borderId="26" xfId="0" applyFont="1" applyBorder="1" applyAlignment="1">
      <alignment horizontal="right" wrapText="1"/>
    </xf>
    <xf numFmtId="0" fontId="30" fillId="0" borderId="27" xfId="0" applyFont="1" applyBorder="1" applyAlignment="1">
      <alignment horizontal="right"/>
    </xf>
    <xf numFmtId="4" fontId="30" fillId="0" borderId="25" xfId="0" applyNumberFormat="1" applyFont="1" applyBorder="1" applyAlignment="1">
      <alignment horizontal="right"/>
    </xf>
    <xf numFmtId="4" fontId="30" fillId="0" borderId="26" xfId="0" applyNumberFormat="1" applyFont="1" applyBorder="1" applyAlignment="1">
      <alignment horizontal="right" wrapText="1"/>
    </xf>
    <xf numFmtId="4" fontId="30" fillId="0" borderId="27" xfId="0" applyNumberFormat="1" applyFont="1" applyBorder="1" applyAlignment="1">
      <alignment horizontal="right"/>
    </xf>
    <xf numFmtId="4" fontId="30" fillId="0" borderId="26" xfId="0" applyNumberFormat="1" applyFont="1" applyBorder="1" applyAlignment="1">
      <alignment horizontal="right"/>
    </xf>
    <xf numFmtId="0" fontId="32" fillId="0" borderId="23" xfId="0" applyFont="1" applyBorder="1" applyAlignment="1">
      <alignment horizontal="left" vertical="top"/>
    </xf>
    <xf numFmtId="0" fontId="32" fillId="0" borderId="22" xfId="0" applyFont="1" applyBorder="1" applyAlignment="1">
      <alignment horizontal="left" vertical="top" wrapText="1"/>
    </xf>
    <xf numFmtId="0" fontId="32" fillId="0" borderId="22" xfId="0" applyFont="1" applyBorder="1" applyAlignment="1">
      <alignment horizontal="right" wrapText="1"/>
    </xf>
    <xf numFmtId="0" fontId="32" fillId="0" borderId="24" xfId="0" applyFont="1" applyBorder="1" applyAlignment="1">
      <alignment horizontal="right"/>
    </xf>
    <xf numFmtId="4" fontId="32" fillId="0" borderId="23" xfId="0" applyNumberFormat="1" applyFont="1" applyBorder="1" applyAlignment="1">
      <alignment horizontal="right"/>
    </xf>
    <xf numFmtId="4" fontId="32" fillId="0" borderId="22" xfId="0" applyNumberFormat="1" applyFont="1" applyBorder="1" applyAlignment="1">
      <alignment horizontal="right" wrapText="1"/>
    </xf>
    <xf numFmtId="4" fontId="32" fillId="0" borderId="24" xfId="0" applyNumberFormat="1" applyFont="1" applyBorder="1" applyAlignment="1">
      <alignment horizontal="right"/>
    </xf>
    <xf numFmtId="4" fontId="32" fillId="0" borderId="22" xfId="0" applyNumberFormat="1" applyFont="1" applyBorder="1" applyAlignment="1">
      <alignment horizontal="right"/>
    </xf>
    <xf numFmtId="4" fontId="28" fillId="0" borderId="0" xfId="0" applyNumberFormat="1" applyFont="1"/>
    <xf numFmtId="0" fontId="28" fillId="0" borderId="0" xfId="0" applyFont="1" applyAlignment="1">
      <alignment horizontal="right"/>
    </xf>
    <xf numFmtId="164" fontId="28" fillId="0" borderId="0" xfId="0" applyNumberFormat="1" applyFont="1" applyAlignment="1">
      <alignment horizontal="right"/>
    </xf>
    <xf numFmtId="0" fontId="28" fillId="0" borderId="0" xfId="0" applyFont="1" applyAlignment="1">
      <alignment horizontal="left" wrapText="1"/>
    </xf>
    <xf numFmtId="0" fontId="23" fillId="0" borderId="0" xfId="0" applyFont="1" applyAlignment="1">
      <alignment horizontal="right" vertical="center"/>
    </xf>
    <xf numFmtId="0" fontId="23" fillId="0" borderId="2" xfId="0" applyFont="1" applyBorder="1"/>
  </cellXfs>
  <cellStyles count="2">
    <cellStyle name="Обычный" xfId="0" builtinId="0"/>
    <cellStyle name="Обычный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92"/>
  <sheetViews>
    <sheetView topLeftCell="A13" zoomScaleNormal="100" workbookViewId="0">
      <selection activeCell="A23" sqref="A23"/>
    </sheetView>
  </sheetViews>
  <sheetFormatPr defaultRowHeight="12.75" x14ac:dyDescent="0.2"/>
  <cols>
    <col min="1" max="1" width="5.7109375" customWidth="1"/>
    <col min="2" max="2" width="11.7109375" customWidth="1"/>
    <col min="3" max="3" width="40.7109375" customWidth="1"/>
    <col min="4" max="5" width="10.7109375" customWidth="1"/>
    <col min="6" max="8" width="12.7109375" customWidth="1"/>
    <col min="9" max="9" width="17.7109375" customWidth="1"/>
    <col min="10" max="10" width="8.7109375" customWidth="1"/>
    <col min="11" max="11" width="12.7109375" customWidth="1"/>
    <col min="12" max="12" width="8.7109375" customWidth="1"/>
    <col min="15" max="36" width="0" hidden="1" customWidth="1"/>
  </cols>
  <sheetData>
    <row r="1" spans="1:12" x14ac:dyDescent="0.2">
      <c r="A1" s="9" t="str">
        <f>Source!B1</f>
        <v>Smeta.RU  (495) 974-1589</v>
      </c>
    </row>
    <row r="2" spans="1:12" ht="14.25" x14ac:dyDescent="0.2">
      <c r="A2" s="10"/>
      <c r="B2" s="10"/>
      <c r="C2" s="10"/>
      <c r="D2" s="10"/>
      <c r="E2" s="10"/>
      <c r="F2" s="10"/>
      <c r="G2" s="10"/>
      <c r="H2" s="10"/>
      <c r="I2" s="10"/>
      <c r="J2" s="10"/>
      <c r="K2" s="11"/>
      <c r="L2" s="11"/>
    </row>
    <row r="3" spans="1:12" ht="16.5" x14ac:dyDescent="0.25">
      <c r="A3" s="12"/>
      <c r="B3" s="13" t="s">
        <v>285</v>
      </c>
      <c r="C3" s="13"/>
      <c r="D3" s="13"/>
      <c r="E3" s="13"/>
      <c r="F3" s="11"/>
      <c r="G3" s="11"/>
      <c r="H3" s="13" t="s">
        <v>286</v>
      </c>
      <c r="I3" s="13"/>
      <c r="J3" s="13"/>
      <c r="K3" s="13"/>
      <c r="L3" s="13"/>
    </row>
    <row r="4" spans="1:12" ht="14.25" x14ac:dyDescent="0.2">
      <c r="A4" s="11"/>
      <c r="B4" s="14"/>
      <c r="C4" s="14"/>
      <c r="D4" s="14"/>
      <c r="E4" s="14"/>
      <c r="F4" s="11"/>
      <c r="G4" s="11"/>
      <c r="H4" s="14"/>
      <c r="I4" s="14"/>
      <c r="J4" s="14"/>
      <c r="K4" s="14"/>
      <c r="L4" s="14"/>
    </row>
    <row r="5" spans="1:12" ht="14.25" x14ac:dyDescent="0.2">
      <c r="A5" s="15"/>
      <c r="B5" s="15"/>
      <c r="C5" s="16"/>
      <c r="D5" s="16"/>
      <c r="E5" s="16"/>
      <c r="F5" s="11"/>
      <c r="G5" s="11"/>
      <c r="H5" s="17"/>
      <c r="I5" s="16"/>
      <c r="J5" s="16"/>
      <c r="K5" s="16"/>
      <c r="L5" s="17"/>
    </row>
    <row r="6" spans="1:12" ht="14.25" x14ac:dyDescent="0.2">
      <c r="A6" s="17"/>
      <c r="B6" s="14" t="str">
        <f>CONCATENATE("______________________ ", IF(Source!AL12&lt;&gt;"", Source!AL12, ""))</f>
        <v xml:space="preserve">______________________ </v>
      </c>
      <c r="C6" s="14"/>
      <c r="D6" s="14"/>
      <c r="E6" s="14"/>
      <c r="F6" s="11"/>
      <c r="G6" s="11"/>
      <c r="H6" s="14" t="str">
        <f>CONCATENATE("______________________ ", IF(Source!AH12&lt;&gt;"", Source!AH12, ""))</f>
        <v xml:space="preserve">______________________ </v>
      </c>
      <c r="I6" s="14"/>
      <c r="J6" s="14"/>
      <c r="K6" s="14"/>
      <c r="L6" s="14"/>
    </row>
    <row r="7" spans="1:12" ht="14.25" x14ac:dyDescent="0.2">
      <c r="A7" s="18"/>
      <c r="B7" s="19" t="s">
        <v>287</v>
      </c>
      <c r="C7" s="19"/>
      <c r="D7" s="19"/>
      <c r="E7" s="19"/>
      <c r="F7" s="11"/>
      <c r="G7" s="11"/>
      <c r="H7" s="19" t="s">
        <v>287</v>
      </c>
      <c r="I7" s="19"/>
      <c r="J7" s="19"/>
      <c r="K7" s="19"/>
      <c r="L7" s="19"/>
    </row>
    <row r="10" spans="1:12" ht="15.75" x14ac:dyDescent="0.25">
      <c r="A10" s="18"/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18"/>
    </row>
    <row r="11" spans="1:12" ht="14.25" x14ac:dyDescent="0.2">
      <c r="A11" s="21"/>
      <c r="B11" s="22" t="s">
        <v>288</v>
      </c>
      <c r="C11" s="22"/>
      <c r="D11" s="22"/>
      <c r="E11" s="22"/>
      <c r="F11" s="22"/>
      <c r="G11" s="22"/>
      <c r="H11" s="22"/>
      <c r="I11" s="22"/>
      <c r="J11" s="22"/>
      <c r="K11" s="22"/>
      <c r="L11" s="18"/>
    </row>
    <row r="12" spans="1:12" ht="14.25" x14ac:dyDescent="0.2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</row>
    <row r="13" spans="1:12" ht="14.25" x14ac:dyDescent="0.2">
      <c r="A13" s="11"/>
      <c r="B13" s="11"/>
      <c r="C13" s="11"/>
      <c r="D13" s="11"/>
      <c r="E13" s="11"/>
      <c r="F13" s="23" t="s">
        <v>289</v>
      </c>
      <c r="G13" s="23"/>
      <c r="H13" s="24" t="str">
        <f>IF(Source!F12&lt;&gt;"Новый объект", Source!F12, "")</f>
        <v/>
      </c>
      <c r="I13" s="24"/>
      <c r="J13" s="24"/>
      <c r="K13" s="24"/>
      <c r="L13" s="25"/>
    </row>
    <row r="14" spans="1:12" ht="14.25" x14ac:dyDescent="0.2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</row>
    <row r="15" spans="1:12" ht="15.75" x14ac:dyDescent="0.25">
      <c r="A15" s="26"/>
      <c r="B15" s="20" t="str">
        <f>CONCATENATE( "ЛОКАЛЬНАЯ СМЕТА № ",IF(Source!F12&lt;&gt;"Новый объект", Source!F12, ""))</f>
        <v xml:space="preserve">ЛОКАЛЬНАЯ СМЕТА № </v>
      </c>
      <c r="C15" s="20"/>
      <c r="D15" s="20"/>
      <c r="E15" s="20"/>
      <c r="F15" s="20"/>
      <c r="G15" s="20"/>
      <c r="H15" s="20"/>
      <c r="I15" s="20"/>
      <c r="J15" s="20"/>
      <c r="K15" s="20"/>
      <c r="L15" s="26"/>
    </row>
    <row r="16" spans="1:12" ht="15.75" x14ac:dyDescent="0.25">
      <c r="A16" s="26"/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6"/>
    </row>
    <row r="17" spans="1:12" ht="18" hidden="1" x14ac:dyDescent="0.25">
      <c r="A17" s="26"/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6"/>
    </row>
    <row r="18" spans="1:12" ht="14.25" hidden="1" x14ac:dyDescent="0.2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</row>
    <row r="19" spans="1:12" ht="18" x14ac:dyDescent="0.25">
      <c r="A19" s="11"/>
      <c r="B19" s="29" t="str">
        <f>IF(Source!G12&lt;&gt;"Новый объект", Source!G12, "")</f>
        <v>Выходной документ. Тест</v>
      </c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 ht="14.25" x14ac:dyDescent="0.2">
      <c r="A20" s="11"/>
      <c r="B20" s="31" t="s">
        <v>290</v>
      </c>
      <c r="C20" s="31"/>
      <c r="D20" s="31"/>
      <c r="E20" s="31"/>
      <c r="F20" s="31"/>
      <c r="G20" s="31"/>
      <c r="H20" s="31"/>
      <c r="I20" s="31"/>
      <c r="J20" s="31"/>
      <c r="K20" s="31"/>
      <c r="L20" s="18"/>
    </row>
    <row r="21" spans="1:12" ht="14.25" x14ac:dyDescent="0.2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</row>
    <row r="22" spans="1:12" ht="14.25" x14ac:dyDescent="0.2">
      <c r="A22" s="24" t="s">
        <v>316</v>
      </c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</row>
    <row r="23" spans="1:12" ht="14.25" x14ac:dyDescent="0.2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</row>
    <row r="24" spans="1:12" ht="14.25" x14ac:dyDescent="0.2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</row>
    <row r="25" spans="1:12" ht="14.25" x14ac:dyDescent="0.2">
      <c r="A25" s="11"/>
      <c r="B25" s="11"/>
      <c r="C25" s="11"/>
      <c r="D25" s="11"/>
      <c r="E25" s="32"/>
      <c r="F25" s="32"/>
      <c r="G25" s="33" t="s">
        <v>291</v>
      </c>
      <c r="H25" s="33"/>
      <c r="I25" s="33" t="s">
        <v>292</v>
      </c>
      <c r="J25" s="33"/>
      <c r="K25" s="11"/>
      <c r="L25" s="11"/>
    </row>
    <row r="26" spans="1:12" ht="15" x14ac:dyDescent="0.25">
      <c r="A26" s="11"/>
      <c r="B26" s="11"/>
      <c r="C26" s="34" t="s">
        <v>293</v>
      </c>
      <c r="D26" s="34"/>
      <c r="E26" s="34"/>
      <c r="F26" s="34"/>
      <c r="G26" s="35">
        <f>SUM(O1:O79)/1000</f>
        <v>3508.2724500000004</v>
      </c>
      <c r="H26" s="35"/>
      <c r="I26" s="35">
        <f>(Source!F162/1000)</f>
        <v>4260.4426399999993</v>
      </c>
      <c r="J26" s="35"/>
      <c r="K26" s="36" t="s">
        <v>294</v>
      </c>
      <c r="L26" s="36"/>
    </row>
    <row r="27" spans="1:12" ht="14.25" x14ac:dyDescent="0.2">
      <c r="A27" s="11"/>
      <c r="B27" s="11"/>
      <c r="C27" s="37" t="s">
        <v>295</v>
      </c>
      <c r="D27" s="37"/>
      <c r="E27" s="37"/>
      <c r="F27" s="37"/>
      <c r="G27" s="35">
        <f>SUM(W1:W79)/1000</f>
        <v>19.46884</v>
      </c>
      <c r="H27" s="35"/>
      <c r="I27" s="35">
        <f>(Source!F148)/1000</f>
        <v>31.78088</v>
      </c>
      <c r="J27" s="35"/>
      <c r="K27" s="36" t="s">
        <v>294</v>
      </c>
      <c r="L27" s="36"/>
    </row>
    <row r="28" spans="1:12" ht="14.25" x14ac:dyDescent="0.2">
      <c r="A28" s="11"/>
      <c r="B28" s="11"/>
      <c r="C28" s="37" t="s">
        <v>296</v>
      </c>
      <c r="D28" s="37"/>
      <c r="E28" s="37"/>
      <c r="F28" s="37"/>
      <c r="G28" s="35">
        <f>SUM(X1:X79)/1000</f>
        <v>1.58653</v>
      </c>
      <c r="H28" s="35"/>
      <c r="I28" s="35">
        <f>(Source!F149)/1000</f>
        <v>31.370909999999999</v>
      </c>
      <c r="J28" s="35"/>
      <c r="K28" s="36" t="s">
        <v>294</v>
      </c>
      <c r="L28" s="36"/>
    </row>
    <row r="29" spans="1:12" ht="14.25" x14ac:dyDescent="0.2">
      <c r="A29" s="11"/>
      <c r="B29" s="11"/>
      <c r="C29" s="37" t="s">
        <v>297</v>
      </c>
      <c r="D29" s="37"/>
      <c r="E29" s="37"/>
      <c r="F29" s="37"/>
      <c r="G29" s="35">
        <f>SUM(Y1:Y79)/1000</f>
        <v>3487.2170799999999</v>
      </c>
      <c r="H29" s="35"/>
      <c r="I29" s="35">
        <f>(Source!F140)/1000</f>
        <v>3487.2170799999999</v>
      </c>
      <c r="J29" s="35"/>
      <c r="K29" s="36" t="s">
        <v>294</v>
      </c>
      <c r="L29" s="36"/>
    </row>
    <row r="30" spans="1:12" ht="14.25" x14ac:dyDescent="0.2">
      <c r="A30" s="11"/>
      <c r="B30" s="11"/>
      <c r="C30" s="37" t="s">
        <v>298</v>
      </c>
      <c r="D30" s="37"/>
      <c r="E30" s="37"/>
      <c r="F30" s="37"/>
      <c r="G30" s="35">
        <f>SUM(Z1:Z79)/1000</f>
        <v>0</v>
      </c>
      <c r="H30" s="35"/>
      <c r="I30" s="35">
        <f>(Source!F150+Source!F151)/1000</f>
        <v>0</v>
      </c>
      <c r="J30" s="35"/>
      <c r="K30" s="36" t="s">
        <v>294</v>
      </c>
      <c r="L30" s="36"/>
    </row>
    <row r="31" spans="1:12" ht="15" x14ac:dyDescent="0.25">
      <c r="A31" s="11"/>
      <c r="B31" s="11"/>
      <c r="C31" s="34" t="s">
        <v>299</v>
      </c>
      <c r="D31" s="34"/>
      <c r="E31" s="34"/>
      <c r="F31" s="34"/>
      <c r="G31" s="35">
        <f>I31</f>
        <v>58.671904999999995</v>
      </c>
      <c r="H31" s="35"/>
      <c r="I31" s="35">
        <f>(Source!F153+Source!F154)</f>
        <v>58.671904999999995</v>
      </c>
      <c r="J31" s="35"/>
      <c r="K31" s="36" t="s">
        <v>300</v>
      </c>
      <c r="L31" s="36"/>
    </row>
    <row r="32" spans="1:12" ht="15" x14ac:dyDescent="0.25">
      <c r="A32" s="11"/>
      <c r="B32" s="11"/>
      <c r="C32" s="34" t="s">
        <v>301</v>
      </c>
      <c r="D32" s="34"/>
      <c r="E32" s="34"/>
      <c r="F32" s="34"/>
      <c r="G32" s="35">
        <f>SUM(R1:R79)/1000</f>
        <v>0.53389999999999993</v>
      </c>
      <c r="H32" s="35"/>
      <c r="I32" s="35">
        <f>(Source!F146+ Source!F145)/1000</f>
        <v>15.787370000000001</v>
      </c>
      <c r="J32" s="35"/>
      <c r="K32" s="36" t="s">
        <v>294</v>
      </c>
      <c r="L32" s="36"/>
    </row>
    <row r="33" spans="1:22" ht="14.25" hidden="1" x14ac:dyDescent="0.2">
      <c r="A33" s="11"/>
      <c r="B33" s="11"/>
      <c r="C33" s="37" t="s">
        <v>106</v>
      </c>
      <c r="D33" s="37"/>
      <c r="E33" s="37"/>
      <c r="F33" s="37"/>
      <c r="G33" s="35"/>
      <c r="H33" s="35"/>
      <c r="I33" s="35"/>
      <c r="J33" s="35"/>
      <c r="K33" s="38" t="s">
        <v>294</v>
      </c>
      <c r="L33" s="11"/>
    </row>
    <row r="34" spans="1:22" ht="15" x14ac:dyDescent="0.25">
      <c r="A34" s="11"/>
      <c r="B34" s="11"/>
      <c r="C34" s="39"/>
      <c r="D34" s="39"/>
      <c r="E34" s="39"/>
      <c r="F34" s="17"/>
      <c r="G34" s="40"/>
      <c r="H34" s="40"/>
      <c r="I34" s="40"/>
      <c r="J34" s="40"/>
      <c r="K34" s="40"/>
      <c r="L34" s="40"/>
    </row>
    <row r="35" spans="1:22" ht="15" hidden="1" x14ac:dyDescent="0.2">
      <c r="A35" s="17" t="s">
        <v>302</v>
      </c>
      <c r="B35" s="11"/>
      <c r="C35" s="11"/>
      <c r="D35" s="15"/>
      <c r="E35" s="11"/>
      <c r="F35" s="11"/>
      <c r="G35" s="41"/>
      <c r="H35" s="41"/>
      <c r="I35" s="42"/>
      <c r="J35" s="41"/>
      <c r="K35" s="41"/>
      <c r="L35" s="41"/>
    </row>
    <row r="36" spans="1:22" ht="15" hidden="1" x14ac:dyDescent="0.2">
      <c r="A36" s="17" t="s">
        <v>303</v>
      </c>
      <c r="B36" s="11"/>
      <c r="C36" s="11"/>
      <c r="D36" s="15"/>
      <c r="E36" s="11"/>
      <c r="F36" s="11"/>
      <c r="G36" s="41"/>
      <c r="H36" s="41"/>
      <c r="I36" s="42"/>
      <c r="J36" s="41"/>
      <c r="K36" s="41"/>
      <c r="L36" s="41"/>
    </row>
    <row r="37" spans="1:22" ht="15" hidden="1" x14ac:dyDescent="0.2">
      <c r="A37" s="11"/>
      <c r="B37" s="11"/>
      <c r="C37" s="10"/>
      <c r="D37" s="10"/>
      <c r="E37" s="10"/>
      <c r="F37" s="10"/>
      <c r="G37" s="41"/>
      <c r="H37" s="41"/>
      <c r="I37" s="42"/>
      <c r="J37" s="41"/>
      <c r="K37" s="41"/>
      <c r="L37" s="41"/>
    </row>
    <row r="38" spans="1:22" ht="14.25" x14ac:dyDescent="0.2">
      <c r="A38" s="43" t="s">
        <v>317</v>
      </c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</row>
    <row r="39" spans="1:22" ht="57" x14ac:dyDescent="0.2">
      <c r="A39" s="44" t="s">
        <v>304</v>
      </c>
      <c r="B39" s="44" t="s">
        <v>305</v>
      </c>
      <c r="C39" s="44" t="s">
        <v>306</v>
      </c>
      <c r="D39" s="44" t="s">
        <v>307</v>
      </c>
      <c r="E39" s="44" t="s">
        <v>308</v>
      </c>
      <c r="F39" s="44" t="s">
        <v>309</v>
      </c>
      <c r="G39" s="44" t="s">
        <v>310</v>
      </c>
      <c r="H39" s="44" t="s">
        <v>311</v>
      </c>
      <c r="I39" s="44" t="s">
        <v>312</v>
      </c>
      <c r="J39" s="44" t="s">
        <v>313</v>
      </c>
      <c r="K39" s="44" t="s">
        <v>314</v>
      </c>
      <c r="L39" s="44" t="s">
        <v>315</v>
      </c>
    </row>
    <row r="40" spans="1:22" ht="14.25" x14ac:dyDescent="0.2">
      <c r="A40" s="45">
        <v>1</v>
      </c>
      <c r="B40" s="45">
        <v>2</v>
      </c>
      <c r="C40" s="45">
        <v>3</v>
      </c>
      <c r="D40" s="45">
        <v>4</v>
      </c>
      <c r="E40" s="45">
        <v>5</v>
      </c>
      <c r="F40" s="45">
        <v>6</v>
      </c>
      <c r="G40" s="45">
        <v>7</v>
      </c>
      <c r="H40" s="45">
        <v>8</v>
      </c>
      <c r="I40" s="45">
        <v>9</v>
      </c>
      <c r="J40" s="45">
        <v>10</v>
      </c>
      <c r="K40" s="45">
        <v>11</v>
      </c>
      <c r="L40" s="46">
        <v>12</v>
      </c>
    </row>
    <row r="42" spans="1:22" ht="16.5" x14ac:dyDescent="0.25">
      <c r="A42" s="53" t="str">
        <f>CONCATENATE("Локальная смета: ",IF(Source!G20&lt;&gt;"Новая локальная смета", Source!G20, ""))</f>
        <v>Локальная смета: Монтаж оборудования</v>
      </c>
      <c r="B42" s="53"/>
      <c r="C42" s="53"/>
      <c r="D42" s="53"/>
      <c r="E42" s="53"/>
      <c r="F42" s="53"/>
      <c r="G42" s="53"/>
      <c r="H42" s="53"/>
      <c r="I42" s="53"/>
      <c r="J42" s="53"/>
      <c r="K42" s="53"/>
      <c r="L42" s="53"/>
    </row>
    <row r="44" spans="1:22" ht="16.5" x14ac:dyDescent="0.25">
      <c r="A44" s="53" t="str">
        <f>CONCATENATE("Раздел: ",IF(Source!G24&lt;&gt;"Новый раздел", Source!G24, ""))</f>
        <v>Раздел: Строение 1</v>
      </c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</row>
    <row r="46" spans="1:22" ht="16.5" x14ac:dyDescent="0.25">
      <c r="A46" s="53" t="str">
        <f>CONCATENATE("Подраздел: ",IF(Source!G28&lt;&gt;"Новый подраздел", Source!G28, ""))</f>
        <v>Подраздел: Пусковая часть 2</v>
      </c>
      <c r="B46" s="53"/>
      <c r="C46" s="53"/>
      <c r="D46" s="53"/>
      <c r="E46" s="53"/>
      <c r="F46" s="53"/>
      <c r="G46" s="53"/>
      <c r="H46" s="53"/>
      <c r="I46" s="53"/>
      <c r="J46" s="53"/>
      <c r="K46" s="53"/>
      <c r="L46" s="53"/>
    </row>
    <row r="47" spans="1:22" ht="71.25" x14ac:dyDescent="0.2">
      <c r="A47" s="38" t="str">
        <f>Source!E32</f>
        <v>1</v>
      </c>
      <c r="B47" s="76" t="str">
        <f>Source!F32</f>
        <v>06-01-005-4</v>
      </c>
      <c r="C47" s="76" t="str">
        <f>Source!G32</f>
        <v>Устройство железобетонных фундаментов общего назначения объемом до 5 м3</v>
      </c>
      <c r="D47" s="56" t="str">
        <f>Source!H32</f>
        <v>100 м3 бетона и железобетона в деле</v>
      </c>
      <c r="E47" s="10">
        <f>Source!I32</f>
        <v>2.9499999999999998E-2</v>
      </c>
      <c r="F47" s="57">
        <f>Source!AL32+Source!AM32+Source!AO32</f>
        <v>83518.430000000008</v>
      </c>
      <c r="G47" s="58"/>
      <c r="H47" s="59"/>
      <c r="I47" s="58" t="str">
        <f>Source!BO32</f>
        <v>06-01-005-4</v>
      </c>
      <c r="J47" s="58"/>
      <c r="K47" s="59"/>
      <c r="L47" s="60"/>
      <c r="S47">
        <f>ROUND((Source!FX32/100)*((ROUND(Source!AF32*Source!I32, 2)+ROUND(Source!AE32*Source!I32, 2))), 2)</f>
        <v>149.18</v>
      </c>
      <c r="T47">
        <f>Source!X32</f>
        <v>4411.3100000000004</v>
      </c>
      <c r="U47">
        <f>ROUND((Source!FY32/100)*((ROUND(Source!AF32*Source!I32, 2)+ROUND(Source!AE32*Source!I32, 2))), 2)</f>
        <v>92.35</v>
      </c>
      <c r="V47">
        <f>Source!Y32</f>
        <v>2730.81</v>
      </c>
    </row>
    <row r="48" spans="1:22" x14ac:dyDescent="0.2">
      <c r="C48" s="47" t="str">
        <f>"Объем: "&amp;Source!I32&amp;"=(0,15+"&amp;"1,6+"&amp;"1,2)/"&amp;"100"</f>
        <v>Объем: 0,0295=(0,15+1,6+1,2)/100</v>
      </c>
    </row>
    <row r="49" spans="1:26" ht="14.25" x14ac:dyDescent="0.2">
      <c r="A49" s="38"/>
      <c r="B49" s="76"/>
      <c r="C49" s="76" t="s">
        <v>318</v>
      </c>
      <c r="D49" s="56"/>
      <c r="E49" s="10"/>
      <c r="F49" s="57">
        <f>Source!AO32</f>
        <v>3837.46</v>
      </c>
      <c r="G49" s="58" t="str">
        <f>Source!DG32</f>
        <v>)*1,15</v>
      </c>
      <c r="H49" s="59">
        <f>ROUND(Source!AF32*Source!I32, 2)</f>
        <v>130.19</v>
      </c>
      <c r="I49" s="58"/>
      <c r="J49" s="58">
        <f>IF(Source!BA32&lt;&gt; 0, Source!BA32, 1)</f>
        <v>29.57</v>
      </c>
      <c r="K49" s="59">
        <f>Source!S32</f>
        <v>3849.6</v>
      </c>
      <c r="L49" s="60"/>
      <c r="R49">
        <f>H49</f>
        <v>130.19</v>
      </c>
    </row>
    <row r="50" spans="1:26" ht="14.25" x14ac:dyDescent="0.2">
      <c r="A50" s="38"/>
      <c r="B50" s="76"/>
      <c r="C50" s="76" t="s">
        <v>88</v>
      </c>
      <c r="D50" s="56"/>
      <c r="E50" s="10"/>
      <c r="F50" s="57">
        <f>Source!AM32</f>
        <v>2534.34</v>
      </c>
      <c r="G50" s="58" t="str">
        <f>Source!DE32</f>
        <v>)*1,25</v>
      </c>
      <c r="H50" s="59">
        <f>ROUND(Source!AD32*Source!I32, 2)</f>
        <v>93.45</v>
      </c>
      <c r="I50" s="58"/>
      <c r="J50" s="58">
        <f>IF(Source!BB32&lt;&gt; 0, Source!BB32, 1)</f>
        <v>9.18</v>
      </c>
      <c r="K50" s="59">
        <f>Source!Q32</f>
        <v>857.91</v>
      </c>
      <c r="L50" s="60"/>
    </row>
    <row r="51" spans="1:26" ht="14.25" x14ac:dyDescent="0.2">
      <c r="A51" s="38"/>
      <c r="B51" s="76"/>
      <c r="C51" s="76" t="s">
        <v>319</v>
      </c>
      <c r="D51" s="56"/>
      <c r="E51" s="10"/>
      <c r="F51" s="57">
        <f>Source!AN32</f>
        <v>322.5</v>
      </c>
      <c r="G51" s="58" t="str">
        <f>Source!DF32</f>
        <v>)*1,25</v>
      </c>
      <c r="H51" s="61">
        <f>ROUND(Source!AE32*Source!I32, 2)</f>
        <v>11.89</v>
      </c>
      <c r="I51" s="58"/>
      <c r="J51" s="58">
        <f>IF(Source!BS32&lt;&gt; 0, Source!BS32, 1)</f>
        <v>29.57</v>
      </c>
      <c r="K51" s="61">
        <f>Source!R32</f>
        <v>351.65</v>
      </c>
      <c r="L51" s="60"/>
      <c r="R51">
        <f>H51</f>
        <v>11.89</v>
      </c>
    </row>
    <row r="52" spans="1:26" ht="14.25" x14ac:dyDescent="0.2">
      <c r="A52" s="38"/>
      <c r="B52" s="76"/>
      <c r="C52" s="76" t="s">
        <v>320</v>
      </c>
      <c r="D52" s="56"/>
      <c r="E52" s="10"/>
      <c r="F52" s="57">
        <f>Source!AL32</f>
        <v>77146.63</v>
      </c>
      <c r="G52" s="58" t="str">
        <f>Source!DD32</f>
        <v/>
      </c>
      <c r="H52" s="59">
        <f>ROUND(Source!AC32*Source!I32, 2)</f>
        <v>2275.83</v>
      </c>
      <c r="I52" s="58"/>
      <c r="J52" s="58">
        <f>IF(Source!BC32&lt;&gt; 0, Source!BC32, 1)</f>
        <v>5.96</v>
      </c>
      <c r="K52" s="59">
        <f>Source!P32</f>
        <v>13563.92</v>
      </c>
      <c r="L52" s="60"/>
    </row>
    <row r="53" spans="1:26" ht="14.25" x14ac:dyDescent="0.2">
      <c r="A53" s="38"/>
      <c r="B53" s="76"/>
      <c r="C53" s="76" t="s">
        <v>321</v>
      </c>
      <c r="D53" s="56" t="s">
        <v>322</v>
      </c>
      <c r="E53" s="10">
        <f>Source!BZ32</f>
        <v>105</v>
      </c>
      <c r="F53" s="79"/>
      <c r="G53" s="58"/>
      <c r="H53" s="59">
        <f>SUM(S47:S59)</f>
        <v>149.18</v>
      </c>
      <c r="I53" s="62"/>
      <c r="J53" s="54">
        <f>Source!AT32</f>
        <v>105</v>
      </c>
      <c r="K53" s="59">
        <f>SUM(T47:T59)</f>
        <v>4411.3100000000004</v>
      </c>
      <c r="L53" s="60"/>
    </row>
    <row r="54" spans="1:26" ht="14.25" x14ac:dyDescent="0.2">
      <c r="A54" s="38"/>
      <c r="B54" s="76"/>
      <c r="C54" s="76" t="s">
        <v>323</v>
      </c>
      <c r="D54" s="56" t="s">
        <v>322</v>
      </c>
      <c r="E54" s="10">
        <f>Source!CA32</f>
        <v>65</v>
      </c>
      <c r="F54" s="79"/>
      <c r="G54" s="58"/>
      <c r="H54" s="59">
        <f>SUM(U47:U59)</f>
        <v>92.35</v>
      </c>
      <c r="I54" s="62"/>
      <c r="J54" s="54">
        <f>Source!AU32</f>
        <v>65</v>
      </c>
      <c r="K54" s="59">
        <f>SUM(V47:V59)</f>
        <v>2730.81</v>
      </c>
      <c r="L54" s="60"/>
    </row>
    <row r="55" spans="1:26" ht="14.25" x14ac:dyDescent="0.2">
      <c r="A55" s="38"/>
      <c r="B55" s="76"/>
      <c r="C55" s="76" t="s">
        <v>324</v>
      </c>
      <c r="D55" s="56" t="s">
        <v>325</v>
      </c>
      <c r="E55" s="10">
        <f>Source!AQ32</f>
        <v>453.6</v>
      </c>
      <c r="F55" s="57"/>
      <c r="G55" s="58" t="str">
        <f>Source!DI32</f>
        <v>)*1,15</v>
      </c>
      <c r="H55" s="59"/>
      <c r="I55" s="58"/>
      <c r="J55" s="58"/>
      <c r="K55" s="59"/>
      <c r="L55" s="63">
        <f>Source!U32</f>
        <v>15.388379999999998</v>
      </c>
    </row>
    <row r="56" spans="1:26" ht="28.5" x14ac:dyDescent="0.2">
      <c r="A56" s="38" t="str">
        <f>Source!E33</f>
        <v>1,1</v>
      </c>
      <c r="B56" s="76" t="str">
        <f>Source!F33</f>
        <v>204-0100</v>
      </c>
      <c r="C56" s="76" t="str">
        <f>Source!G33</f>
        <v>Горячекатаная арматурная сталь класса А-I, А-II, А-III</v>
      </c>
      <c r="D56" s="56" t="str">
        <f>Source!H33</f>
        <v>т</v>
      </c>
      <c r="E56" s="10">
        <f>Source!I33</f>
        <v>-2.9499999999999998E-2</v>
      </c>
      <c r="F56" s="57">
        <f>Source!AL33+Source!AM33+Source!AO33</f>
        <v>5649.99</v>
      </c>
      <c r="G56" s="64" t="s">
        <v>3</v>
      </c>
      <c r="H56" s="59">
        <f>ROUND(Source!AC33*Source!I33, 2)+ROUND(Source!AD33*Source!I33, 2)+ROUND(Source!AF33*Source!I33, 2)</f>
        <v>-166.67</v>
      </c>
      <c r="I56" s="58"/>
      <c r="J56" s="58">
        <f>IF(Source!BC33&lt;&gt; 0, Source!BC33, 1)</f>
        <v>5.91</v>
      </c>
      <c r="K56" s="59">
        <f>Source!O33</f>
        <v>-985.05</v>
      </c>
      <c r="L56" s="60"/>
      <c r="S56">
        <f>ROUND((Source!FX33/100)*((ROUND(Source!AF33*Source!I33, 2)+ROUND(Source!AE33*Source!I33, 2))), 2)</f>
        <v>0</v>
      </c>
      <c r="T56">
        <f>Source!X33</f>
        <v>0</v>
      </c>
      <c r="U56">
        <f>ROUND((Source!FY33/100)*((ROUND(Source!AF33*Source!I33, 2)+ROUND(Source!AE33*Source!I33, 2))), 2)</f>
        <v>0</v>
      </c>
      <c r="V56">
        <f>Source!Y33</f>
        <v>0</v>
      </c>
      <c r="W56">
        <f>IF(Source!BI33&lt;=1,H56, 0)</f>
        <v>-166.67</v>
      </c>
      <c r="X56">
        <f>IF(Source!BI33=2,H56, 0)</f>
        <v>0</v>
      </c>
      <c r="Y56">
        <f>IF(Source!BI33=3,H56, 0)</f>
        <v>0</v>
      </c>
      <c r="Z56">
        <f>IF(Source!BI33=4,H56, 0)</f>
        <v>0</v>
      </c>
    </row>
    <row r="57" spans="1:26" ht="28.5" x14ac:dyDescent="0.2">
      <c r="A57" s="38" t="str">
        <f>Source!E34</f>
        <v>1,2</v>
      </c>
      <c r="B57" s="76" t="str">
        <f>Source!F34</f>
        <v>204-0109</v>
      </c>
      <c r="C57" s="76" t="str">
        <f>Source!G34</f>
        <v>Горячекатанная арматурная сталь класса А500 С, диаметром 12 мм</v>
      </c>
      <c r="D57" s="56" t="str">
        <f>Source!H34</f>
        <v>т</v>
      </c>
      <c r="E57" s="10">
        <f>Source!I34</f>
        <v>2.1999999999999999E-2</v>
      </c>
      <c r="F57" s="57">
        <f>Source!AL34+Source!AM34+Source!AO34</f>
        <v>10565.61</v>
      </c>
      <c r="G57" s="64" t="s">
        <v>3</v>
      </c>
      <c r="H57" s="59">
        <f>ROUND(Source!AC34*Source!I34, 2)+ROUND(Source!AD34*Source!I34, 2)+ROUND(Source!AF34*Source!I34, 2)</f>
        <v>232.44</v>
      </c>
      <c r="I57" s="58"/>
      <c r="J57" s="58">
        <f>IF(Source!BC34&lt;&gt; 0, Source!BC34, 1)</f>
        <v>2.78</v>
      </c>
      <c r="K57" s="59">
        <f>Source!O34</f>
        <v>646.19000000000005</v>
      </c>
      <c r="L57" s="60"/>
      <c r="S57">
        <f>ROUND((Source!FX34/100)*((ROUND(Source!AF34*Source!I34, 2)+ROUND(Source!AE34*Source!I34, 2))), 2)</f>
        <v>0</v>
      </c>
      <c r="T57">
        <f>Source!X34</f>
        <v>0</v>
      </c>
      <c r="U57">
        <f>ROUND((Source!FY34/100)*((ROUND(Source!AF34*Source!I34, 2)+ROUND(Source!AE34*Source!I34, 2))), 2)</f>
        <v>0</v>
      </c>
      <c r="V57">
        <f>Source!Y34</f>
        <v>0</v>
      </c>
      <c r="W57">
        <f>IF(Source!BI34&lt;=1,H57, 0)</f>
        <v>232.44</v>
      </c>
      <c r="X57">
        <f>IF(Source!BI34=2,H57, 0)</f>
        <v>0</v>
      </c>
      <c r="Y57">
        <f>IF(Source!BI34=3,H57, 0)</f>
        <v>0</v>
      </c>
      <c r="Z57">
        <f>IF(Source!BI34=4,H57, 0)</f>
        <v>0</v>
      </c>
    </row>
    <row r="58" spans="1:26" ht="28.5" x14ac:dyDescent="0.2">
      <c r="A58" s="38" t="str">
        <f>Source!E35</f>
        <v>1,3</v>
      </c>
      <c r="B58" s="76" t="str">
        <f>Source!F35</f>
        <v>401-0066</v>
      </c>
      <c r="C58" s="76" t="str">
        <f>Source!G35</f>
        <v>Бетон тяжелый, крупность заполнителя 20 мм, класс В15 (М200)</v>
      </c>
      <c r="D58" s="56" t="str">
        <f>Source!H35</f>
        <v>комплекс работ</v>
      </c>
      <c r="E58" s="10">
        <f>Source!I35</f>
        <v>-2.9942499999999996</v>
      </c>
      <c r="F58" s="57">
        <f>Source!AL35+Source!AM35+Source!AO35</f>
        <v>665</v>
      </c>
      <c r="G58" s="64" t="s">
        <v>3</v>
      </c>
      <c r="H58" s="59">
        <f>ROUND(Source!AC35*Source!I35, 2)+ROUND(Source!AD35*Source!I35, 2)+ROUND(Source!AF35*Source!I35, 2)</f>
        <v>-1991.18</v>
      </c>
      <c r="I58" s="58"/>
      <c r="J58" s="58">
        <f>IF(Source!BC35&lt;&gt; 0, Source!BC35, 1)</f>
        <v>6</v>
      </c>
      <c r="K58" s="59">
        <f>Source!O35</f>
        <v>-11947.06</v>
      </c>
      <c r="L58" s="60"/>
      <c r="S58">
        <f>ROUND((Source!FX35/100)*((ROUND(Source!AF35*Source!I35, 2)+ROUND(Source!AE35*Source!I35, 2))), 2)</f>
        <v>0</v>
      </c>
      <c r="T58">
        <f>Source!X35</f>
        <v>0</v>
      </c>
      <c r="U58">
        <f>ROUND((Source!FY35/100)*((ROUND(Source!AF35*Source!I35, 2)+ROUND(Source!AE35*Source!I35, 2))), 2)</f>
        <v>0</v>
      </c>
      <c r="V58">
        <f>Source!Y35</f>
        <v>0</v>
      </c>
      <c r="W58">
        <f>IF(Source!BI35&lt;=1,H58, 0)</f>
        <v>-1991.18</v>
      </c>
      <c r="X58">
        <f>IF(Source!BI35=2,H58, 0)</f>
        <v>0</v>
      </c>
      <c r="Y58">
        <f>IF(Source!BI35=3,H58, 0)</f>
        <v>0</v>
      </c>
      <c r="Z58">
        <f>IF(Source!BI35=4,H58, 0)</f>
        <v>0</v>
      </c>
    </row>
    <row r="59" spans="1:26" ht="54" x14ac:dyDescent="0.2">
      <c r="A59" s="77" t="str">
        <f>Source!E36</f>
        <v>1,4</v>
      </c>
      <c r="B59" s="78" t="str">
        <f>Source!F36</f>
        <v>Дог Цена</v>
      </c>
      <c r="C59" s="78" t="s">
        <v>326</v>
      </c>
      <c r="D59" s="65" t="str">
        <f>Source!H36</f>
        <v>1 м3</v>
      </c>
      <c r="E59" s="66">
        <f>Source!I36</f>
        <v>3</v>
      </c>
      <c r="F59" s="67">
        <f>Source!AL36+Source!AM36+Source!AO36</f>
        <v>4441.25</v>
      </c>
      <c r="G59" s="68" t="s">
        <v>3</v>
      </c>
      <c r="H59" s="69">
        <f>ROUND(Source!AC36*Source!I36, 2)+ROUND(Source!AD36*Source!I36, 2)+ROUND(Source!AF36*Source!I36, 2)</f>
        <v>13323.75</v>
      </c>
      <c r="I59" s="70"/>
      <c r="J59" s="70">
        <f>IF(Source!BC36&lt;&gt; 0, Source!BC36, 1)</f>
        <v>1</v>
      </c>
      <c r="K59" s="69">
        <f>Source!O36</f>
        <v>13323.75</v>
      </c>
      <c r="L59" s="71"/>
      <c r="S59">
        <f>ROUND((Source!FX36/100)*((ROUND(Source!AF36*Source!I36, 2)+ROUND(Source!AE36*Source!I36, 2))), 2)</f>
        <v>0</v>
      </c>
      <c r="T59">
        <f>Source!X36</f>
        <v>0</v>
      </c>
      <c r="U59">
        <f>ROUND((Source!FY36/100)*((ROUND(Source!AF36*Source!I36, 2)+ROUND(Source!AE36*Source!I36, 2))), 2)</f>
        <v>0</v>
      </c>
      <c r="V59">
        <f>Source!Y36</f>
        <v>0</v>
      </c>
      <c r="W59">
        <f>IF(Source!BI36&lt;=1,H59, 0)</f>
        <v>13323.75</v>
      </c>
      <c r="X59">
        <f>IF(Source!BI36=2,H59, 0)</f>
        <v>0</v>
      </c>
      <c r="Y59">
        <f>IF(Source!BI36=3,H59, 0)</f>
        <v>0</v>
      </c>
      <c r="Z59">
        <f>IF(Source!BI36=4,H59, 0)</f>
        <v>0</v>
      </c>
    </row>
    <row r="60" spans="1:26" ht="15" x14ac:dyDescent="0.25">
      <c r="G60" s="72">
        <f>H49+H50+H52+H53+H54+SUM(H56:H59)</f>
        <v>14139.34</v>
      </c>
      <c r="H60" s="72"/>
      <c r="J60" s="72">
        <f>K49+K50+K52+K53+K54+SUM(K56:K59)</f>
        <v>26451.380000000005</v>
      </c>
      <c r="K60" s="72"/>
      <c r="L60" s="73">
        <f>Source!U32</f>
        <v>15.388379999999998</v>
      </c>
      <c r="O60" s="48">
        <f>G60</f>
        <v>14139.34</v>
      </c>
      <c r="P60" s="48">
        <f>J60</f>
        <v>26451.380000000005</v>
      </c>
      <c r="Q60" s="48">
        <f>L60</f>
        <v>15.388379999999998</v>
      </c>
      <c r="W60">
        <f>IF(Source!BI32&lt;=1,H49+H50+H52+H53+H54, 0)</f>
        <v>2740.9999999999995</v>
      </c>
      <c r="X60">
        <f>IF(Source!BI32=2,H49+H50+H52+H53+H54, 0)</f>
        <v>0</v>
      </c>
      <c r="Y60">
        <f>IF(Source!BI32=3,H49+H50+H52+H53+H54, 0)</f>
        <v>0</v>
      </c>
      <c r="Z60">
        <f>IF(Source!BI32=4,H49+H50+H52+H53+H54, 0)</f>
        <v>0</v>
      </c>
    </row>
    <row r="61" spans="1:26" ht="42.75" x14ac:dyDescent="0.2">
      <c r="A61" s="38" t="str">
        <f>Source!E37</f>
        <v>2</v>
      </c>
      <c r="B61" s="76" t="str">
        <f>Source!F37</f>
        <v>м37-01-001-3</v>
      </c>
      <c r="C61" s="76" t="str">
        <f>Source!G37</f>
        <v>Монтаж оборудования без механизмов на открытой площадке, масса оборудования 0,1 т</v>
      </c>
      <c r="D61" s="56" t="str">
        <f>Source!H37</f>
        <v>1  ШТ.</v>
      </c>
      <c r="E61" s="10">
        <f>Source!I37</f>
        <v>2</v>
      </c>
      <c r="F61" s="57">
        <f>Source!AL37+Source!AM37+Source!AO37</f>
        <v>518.99</v>
      </c>
      <c r="G61" s="58"/>
      <c r="H61" s="59"/>
      <c r="I61" s="58" t="str">
        <f>Source!BO37</f>
        <v>м37-01-001-3</v>
      </c>
      <c r="J61" s="58"/>
      <c r="K61" s="59"/>
      <c r="L61" s="60"/>
      <c r="S61">
        <f>ROUND((Source!FX37/100)*((ROUND(Source!AF37*Source!I37, 2)+ROUND(Source!AE37*Source!I37, 2))), 2)</f>
        <v>313.45999999999998</v>
      </c>
      <c r="T61">
        <f>Source!X37</f>
        <v>9268.9</v>
      </c>
      <c r="U61">
        <f>ROUND((Source!FY37/100)*((ROUND(Source!AF37*Source!I37, 2)+ROUND(Source!AE37*Source!I37, 2))), 2)</f>
        <v>235.09</v>
      </c>
      <c r="V61">
        <f>Source!Y37</f>
        <v>6951.67</v>
      </c>
    </row>
    <row r="62" spans="1:26" ht="14.25" x14ac:dyDescent="0.2">
      <c r="A62" s="38"/>
      <c r="B62" s="76"/>
      <c r="C62" s="76" t="s">
        <v>318</v>
      </c>
      <c r="D62" s="56"/>
      <c r="E62" s="10"/>
      <c r="F62" s="57">
        <f>Source!AO37</f>
        <v>191.86</v>
      </c>
      <c r="G62" s="58" t="str">
        <f>Source!DG37</f>
        <v/>
      </c>
      <c r="H62" s="59">
        <f>ROUND(Source!AF37*Source!I37, 2)</f>
        <v>383.72</v>
      </c>
      <c r="I62" s="58"/>
      <c r="J62" s="58">
        <f>IF(Source!BA37&lt;&gt; 0, Source!BA37, 1)</f>
        <v>29.57</v>
      </c>
      <c r="K62" s="59">
        <f>Source!S37</f>
        <v>11346.6</v>
      </c>
      <c r="L62" s="60"/>
      <c r="R62">
        <f>H62</f>
        <v>383.72</v>
      </c>
    </row>
    <row r="63" spans="1:26" ht="14.25" x14ac:dyDescent="0.2">
      <c r="A63" s="38"/>
      <c r="B63" s="76"/>
      <c r="C63" s="76" t="s">
        <v>88</v>
      </c>
      <c r="D63" s="56"/>
      <c r="E63" s="10"/>
      <c r="F63" s="57">
        <f>Source!AM37</f>
        <v>80.290000000000006</v>
      </c>
      <c r="G63" s="58" t="str">
        <f>Source!DE37</f>
        <v/>
      </c>
      <c r="H63" s="59">
        <f>ROUND(Source!AD37*Source!I37, 2)</f>
        <v>160.58000000000001</v>
      </c>
      <c r="I63" s="58"/>
      <c r="J63" s="58">
        <f>IF(Source!BB37&lt;&gt; 0, Source!BB37, 1)</f>
        <v>6.84</v>
      </c>
      <c r="K63" s="59">
        <f>Source!Q37</f>
        <v>1098.3699999999999</v>
      </c>
      <c r="L63" s="60"/>
    </row>
    <row r="64" spans="1:26" ht="14.25" x14ac:dyDescent="0.2">
      <c r="A64" s="38"/>
      <c r="B64" s="76"/>
      <c r="C64" s="76" t="s">
        <v>319</v>
      </c>
      <c r="D64" s="56"/>
      <c r="E64" s="10"/>
      <c r="F64" s="57">
        <f>Source!AN37</f>
        <v>4.05</v>
      </c>
      <c r="G64" s="58" t="str">
        <f>Source!DF37</f>
        <v/>
      </c>
      <c r="H64" s="61">
        <f>ROUND(Source!AE37*Source!I37, 2)</f>
        <v>8.1</v>
      </c>
      <c r="I64" s="58"/>
      <c r="J64" s="58">
        <f>IF(Source!BS37&lt;&gt; 0, Source!BS37, 1)</f>
        <v>29.57</v>
      </c>
      <c r="K64" s="61">
        <f>Source!R37</f>
        <v>239.52</v>
      </c>
      <c r="L64" s="60"/>
      <c r="R64">
        <f>H64</f>
        <v>8.1</v>
      </c>
    </row>
    <row r="65" spans="1:26" ht="14.25" x14ac:dyDescent="0.2">
      <c r="A65" s="38"/>
      <c r="B65" s="76"/>
      <c r="C65" s="76" t="s">
        <v>320</v>
      </c>
      <c r="D65" s="56"/>
      <c r="E65" s="10"/>
      <c r="F65" s="57">
        <f>Source!AL37</f>
        <v>246.84</v>
      </c>
      <c r="G65" s="58" t="str">
        <f>Source!DD37</f>
        <v/>
      </c>
      <c r="H65" s="59">
        <f>ROUND(Source!AC37*Source!I37, 2)</f>
        <v>493.68</v>
      </c>
      <c r="I65" s="58"/>
      <c r="J65" s="58">
        <f>IF(Source!BC37&lt;&gt; 0, Source!BC37, 1)</f>
        <v>5.48</v>
      </c>
      <c r="K65" s="59">
        <f>Source!P37</f>
        <v>2705.37</v>
      </c>
      <c r="L65" s="60"/>
    </row>
    <row r="66" spans="1:26" ht="14.25" x14ac:dyDescent="0.2">
      <c r="A66" s="38"/>
      <c r="B66" s="76"/>
      <c r="C66" s="76" t="s">
        <v>321</v>
      </c>
      <c r="D66" s="56" t="s">
        <v>322</v>
      </c>
      <c r="E66" s="10">
        <f>Source!BZ37</f>
        <v>80</v>
      </c>
      <c r="F66" s="79"/>
      <c r="G66" s="58"/>
      <c r="H66" s="59">
        <f>SUM(S61:S68)</f>
        <v>313.45999999999998</v>
      </c>
      <c r="I66" s="62"/>
      <c r="J66" s="54">
        <f>Source!AT37</f>
        <v>80</v>
      </c>
      <c r="K66" s="59">
        <f>SUM(T61:T68)</f>
        <v>9268.9</v>
      </c>
      <c r="L66" s="60"/>
    </row>
    <row r="67" spans="1:26" ht="14.25" x14ac:dyDescent="0.2">
      <c r="A67" s="38"/>
      <c r="B67" s="76"/>
      <c r="C67" s="76" t="s">
        <v>323</v>
      </c>
      <c r="D67" s="56" t="s">
        <v>322</v>
      </c>
      <c r="E67" s="10">
        <f>Source!CA37</f>
        <v>60</v>
      </c>
      <c r="F67" s="79"/>
      <c r="G67" s="58"/>
      <c r="H67" s="59">
        <f>SUM(U61:U68)</f>
        <v>235.09</v>
      </c>
      <c r="I67" s="62"/>
      <c r="J67" s="54">
        <f>Source!AU37</f>
        <v>60</v>
      </c>
      <c r="K67" s="59">
        <f>SUM(V61:V68)</f>
        <v>6951.67</v>
      </c>
      <c r="L67" s="60"/>
    </row>
    <row r="68" spans="1:26" ht="14.25" x14ac:dyDescent="0.2">
      <c r="A68" s="77"/>
      <c r="B68" s="78"/>
      <c r="C68" s="78" t="s">
        <v>324</v>
      </c>
      <c r="D68" s="65" t="s">
        <v>325</v>
      </c>
      <c r="E68" s="66">
        <f>Source!AQ37</f>
        <v>20.9</v>
      </c>
      <c r="F68" s="67"/>
      <c r="G68" s="70" t="str">
        <f>Source!DI37</f>
        <v/>
      </c>
      <c r="H68" s="69"/>
      <c r="I68" s="70"/>
      <c r="J68" s="70"/>
      <c r="K68" s="69"/>
      <c r="L68" s="74">
        <f>Source!U37</f>
        <v>41.8</v>
      </c>
    </row>
    <row r="69" spans="1:26" ht="15" x14ac:dyDescent="0.25">
      <c r="G69" s="72">
        <f>H62+H63+H65+H66+H67</f>
        <v>1586.53</v>
      </c>
      <c r="H69" s="72"/>
      <c r="J69" s="72">
        <f>K62+K63+K65+K66+K67</f>
        <v>31370.909999999996</v>
      </c>
      <c r="K69" s="72"/>
      <c r="L69" s="73">
        <f>Source!U37</f>
        <v>41.8</v>
      </c>
      <c r="O69" s="48">
        <f>G69</f>
        <v>1586.53</v>
      </c>
      <c r="P69" s="48">
        <f>J69</f>
        <v>31370.909999999996</v>
      </c>
      <c r="Q69" s="48">
        <f>L69</f>
        <v>41.8</v>
      </c>
      <c r="W69">
        <f>IF(Source!BI37&lt;=1,H62+H63+H65+H66+H67, 0)</f>
        <v>0</v>
      </c>
      <c r="X69">
        <f>IF(Source!BI37=2,H62+H63+H65+H66+H67, 0)</f>
        <v>1586.53</v>
      </c>
      <c r="Y69">
        <f>IF(Source!BI37=3,H62+H63+H65+H66+H67, 0)</f>
        <v>0</v>
      </c>
      <c r="Z69">
        <f>IF(Source!BI37=4,H62+H63+H65+H66+H67, 0)</f>
        <v>0</v>
      </c>
    </row>
    <row r="70" spans="1:26" ht="52.5" x14ac:dyDescent="0.2">
      <c r="A70" s="77" t="str">
        <f>Source!E38</f>
        <v>3</v>
      </c>
      <c r="B70" s="78" t="str">
        <f>Source!F38</f>
        <v>Поставка</v>
      </c>
      <c r="C70" s="78" t="s">
        <v>327</v>
      </c>
      <c r="D70" s="65" t="str">
        <f>Source!H38</f>
        <v>КОМПЛ</v>
      </c>
      <c r="E70" s="66">
        <f>Source!I38</f>
        <v>2</v>
      </c>
      <c r="F70" s="67">
        <f>Source!AL38</f>
        <v>1743608.5399999998</v>
      </c>
      <c r="G70" s="70" t="str">
        <f>Source!DD38</f>
        <v/>
      </c>
      <c r="H70" s="69">
        <f>ROUND(Source!AC38*Source!I38, 2)</f>
        <v>3487217.08</v>
      </c>
      <c r="I70" s="70" t="str">
        <f>Source!BO38</f>
        <v/>
      </c>
      <c r="J70" s="70">
        <f>IF(Source!BC38&lt;&gt; 0, Source!BC38, 1)</f>
        <v>1</v>
      </c>
      <c r="K70" s="69">
        <f>Source!P38</f>
        <v>3487217.08</v>
      </c>
      <c r="L70" s="71"/>
      <c r="S70">
        <f>ROUND((Source!FX38/100)*((ROUND(Source!AF38*Source!I38, 2)+ROUND(Source!AE38*Source!I38, 2))), 2)</f>
        <v>0</v>
      </c>
      <c r="T70">
        <f>Source!X38</f>
        <v>0</v>
      </c>
      <c r="U70">
        <f>ROUND((Source!FY38/100)*((ROUND(Source!AF38*Source!I38, 2)+ROUND(Source!AE38*Source!I38, 2))), 2)</f>
        <v>0</v>
      </c>
      <c r="V70">
        <f>Source!Y38</f>
        <v>0</v>
      </c>
    </row>
    <row r="71" spans="1:26" ht="15" x14ac:dyDescent="0.25">
      <c r="G71" s="72">
        <f>H70</f>
        <v>3487217.08</v>
      </c>
      <c r="H71" s="72"/>
      <c r="J71" s="72">
        <f>K70</f>
        <v>3487217.08</v>
      </c>
      <c r="K71" s="72"/>
      <c r="L71" s="73">
        <f>Source!U38</f>
        <v>0</v>
      </c>
      <c r="O71" s="48">
        <f>G71</f>
        <v>3487217.08</v>
      </c>
      <c r="P71" s="48">
        <f>J71</f>
        <v>3487217.08</v>
      </c>
      <c r="Q71" s="48">
        <f>L71</f>
        <v>0</v>
      </c>
      <c r="W71">
        <f>IF(Source!BI38&lt;=1,H70, 0)</f>
        <v>0</v>
      </c>
      <c r="X71">
        <f>IF(Source!BI38=2,H70, 0)</f>
        <v>0</v>
      </c>
      <c r="Y71">
        <f>IF(Source!BI38=3,H70, 0)</f>
        <v>3487217.08</v>
      </c>
      <c r="Z71">
        <f>IF(Source!BI38=4,H70, 0)</f>
        <v>0</v>
      </c>
    </row>
    <row r="72" spans="1:26" ht="39.75" x14ac:dyDescent="0.2">
      <c r="A72" s="77" t="str">
        <f>Source!E39</f>
        <v>4</v>
      </c>
      <c r="B72" s="78" t="str">
        <f>Source!F39</f>
        <v>Дог Цена</v>
      </c>
      <c r="C72" s="78" t="s">
        <v>328</v>
      </c>
      <c r="D72" s="65" t="str">
        <f>Source!H39</f>
        <v>1 м3</v>
      </c>
      <c r="E72" s="66">
        <f>Source!I39</f>
        <v>1.2</v>
      </c>
      <c r="F72" s="67">
        <f>Source!AL39</f>
        <v>4441.25</v>
      </c>
      <c r="G72" s="70" t="str">
        <f>Source!DD39</f>
        <v/>
      </c>
      <c r="H72" s="69">
        <f>ROUND(Source!AC39*Source!I39, 2)</f>
        <v>5329.5</v>
      </c>
      <c r="I72" s="70" t="str">
        <f>Source!BO39</f>
        <v/>
      </c>
      <c r="J72" s="70">
        <f>IF(Source!BC39&lt;&gt; 0, Source!BC39, 1)</f>
        <v>1</v>
      </c>
      <c r="K72" s="69">
        <f>Source!P39</f>
        <v>5329.5</v>
      </c>
      <c r="L72" s="71"/>
      <c r="S72">
        <f>ROUND((Source!FX39/100)*((ROUND(Source!AF39*Source!I39, 2)+ROUND(Source!AE39*Source!I39, 2))), 2)</f>
        <v>0</v>
      </c>
      <c r="T72">
        <f>Source!X39</f>
        <v>0</v>
      </c>
      <c r="U72">
        <f>ROUND((Source!FY39/100)*((ROUND(Source!AF39*Source!I39, 2)+ROUND(Source!AE39*Source!I39, 2))), 2)</f>
        <v>0</v>
      </c>
      <c r="V72">
        <f>Source!Y39</f>
        <v>0</v>
      </c>
    </row>
    <row r="73" spans="1:26" ht="15" x14ac:dyDescent="0.25">
      <c r="G73" s="72">
        <f>H72</f>
        <v>5329.5</v>
      </c>
      <c r="H73" s="72"/>
      <c r="J73" s="72">
        <f>K72</f>
        <v>5329.5</v>
      </c>
      <c r="K73" s="72"/>
      <c r="L73" s="73">
        <f>Source!U39</f>
        <v>0</v>
      </c>
      <c r="O73" s="48">
        <f>G73</f>
        <v>5329.5</v>
      </c>
      <c r="P73" s="48">
        <f>J73</f>
        <v>5329.5</v>
      </c>
      <c r="Q73" s="48">
        <f>L73</f>
        <v>0</v>
      </c>
      <c r="W73">
        <f>IF(Source!BI39&lt;=1,H72, 0)</f>
        <v>5329.5</v>
      </c>
      <c r="X73">
        <f>IF(Source!BI39=2,H72, 0)</f>
        <v>0</v>
      </c>
      <c r="Y73">
        <f>IF(Source!BI39=3,H72, 0)</f>
        <v>0</v>
      </c>
      <c r="Z73">
        <f>IF(Source!BI39=4,H72, 0)</f>
        <v>0</v>
      </c>
    </row>
    <row r="78" spans="1:26" ht="15" x14ac:dyDescent="0.25">
      <c r="A78" s="55" t="str">
        <f>CONCATENATE("Итого по смете: ",IF(Source!G131&lt;&gt;"Новый объект", Source!G131, ""))</f>
        <v>Итого по смете: Выходной документ. Тест</v>
      </c>
      <c r="B78" s="55"/>
      <c r="C78" s="55"/>
      <c r="D78" s="55"/>
      <c r="E78" s="55"/>
      <c r="F78" s="55"/>
      <c r="G78" s="75">
        <f>SUM(O1:O77)</f>
        <v>3508272.45</v>
      </c>
      <c r="H78" s="75"/>
      <c r="I78" s="52"/>
      <c r="J78" s="75">
        <f>SUM(P1:P77)</f>
        <v>3550368.87</v>
      </c>
      <c r="K78" s="75"/>
      <c r="L78" s="73">
        <f>SUM(Q1:Q77)</f>
        <v>57.188379999999995</v>
      </c>
    </row>
    <row r="80" spans="1:26" ht="14.25" x14ac:dyDescent="0.2">
      <c r="C80" s="24" t="str">
        <f>Source!H160</f>
        <v>Итого по разделам:</v>
      </c>
      <c r="D80" s="24"/>
      <c r="E80" s="24"/>
      <c r="F80" s="24"/>
      <c r="G80" s="24"/>
      <c r="H80" s="24"/>
      <c r="I80" s="24"/>
      <c r="J80" s="35">
        <f>IF(Source!F160=0, "", Source!F160)</f>
        <v>3550368.87</v>
      </c>
      <c r="K80" s="35"/>
    </row>
    <row r="81" spans="1:12" ht="14.25" x14ac:dyDescent="0.2">
      <c r="C81" s="24" t="str">
        <f>Source!H161</f>
        <v>НДС - 20%</v>
      </c>
      <c r="D81" s="24"/>
      <c r="E81" s="24"/>
      <c r="F81" s="24"/>
      <c r="G81" s="24"/>
      <c r="H81" s="24"/>
      <c r="I81" s="24"/>
      <c r="J81" s="35">
        <f>IF(Source!F161=0, "", Source!F161)</f>
        <v>710073.77</v>
      </c>
      <c r="K81" s="35"/>
    </row>
    <row r="82" spans="1:12" ht="14.25" x14ac:dyDescent="0.2">
      <c r="C82" s="24" t="str">
        <f>Source!H162</f>
        <v>Всего:</v>
      </c>
      <c r="D82" s="24"/>
      <c r="E82" s="24"/>
      <c r="F82" s="24"/>
      <c r="G82" s="24"/>
      <c r="H82" s="24"/>
      <c r="I82" s="24"/>
      <c r="J82" s="35">
        <f>IF(Source!F162=0, "", Source!F162)</f>
        <v>4260442.6399999997</v>
      </c>
      <c r="K82" s="35"/>
    </row>
    <row r="85" spans="1:12" ht="14.25" x14ac:dyDescent="0.2">
      <c r="A85" s="50" t="s">
        <v>329</v>
      </c>
      <c r="B85" s="50"/>
      <c r="C85" s="10" t="s">
        <v>330</v>
      </c>
      <c r="D85" s="49" t="str">
        <f>IF(Source!CP12&lt;&gt;"", Source!CP12," ")</f>
        <v xml:space="preserve"> </v>
      </c>
      <c r="E85" s="49"/>
      <c r="F85" s="49"/>
      <c r="G85" s="49"/>
      <c r="H85" s="49"/>
      <c r="I85" s="11" t="str">
        <f>IF(Source!CO12&lt;&gt;"", Source!CO12," ")</f>
        <v xml:space="preserve"> </v>
      </c>
      <c r="J85" s="10"/>
      <c r="K85" s="11"/>
      <c r="L85" s="11"/>
    </row>
    <row r="86" spans="1:12" ht="14.25" x14ac:dyDescent="0.2">
      <c r="A86" s="11"/>
      <c r="B86" s="11"/>
      <c r="C86" s="10"/>
      <c r="D86" s="51" t="s">
        <v>331</v>
      </c>
      <c r="E86" s="51"/>
      <c r="F86" s="51"/>
      <c r="G86" s="51"/>
      <c r="H86" s="51"/>
      <c r="I86" s="11"/>
      <c r="J86" s="10"/>
      <c r="K86" s="11"/>
      <c r="L86" s="11"/>
    </row>
    <row r="87" spans="1:12" ht="14.25" x14ac:dyDescent="0.2">
      <c r="A87" s="11"/>
      <c r="B87" s="11"/>
      <c r="C87" s="10"/>
      <c r="D87" s="11"/>
      <c r="E87" s="11"/>
      <c r="F87" s="11"/>
      <c r="G87" s="11"/>
      <c r="H87" s="11"/>
      <c r="I87" s="11"/>
      <c r="J87" s="10"/>
      <c r="K87" s="11"/>
      <c r="L87" s="11"/>
    </row>
    <row r="88" spans="1:12" ht="14.25" x14ac:dyDescent="0.2">
      <c r="A88" s="50" t="s">
        <v>329</v>
      </c>
      <c r="B88" s="50"/>
      <c r="C88" s="10" t="s">
        <v>332</v>
      </c>
      <c r="D88" s="49" t="str">
        <f>IF(Source!AC12&lt;&gt;"", Source!AC12," ")</f>
        <v xml:space="preserve"> </v>
      </c>
      <c r="E88" s="49"/>
      <c r="F88" s="49"/>
      <c r="G88" s="49"/>
      <c r="H88" s="49"/>
      <c r="I88" s="11" t="str">
        <f>IF(Source!AB12&lt;&gt;"", Source!AB12," ")</f>
        <v xml:space="preserve"> </v>
      </c>
      <c r="J88" s="10"/>
      <c r="K88" s="11"/>
      <c r="L88" s="11"/>
    </row>
    <row r="89" spans="1:12" ht="14.25" x14ac:dyDescent="0.2">
      <c r="A89" s="11"/>
      <c r="B89" s="11"/>
      <c r="C89" s="11"/>
      <c r="D89" s="51" t="s">
        <v>331</v>
      </c>
      <c r="E89" s="51"/>
      <c r="F89" s="51"/>
      <c r="G89" s="51"/>
      <c r="H89" s="51"/>
      <c r="I89" s="11"/>
      <c r="J89" s="11"/>
      <c r="K89" s="11"/>
      <c r="L89" s="11"/>
    </row>
    <row r="90" spans="1:12" ht="14.25" x14ac:dyDescent="0.2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</row>
    <row r="91" spans="1:12" ht="14.25" x14ac:dyDescent="0.2">
      <c r="A91" s="11"/>
      <c r="B91" s="11"/>
      <c r="C91" s="10" t="s">
        <v>333</v>
      </c>
      <c r="D91" s="49" t="str">
        <f>IF(Source!AE12&lt;&gt;"", Source!AE12," ")</f>
        <v xml:space="preserve"> </v>
      </c>
      <c r="E91" s="49"/>
      <c r="F91" s="49"/>
      <c r="G91" s="49"/>
      <c r="H91" s="49"/>
      <c r="I91" s="11" t="str">
        <f>IF(Source!AD12&lt;&gt;"", Source!AD12," ")</f>
        <v xml:space="preserve"> </v>
      </c>
      <c r="J91" s="10"/>
      <c r="K91" s="11"/>
      <c r="L91" s="11"/>
    </row>
    <row r="92" spans="1:12" ht="14.25" x14ac:dyDescent="0.2">
      <c r="A92" s="11"/>
      <c r="B92" s="11"/>
      <c r="C92" s="11"/>
      <c r="D92" s="51" t="s">
        <v>331</v>
      </c>
      <c r="E92" s="51"/>
      <c r="F92" s="51"/>
      <c r="G92" s="51"/>
      <c r="H92" s="51"/>
      <c r="I92" s="11"/>
      <c r="J92" s="11"/>
      <c r="K92" s="11"/>
      <c r="L92" s="11"/>
    </row>
  </sheetData>
  <mergeCells count="74">
    <mergeCell ref="A44:L44"/>
    <mergeCell ref="A42:L42"/>
    <mergeCell ref="G71:H71"/>
    <mergeCell ref="J69:K69"/>
    <mergeCell ref="G69:H69"/>
    <mergeCell ref="J60:K60"/>
    <mergeCell ref="G60:H60"/>
    <mergeCell ref="A46:L46"/>
    <mergeCell ref="D86:H86"/>
    <mergeCell ref="D89:H89"/>
    <mergeCell ref="D92:H92"/>
    <mergeCell ref="G78:H78"/>
    <mergeCell ref="J78:K78"/>
    <mergeCell ref="A78:F78"/>
    <mergeCell ref="A38:L38"/>
    <mergeCell ref="C80:I80"/>
    <mergeCell ref="J80:K80"/>
    <mergeCell ref="C81:I81"/>
    <mergeCell ref="J81:K81"/>
    <mergeCell ref="C82:I82"/>
    <mergeCell ref="J82:K82"/>
    <mergeCell ref="J73:K73"/>
    <mergeCell ref="G73:H73"/>
    <mergeCell ref="J71:K71"/>
    <mergeCell ref="C32:F32"/>
    <mergeCell ref="G32:H32"/>
    <mergeCell ref="I32:J32"/>
    <mergeCell ref="K32:L32"/>
    <mergeCell ref="C33:F33"/>
    <mergeCell ref="G33:H33"/>
    <mergeCell ref="I33:J33"/>
    <mergeCell ref="C30:F30"/>
    <mergeCell ref="G30:H30"/>
    <mergeCell ref="I30:J30"/>
    <mergeCell ref="K30:L30"/>
    <mergeCell ref="C31:F31"/>
    <mergeCell ref="G31:H31"/>
    <mergeCell ref="I31:J31"/>
    <mergeCell ref="K31:L31"/>
    <mergeCell ref="C28:F28"/>
    <mergeCell ref="G28:H28"/>
    <mergeCell ref="I28:J28"/>
    <mergeCell ref="K28:L28"/>
    <mergeCell ref="C29:F29"/>
    <mergeCell ref="G29:H29"/>
    <mergeCell ref="I29:J29"/>
    <mergeCell ref="K29:L29"/>
    <mergeCell ref="C26:F26"/>
    <mergeCell ref="G26:H26"/>
    <mergeCell ref="I26:J26"/>
    <mergeCell ref="K26:L26"/>
    <mergeCell ref="C27:F27"/>
    <mergeCell ref="G27:H27"/>
    <mergeCell ref="I27:J27"/>
    <mergeCell ref="K27:L27"/>
    <mergeCell ref="B15:K15"/>
    <mergeCell ref="B17:K17"/>
    <mergeCell ref="B19:K19"/>
    <mergeCell ref="B20:K20"/>
    <mergeCell ref="A22:L22"/>
    <mergeCell ref="G25:H25"/>
    <mergeCell ref="I25:J25"/>
    <mergeCell ref="B7:E7"/>
    <mergeCell ref="H7:L7"/>
    <mergeCell ref="B10:K10"/>
    <mergeCell ref="B11:K11"/>
    <mergeCell ref="F13:G13"/>
    <mergeCell ref="H13:K13"/>
    <mergeCell ref="B3:E3"/>
    <mergeCell ref="H3:L3"/>
    <mergeCell ref="B4:E4"/>
    <mergeCell ref="H4:L4"/>
    <mergeCell ref="B6:E6"/>
    <mergeCell ref="H6:L6"/>
  </mergeCells>
  <pageMargins left="0.4" right="0.2" top="0.2" bottom="0.4" header="0.2" footer="0.2"/>
  <pageSetup paperSize="9" scale="60" fitToHeight="0" orientation="portrait" r:id="rId1"/>
  <headerFooter>
    <oddHeader>&amp;L&amp;8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K75"/>
  <sheetViews>
    <sheetView tabSelected="1" zoomScaleNormal="100" workbookViewId="0">
      <selection activeCell="C68" sqref="C68:H68"/>
    </sheetView>
  </sheetViews>
  <sheetFormatPr defaultRowHeight="12.75" x14ac:dyDescent="0.2"/>
  <cols>
    <col min="1" max="1" width="5.7109375" customWidth="1"/>
    <col min="2" max="2" width="12.7109375" customWidth="1"/>
    <col min="3" max="3" width="39.7109375" customWidth="1"/>
    <col min="4" max="4" width="14.7109375" customWidth="1"/>
    <col min="5" max="5" width="15.7109375" customWidth="1"/>
    <col min="6" max="11" width="12.7109375" customWidth="1"/>
    <col min="15" max="36" width="0" hidden="1" customWidth="1"/>
    <col min="37" max="37" width="160.7109375" hidden="1" customWidth="1"/>
    <col min="38" max="42" width="0" hidden="1" customWidth="1"/>
  </cols>
  <sheetData>
    <row r="1" spans="1:11" x14ac:dyDescent="0.2">
      <c r="A1" s="81" t="str">
        <f>Source!B1</f>
        <v>Smeta.RU  (495) 974-1589</v>
      </c>
      <c r="G1" t="s">
        <v>335</v>
      </c>
    </row>
    <row r="2" spans="1:11" ht="15" x14ac:dyDescent="0.25">
      <c r="A2" s="82"/>
      <c r="B2" s="82"/>
      <c r="C2" s="82"/>
      <c r="D2" s="82"/>
      <c r="E2" s="82"/>
      <c r="F2" s="82"/>
      <c r="G2" s="82"/>
      <c r="H2" s="82"/>
      <c r="I2" s="82"/>
      <c r="J2" s="82"/>
      <c r="K2" s="83"/>
    </row>
    <row r="3" spans="1:11" ht="16.5" x14ac:dyDescent="0.25">
      <c r="A3" s="84"/>
      <c r="B3" s="85" t="s">
        <v>285</v>
      </c>
      <c r="C3" s="85"/>
      <c r="D3" s="85"/>
      <c r="E3" s="85"/>
      <c r="F3" s="83"/>
      <c r="G3" s="85" t="s">
        <v>286</v>
      </c>
      <c r="H3" s="85"/>
      <c r="I3" s="85"/>
      <c r="J3" s="85"/>
      <c r="K3" s="85"/>
    </row>
    <row r="4" spans="1:11" ht="15" x14ac:dyDescent="0.25">
      <c r="A4" s="83"/>
      <c r="B4" s="86"/>
      <c r="C4" s="86"/>
      <c r="D4" s="86"/>
      <c r="E4" s="86"/>
      <c r="F4" s="83"/>
      <c r="G4" s="86"/>
      <c r="H4" s="86"/>
      <c r="I4" s="86"/>
      <c r="J4" s="86"/>
      <c r="K4" s="86"/>
    </row>
    <row r="5" spans="1:11" ht="15" x14ac:dyDescent="0.25">
      <c r="A5" s="87"/>
      <c r="B5" s="87"/>
      <c r="C5" s="88"/>
      <c r="D5" s="88"/>
      <c r="E5" s="88"/>
      <c r="F5" s="83"/>
      <c r="G5" s="89"/>
      <c r="H5" s="88"/>
      <c r="I5" s="88"/>
      <c r="J5" s="88"/>
      <c r="K5" s="89"/>
    </row>
    <row r="6" spans="1:11" ht="15" x14ac:dyDescent="0.25">
      <c r="A6" s="89"/>
      <c r="B6" s="86" t="str">
        <f>CONCATENATE("______________________ ", IF(Source!AL12&lt;&gt;"", Source!AL12, ""))</f>
        <v xml:space="preserve">______________________ </v>
      </c>
      <c r="C6" s="86"/>
      <c r="D6" s="86"/>
      <c r="E6" s="86"/>
      <c r="F6" s="83"/>
      <c r="G6" s="86" t="str">
        <f>CONCATENATE("______________________ ", IF(Source!AH12&lt;&gt;"", Source!AH12, ""))</f>
        <v xml:space="preserve">______________________ </v>
      </c>
      <c r="H6" s="86"/>
      <c r="I6" s="86"/>
      <c r="J6" s="86"/>
      <c r="K6" s="86"/>
    </row>
    <row r="7" spans="1:11" ht="15" x14ac:dyDescent="0.25">
      <c r="A7" s="90"/>
      <c r="B7" s="91" t="s">
        <v>287</v>
      </c>
      <c r="C7" s="91"/>
      <c r="D7" s="91"/>
      <c r="E7" s="91"/>
      <c r="F7" s="83"/>
      <c r="G7" s="91" t="s">
        <v>287</v>
      </c>
      <c r="H7" s="91"/>
      <c r="I7" s="91"/>
      <c r="J7" s="91"/>
      <c r="K7" s="91"/>
    </row>
    <row r="9" spans="1:11" ht="15" x14ac:dyDescent="0.25">
      <c r="A9" s="83"/>
      <c r="B9" s="83"/>
      <c r="C9" s="83"/>
      <c r="D9" s="83"/>
      <c r="E9" s="83"/>
      <c r="F9" s="83"/>
      <c r="G9" s="83"/>
      <c r="H9" s="83"/>
      <c r="I9" s="83"/>
      <c r="J9" s="83"/>
      <c r="K9" s="83"/>
    </row>
    <row r="10" spans="1:11" ht="15.75" x14ac:dyDescent="0.25">
      <c r="A10" s="92"/>
      <c r="B10" s="92"/>
      <c r="C10" s="92"/>
      <c r="D10" s="92"/>
      <c r="E10" s="92"/>
      <c r="F10" s="92"/>
      <c r="G10" s="92"/>
      <c r="H10" s="92"/>
      <c r="I10" s="92"/>
      <c r="J10" s="92"/>
      <c r="K10" s="92"/>
    </row>
    <row r="11" spans="1:11" x14ac:dyDescent="0.2">
      <c r="A11" s="93" t="s">
        <v>288</v>
      </c>
      <c r="B11" s="93"/>
      <c r="C11" s="93"/>
      <c r="D11" s="93"/>
      <c r="E11" s="93"/>
      <c r="F11" s="93"/>
      <c r="G11" s="93"/>
      <c r="H11" s="93"/>
      <c r="I11" s="93"/>
      <c r="J11" s="93"/>
      <c r="K11" s="93"/>
    </row>
    <row r="12" spans="1:11" ht="15" x14ac:dyDescent="0.25">
      <c r="A12" s="83"/>
      <c r="B12" s="83"/>
      <c r="C12" s="83"/>
      <c r="D12" s="83"/>
      <c r="E12" s="83"/>
      <c r="F12" s="83"/>
      <c r="G12" s="83"/>
      <c r="H12" s="83"/>
      <c r="I12" s="83"/>
      <c r="J12" s="83"/>
      <c r="K12" s="83"/>
    </row>
    <row r="13" spans="1:11" ht="15.75" x14ac:dyDescent="0.25">
      <c r="A13" s="92" t="str">
        <f>CONCATENATE( "ЛОКАЛЬНАЯ СМЕТА № ",IF(Source!F12&lt;&gt;"Новый объект", Source!F12, ""))</f>
        <v xml:space="preserve">ЛОКАЛЬНАЯ СМЕТА № </v>
      </c>
      <c r="B13" s="94"/>
      <c r="C13" s="94"/>
      <c r="D13" s="94"/>
      <c r="E13" s="94"/>
      <c r="F13" s="94"/>
      <c r="G13" s="94"/>
      <c r="H13" s="94"/>
      <c r="I13" s="94"/>
      <c r="J13" s="94"/>
      <c r="K13" s="94"/>
    </row>
    <row r="14" spans="1:11" x14ac:dyDescent="0.2">
      <c r="A14" s="95" t="s">
        <v>336</v>
      </c>
      <c r="B14" s="95"/>
      <c r="C14" s="95"/>
      <c r="D14" s="95"/>
      <c r="E14" s="95"/>
      <c r="F14" s="95"/>
      <c r="G14" s="95"/>
      <c r="H14" s="95"/>
      <c r="I14" s="95"/>
      <c r="J14" s="95"/>
      <c r="K14" s="95"/>
    </row>
    <row r="15" spans="1:11" ht="15" x14ac:dyDescent="0.25">
      <c r="A15" s="83"/>
      <c r="B15" s="83"/>
      <c r="C15" s="83"/>
      <c r="D15" s="83"/>
      <c r="E15" s="83"/>
      <c r="F15" s="83"/>
      <c r="G15" s="83"/>
      <c r="H15" s="83"/>
      <c r="I15" s="83"/>
      <c r="J15" s="83"/>
      <c r="K15" s="83"/>
    </row>
    <row r="16" spans="1:11" ht="18.75" hidden="1" x14ac:dyDescent="0.3">
      <c r="A16" s="96"/>
      <c r="B16" s="96"/>
      <c r="C16" s="96"/>
      <c r="D16" s="96"/>
      <c r="E16" s="96"/>
      <c r="F16" s="96"/>
      <c r="G16" s="96"/>
      <c r="H16" s="96"/>
      <c r="I16" s="96"/>
      <c r="J16" s="96"/>
      <c r="K16" s="96"/>
    </row>
    <row r="17" spans="1:37" ht="15" hidden="1" x14ac:dyDescent="0.25">
      <c r="A17" s="83"/>
      <c r="B17" s="83"/>
      <c r="C17" s="83"/>
      <c r="D17" s="83"/>
      <c r="E17" s="83"/>
      <c r="F17" s="83"/>
      <c r="G17" s="83"/>
      <c r="H17" s="83"/>
      <c r="I17" s="83"/>
      <c r="J17" s="83"/>
      <c r="K17" s="83"/>
    </row>
    <row r="18" spans="1:37" ht="18.75" x14ac:dyDescent="0.3">
      <c r="A18" s="97" t="str">
        <f>IF(Source!G12&lt;&gt;"Новый объект", Source!G12, "")</f>
        <v>Выходной документ. Тест</v>
      </c>
      <c r="B18" s="97"/>
      <c r="C18" s="97"/>
      <c r="D18" s="97"/>
      <c r="E18" s="97"/>
      <c r="F18" s="97"/>
      <c r="G18" s="97"/>
      <c r="H18" s="97"/>
      <c r="I18" s="97"/>
      <c r="J18" s="97"/>
      <c r="K18" s="97"/>
    </row>
    <row r="19" spans="1:37" x14ac:dyDescent="0.2">
      <c r="A19" s="95" t="s">
        <v>290</v>
      </c>
      <c r="B19" s="98"/>
      <c r="C19" s="98"/>
      <c r="D19" s="98"/>
      <c r="E19" s="98"/>
      <c r="F19" s="98"/>
      <c r="G19" s="98"/>
      <c r="H19" s="98"/>
      <c r="I19" s="98"/>
      <c r="J19" s="98"/>
      <c r="K19" s="98"/>
    </row>
    <row r="20" spans="1:37" ht="15" x14ac:dyDescent="0.25">
      <c r="A20" s="83"/>
      <c r="B20" s="83"/>
      <c r="C20" s="83"/>
      <c r="D20" s="83"/>
      <c r="E20" s="83"/>
      <c r="F20" s="83"/>
      <c r="G20" s="83"/>
      <c r="H20" s="83"/>
      <c r="I20" s="83"/>
      <c r="J20" s="83"/>
      <c r="K20" s="83"/>
    </row>
    <row r="21" spans="1:37" ht="15" x14ac:dyDescent="0.25">
      <c r="A21" s="99" t="str">
        <f>CONCATENATE( "Основание: чертежи № ", Source!J12)</f>
        <v xml:space="preserve">Основание: чертежи № </v>
      </c>
      <c r="B21" s="99"/>
      <c r="C21" s="99"/>
      <c r="D21" s="99"/>
      <c r="E21" s="99"/>
      <c r="F21" s="99"/>
      <c r="G21" s="99"/>
      <c r="H21" s="99"/>
      <c r="I21" s="99"/>
      <c r="J21" s="99"/>
      <c r="K21" s="99"/>
    </row>
    <row r="22" spans="1:37" ht="15" x14ac:dyDescent="0.25">
      <c r="A22" s="83"/>
      <c r="B22" s="83"/>
      <c r="C22" s="83"/>
      <c r="D22" s="83"/>
      <c r="E22" s="83"/>
      <c r="F22" s="83"/>
      <c r="G22" s="83"/>
      <c r="H22" s="83"/>
      <c r="I22" s="83"/>
      <c r="J22" s="83"/>
      <c r="K22" s="83"/>
    </row>
    <row r="23" spans="1:37" ht="15" x14ac:dyDescent="0.25">
      <c r="A23" s="83"/>
      <c r="B23" s="83"/>
      <c r="C23" s="83"/>
      <c r="D23" s="83"/>
      <c r="E23" s="83"/>
      <c r="F23" s="100" t="s">
        <v>293</v>
      </c>
      <c r="G23" s="100"/>
      <c r="H23" s="100"/>
      <c r="I23" s="104">
        <f>(Source!F162)</f>
        <v>4260442.6399999997</v>
      </c>
      <c r="J23" s="101"/>
      <c r="K23" s="83" t="s">
        <v>354</v>
      </c>
    </row>
    <row r="24" spans="1:37" ht="15" x14ac:dyDescent="0.25">
      <c r="A24" s="83"/>
      <c r="B24" s="83"/>
      <c r="C24" s="83"/>
      <c r="D24" s="83"/>
      <c r="E24" s="83"/>
      <c r="F24" s="86" t="s">
        <v>337</v>
      </c>
      <c r="G24" s="86"/>
      <c r="H24" s="86"/>
      <c r="I24" s="104">
        <f>(Source!F148)</f>
        <v>31780.880000000001</v>
      </c>
      <c r="J24" s="101"/>
      <c r="K24" s="83" t="s">
        <v>354</v>
      </c>
    </row>
    <row r="25" spans="1:37" ht="15" x14ac:dyDescent="0.25">
      <c r="A25" s="83"/>
      <c r="B25" s="83"/>
      <c r="C25" s="83"/>
      <c r="D25" s="83"/>
      <c r="E25" s="83"/>
      <c r="F25" s="86" t="s">
        <v>54</v>
      </c>
      <c r="G25" s="86"/>
      <c r="H25" s="86"/>
      <c r="I25" s="104">
        <f>(Source!F149)</f>
        <v>31370.91</v>
      </c>
      <c r="J25" s="101"/>
      <c r="K25" s="83" t="s">
        <v>354</v>
      </c>
    </row>
    <row r="26" spans="1:37" ht="15" x14ac:dyDescent="0.25">
      <c r="A26" s="83"/>
      <c r="B26" s="83"/>
      <c r="C26" s="83"/>
      <c r="D26" s="83"/>
      <c r="E26" s="83"/>
      <c r="F26" s="86" t="s">
        <v>62</v>
      </c>
      <c r="G26" s="86"/>
      <c r="H26" s="86"/>
      <c r="I26" s="104">
        <f>(Source!F140)</f>
        <v>3487217.08</v>
      </c>
      <c r="J26" s="101"/>
      <c r="K26" s="83" t="s">
        <v>354</v>
      </c>
    </row>
    <row r="27" spans="1:37" ht="15" x14ac:dyDescent="0.25">
      <c r="A27" s="83"/>
      <c r="B27" s="83"/>
      <c r="C27" s="83"/>
      <c r="D27" s="83"/>
      <c r="E27" s="83"/>
      <c r="F27" s="86" t="s">
        <v>338</v>
      </c>
      <c r="G27" s="86"/>
      <c r="H27" s="86"/>
      <c r="I27" s="104">
        <f>(Source!F150+Source!F151)</f>
        <v>0</v>
      </c>
      <c r="J27" s="101"/>
      <c r="K27" s="83" t="s">
        <v>354</v>
      </c>
    </row>
    <row r="28" spans="1:37" ht="15" x14ac:dyDescent="0.25">
      <c r="A28" s="83"/>
      <c r="B28" s="83"/>
      <c r="C28" s="83"/>
      <c r="D28" s="83"/>
      <c r="E28" s="83"/>
      <c r="F28" s="100" t="s">
        <v>299</v>
      </c>
      <c r="G28" s="100"/>
      <c r="H28" s="100"/>
      <c r="I28" s="104">
        <f>Source!F153</f>
        <v>57.188379999999995</v>
      </c>
      <c r="J28" s="101"/>
      <c r="K28" s="83" t="s">
        <v>355</v>
      </c>
    </row>
    <row r="29" spans="1:37" ht="15" x14ac:dyDescent="0.25">
      <c r="A29" s="83"/>
      <c r="B29" s="83"/>
      <c r="C29" s="83"/>
      <c r="D29" s="83"/>
      <c r="E29" s="83"/>
      <c r="F29" s="102" t="s">
        <v>301</v>
      </c>
      <c r="G29" s="103"/>
      <c r="H29" s="103"/>
      <c r="I29" s="104">
        <f>(Source!F146+ Source!F145)/1000</f>
        <v>15.787370000000001</v>
      </c>
      <c r="J29" s="104"/>
      <c r="K29" s="83" t="s">
        <v>354</v>
      </c>
    </row>
    <row r="30" spans="1:37" ht="15" x14ac:dyDescent="0.25">
      <c r="A30" s="83"/>
      <c r="B30" s="83"/>
      <c r="C30" s="83"/>
      <c r="D30" s="83"/>
      <c r="E30" s="83"/>
      <c r="F30" s="105"/>
      <c r="G30" s="106"/>
      <c r="H30" s="106"/>
      <c r="I30" s="107"/>
      <c r="J30" s="107"/>
      <c r="K30" s="83"/>
    </row>
    <row r="31" spans="1:37" ht="15.75" thickBot="1" x14ac:dyDescent="0.3">
      <c r="A31" s="91" t="s">
        <v>347</v>
      </c>
      <c r="B31" s="91"/>
      <c r="C31" s="91"/>
      <c r="D31" s="91"/>
      <c r="E31" s="91"/>
      <c r="F31" s="91"/>
      <c r="G31" s="91"/>
      <c r="H31" s="91"/>
      <c r="I31" s="91"/>
      <c r="J31" s="91"/>
      <c r="K31" s="91"/>
      <c r="AK31" s="126" t="s">
        <v>347</v>
      </c>
    </row>
    <row r="32" spans="1:37" ht="15" x14ac:dyDescent="0.2">
      <c r="A32" s="108" t="s">
        <v>339</v>
      </c>
      <c r="B32" s="109" t="s">
        <v>305</v>
      </c>
      <c r="C32" s="109" t="s">
        <v>306</v>
      </c>
      <c r="D32" s="109" t="s">
        <v>340</v>
      </c>
      <c r="E32" s="110" t="s">
        <v>308</v>
      </c>
      <c r="F32" s="111" t="s">
        <v>341</v>
      </c>
      <c r="G32" s="112"/>
      <c r="H32" s="113"/>
      <c r="I32" s="111" t="s">
        <v>342</v>
      </c>
      <c r="J32" s="112"/>
      <c r="K32" s="113"/>
    </row>
    <row r="33" spans="1:16" x14ac:dyDescent="0.2">
      <c r="A33" s="114"/>
      <c r="B33" s="115"/>
      <c r="C33" s="115"/>
      <c r="D33" s="115"/>
      <c r="E33" s="116"/>
      <c r="F33" s="114" t="s">
        <v>343</v>
      </c>
      <c r="G33" s="115" t="s">
        <v>344</v>
      </c>
      <c r="H33" s="116" t="s">
        <v>345</v>
      </c>
      <c r="I33" s="117" t="s">
        <v>343</v>
      </c>
      <c r="J33" s="118" t="s">
        <v>344</v>
      </c>
      <c r="K33" s="119" t="s">
        <v>346</v>
      </c>
    </row>
    <row r="34" spans="1:16" x14ac:dyDescent="0.2">
      <c r="A34" s="114"/>
      <c r="B34" s="115"/>
      <c r="C34" s="115"/>
      <c r="D34" s="115"/>
      <c r="E34" s="116"/>
      <c r="F34" s="120"/>
      <c r="G34" s="121"/>
      <c r="H34" s="122"/>
      <c r="I34" s="117"/>
      <c r="J34" s="118"/>
      <c r="K34" s="119"/>
    </row>
    <row r="35" spans="1:16" ht="13.5" thickBot="1" x14ac:dyDescent="0.25">
      <c r="A35" s="123">
        <v>1</v>
      </c>
      <c r="B35" s="124">
        <v>2</v>
      </c>
      <c r="C35" s="124">
        <v>3</v>
      </c>
      <c r="D35" s="124">
        <v>4</v>
      </c>
      <c r="E35" s="125">
        <v>5</v>
      </c>
      <c r="F35" s="123">
        <v>6</v>
      </c>
      <c r="G35" s="124">
        <v>7</v>
      </c>
      <c r="H35" s="125">
        <v>8</v>
      </c>
      <c r="I35" s="123">
        <v>9</v>
      </c>
      <c r="J35" s="124">
        <v>10</v>
      </c>
      <c r="K35" s="125">
        <v>11</v>
      </c>
    </row>
    <row r="37" spans="1:16" ht="16.5" x14ac:dyDescent="0.25">
      <c r="A37" s="127" t="str">
        <f>CONCATENATE("Локальная смета: ",IF(Source!G20&lt;&gt;"Новая локальная смета", Source!G20, ""))</f>
        <v>Локальная смета: Монтаж оборудования</v>
      </c>
      <c r="B37" s="127"/>
      <c r="C37" s="127"/>
      <c r="D37" s="127"/>
      <c r="E37" s="127"/>
      <c r="F37" s="127"/>
      <c r="G37" s="127"/>
      <c r="H37" s="127"/>
      <c r="I37" s="127"/>
      <c r="J37" s="127"/>
      <c r="K37" s="127"/>
    </row>
    <row r="39" spans="1:16" ht="16.5" x14ac:dyDescent="0.25">
      <c r="A39" s="127" t="str">
        <f>CONCATENATE("Раздел: ",IF(Source!G24&lt;&gt;"Новый раздел", Source!G24, ""))</f>
        <v>Раздел: Строение 1</v>
      </c>
      <c r="B39" s="127"/>
      <c r="C39" s="127"/>
      <c r="D39" s="127"/>
      <c r="E39" s="127"/>
      <c r="F39" s="127"/>
      <c r="G39" s="127"/>
      <c r="H39" s="127"/>
      <c r="I39" s="127"/>
      <c r="J39" s="127"/>
      <c r="K39" s="127"/>
    </row>
    <row r="41" spans="1:16" ht="17.25" thickBot="1" x14ac:dyDescent="0.3">
      <c r="A41" s="127" t="str">
        <f>CONCATENATE("Подраздел: ",IF(Source!G28&lt;&gt;"Новый подраздел", Source!G28, ""))</f>
        <v>Подраздел: Пусковая часть 2</v>
      </c>
      <c r="B41" s="127"/>
      <c r="C41" s="127"/>
      <c r="D41" s="127"/>
      <c r="E41" s="127"/>
      <c r="F41" s="127"/>
      <c r="G41" s="127"/>
      <c r="H41" s="127"/>
      <c r="I41" s="127"/>
      <c r="J41" s="127"/>
      <c r="K41" s="127"/>
    </row>
    <row r="42" spans="1:16" ht="60" x14ac:dyDescent="0.25">
      <c r="A42" s="136" t="str">
        <f>Source!E32</f>
        <v>1</v>
      </c>
      <c r="B42" s="137" t="str">
        <f>Source!F32</f>
        <v>06-01-005-4</v>
      </c>
      <c r="C42" s="137" t="s">
        <v>348</v>
      </c>
      <c r="D42" s="138" t="str">
        <f>Source!H32</f>
        <v>100 м3 бетона и железобетона в деле</v>
      </c>
      <c r="E42" s="139">
        <f>Source!I32</f>
        <v>2.9499999999999998E-2</v>
      </c>
      <c r="F42" s="140">
        <f>ROUND(ROUND(Source!CT32,2)+ROUND(Source!CR32,2)+ROUND(Source!AT32/100*(ROUND(Source!CT32,2)+ROUND(Source!CS32,2)),2)+ROUND(Source!AU32/100*(ROUND(Source!CT32,2)+ROUND(Source!CS32,2)),2),2)</f>
        <v>401682.07</v>
      </c>
      <c r="G42" s="141">
        <f>ROUND(Source!CQ32,2)</f>
        <v>459793.91</v>
      </c>
      <c r="H42" s="142">
        <f>ROUND(F42+G42,2)</f>
        <v>861475.98</v>
      </c>
      <c r="I42" s="140">
        <f>Source!S32+Source!Q32+Source!X32+Source!Y32</f>
        <v>11849.63</v>
      </c>
      <c r="J42" s="143">
        <f>Source!P32</f>
        <v>13563.92</v>
      </c>
      <c r="K42" s="142">
        <f>ROUND(I42+J42,2)</f>
        <v>25413.55</v>
      </c>
      <c r="P42" s="48">
        <f>K42</f>
        <v>25413.55</v>
      </c>
    </row>
    <row r="43" spans="1:16" ht="30" x14ac:dyDescent="0.25">
      <c r="A43" s="152" t="str">
        <f>Source!E33</f>
        <v>1,1</v>
      </c>
      <c r="B43" s="153" t="str">
        <f>Source!F33</f>
        <v>204-0100</v>
      </c>
      <c r="C43" s="153" t="s">
        <v>31</v>
      </c>
      <c r="D43" s="154" t="str">
        <f>Source!H33</f>
        <v>т</v>
      </c>
      <c r="E43" s="155">
        <f>Source!I33</f>
        <v>-2.9499999999999998E-2</v>
      </c>
      <c r="F43" s="156"/>
      <c r="G43" s="157">
        <f>ROUND(Source!CQ33,2)</f>
        <v>33391.440000000002</v>
      </c>
      <c r="H43" s="158"/>
      <c r="I43" s="156"/>
      <c r="J43" s="159">
        <f>Source!P33</f>
        <v>-985.05</v>
      </c>
      <c r="K43" s="158">
        <f>ROUND(I43+J43,2)</f>
        <v>-985.05</v>
      </c>
      <c r="P43" s="48">
        <f>K43</f>
        <v>-985.05</v>
      </c>
    </row>
    <row r="44" spans="1:16" ht="30" x14ac:dyDescent="0.25">
      <c r="A44" s="152" t="str">
        <f>Source!E34</f>
        <v>1,2</v>
      </c>
      <c r="B44" s="153" t="str">
        <f>Source!F34</f>
        <v>204-0109</v>
      </c>
      <c r="C44" s="153" t="s">
        <v>36</v>
      </c>
      <c r="D44" s="154" t="str">
        <f>Source!H34</f>
        <v>т</v>
      </c>
      <c r="E44" s="155">
        <f>Source!I34</f>
        <v>2.1999999999999999E-2</v>
      </c>
      <c r="F44" s="156"/>
      <c r="G44" s="157">
        <f>ROUND(Source!CQ34,2)</f>
        <v>29372.400000000001</v>
      </c>
      <c r="H44" s="158"/>
      <c r="I44" s="156"/>
      <c r="J44" s="159">
        <f>Source!P34</f>
        <v>646.19000000000005</v>
      </c>
      <c r="K44" s="158">
        <f>ROUND(I44+J44,2)</f>
        <v>646.19000000000005</v>
      </c>
      <c r="P44" s="48">
        <f>K44</f>
        <v>646.19000000000005</v>
      </c>
    </row>
    <row r="45" spans="1:16" ht="30" x14ac:dyDescent="0.25">
      <c r="A45" s="152" t="str">
        <f>Source!E35</f>
        <v>1,3</v>
      </c>
      <c r="B45" s="153" t="str">
        <f>Source!F35</f>
        <v>401-0066</v>
      </c>
      <c r="C45" s="153" t="s">
        <v>40</v>
      </c>
      <c r="D45" s="154" t="str">
        <f>Source!H35</f>
        <v>комплекс работ</v>
      </c>
      <c r="E45" s="155">
        <f>Source!I35</f>
        <v>-2.9942499999999996</v>
      </c>
      <c r="F45" s="156"/>
      <c r="G45" s="157">
        <f>ROUND(Source!CQ35,2)</f>
        <v>3990</v>
      </c>
      <c r="H45" s="158"/>
      <c r="I45" s="156"/>
      <c r="J45" s="159">
        <f>Source!P35</f>
        <v>-11947.06</v>
      </c>
      <c r="K45" s="158">
        <f>ROUND(I45+J45,2)</f>
        <v>-11947.06</v>
      </c>
      <c r="P45" s="48">
        <f>K45</f>
        <v>-11947.06</v>
      </c>
    </row>
    <row r="46" spans="1:16" ht="56.25" thickBot="1" x14ac:dyDescent="0.3">
      <c r="A46" s="144" t="str">
        <f>Source!E36</f>
        <v>1,4</v>
      </c>
      <c r="B46" s="145" t="str">
        <f>Source!F36</f>
        <v>Дог Цена</v>
      </c>
      <c r="C46" s="145" t="s">
        <v>349</v>
      </c>
      <c r="D46" s="146" t="str">
        <f>Source!H36</f>
        <v>1 м3</v>
      </c>
      <c r="E46" s="147">
        <f>Source!I36</f>
        <v>3</v>
      </c>
      <c r="F46" s="148"/>
      <c r="G46" s="149">
        <f>ROUND(Source!CQ36,2)</f>
        <v>4441.25</v>
      </c>
      <c r="H46" s="150"/>
      <c r="I46" s="148"/>
      <c r="J46" s="151">
        <f>Source!P36</f>
        <v>13323.75</v>
      </c>
      <c r="K46" s="150">
        <f>ROUND(I46+J46,2)</f>
        <v>13323.75</v>
      </c>
      <c r="P46" s="48">
        <f>K46</f>
        <v>13323.75</v>
      </c>
    </row>
    <row r="47" spans="1:16" ht="45.75" thickBot="1" x14ac:dyDescent="0.3">
      <c r="A47" s="130" t="str">
        <f>Source!E37</f>
        <v>2</v>
      </c>
      <c r="B47" s="128" t="str">
        <f>Source!F37</f>
        <v>м37-01-001-3</v>
      </c>
      <c r="C47" s="128" t="s">
        <v>51</v>
      </c>
      <c r="D47" s="129" t="str">
        <f>Source!H37</f>
        <v>1  ШТ.</v>
      </c>
      <c r="E47" s="131">
        <f>Source!I37</f>
        <v>2</v>
      </c>
      <c r="F47" s="132">
        <f>ROUND(ROUND(Source!CT37,2)+ROUND(Source!CR37,2)+ROUND(Source!AT37/100*(ROUND(Source!CT37,2)+ROUND(Source!CS37,2)),2)+ROUND(Source!AU37/100*(ROUND(Source!CT37,2)+ROUND(Source!CS37,2)),2),2)</f>
        <v>14332.77</v>
      </c>
      <c r="G47" s="133">
        <f>ROUND(Source!CQ37,2)</f>
        <v>1352.68</v>
      </c>
      <c r="H47" s="134">
        <f>ROUND(F47+G47,2)</f>
        <v>15685.45</v>
      </c>
      <c r="I47" s="132">
        <f>Source!S37+Source!Q37+Source!X37+Source!Y37</f>
        <v>28665.54</v>
      </c>
      <c r="J47" s="135">
        <f>Source!P37</f>
        <v>2705.37</v>
      </c>
      <c r="K47" s="134">
        <f>ROUND(I47+J47,2)</f>
        <v>31370.91</v>
      </c>
      <c r="P47" s="48">
        <f>K47</f>
        <v>31370.91</v>
      </c>
    </row>
    <row r="48" spans="1:16" ht="56.25" thickBot="1" x14ac:dyDescent="0.3">
      <c r="A48" s="160" t="str">
        <f>Source!E38</f>
        <v>3</v>
      </c>
      <c r="B48" s="161" t="str">
        <f>Source!F38</f>
        <v>Поставка</v>
      </c>
      <c r="C48" s="161" t="s">
        <v>350</v>
      </c>
      <c r="D48" s="162" t="str">
        <f>Source!H38</f>
        <v>КОМПЛ</v>
      </c>
      <c r="E48" s="163">
        <f>Source!I38</f>
        <v>2</v>
      </c>
      <c r="F48" s="164"/>
      <c r="G48" s="165">
        <f>ROUND(Source!CQ38,2)</f>
        <v>1743608.54</v>
      </c>
      <c r="H48" s="166"/>
      <c r="I48" s="164"/>
      <c r="J48" s="167">
        <f>Source!P38</f>
        <v>3487217.08</v>
      </c>
      <c r="K48" s="166">
        <f>ROUND(I48+J48,2)</f>
        <v>3487217.08</v>
      </c>
      <c r="P48" s="48">
        <f>K48</f>
        <v>3487217.08</v>
      </c>
    </row>
    <row r="49" spans="1:16" ht="41.25" thickBot="1" x14ac:dyDescent="0.3">
      <c r="A49" s="130" t="str">
        <f>Source!E39</f>
        <v>4</v>
      </c>
      <c r="B49" s="128" t="str">
        <f>Source!F39</f>
        <v>Дог Цена</v>
      </c>
      <c r="C49" s="128" t="s">
        <v>351</v>
      </c>
      <c r="D49" s="129" t="str">
        <f>Source!H39</f>
        <v>1 м3</v>
      </c>
      <c r="E49" s="131">
        <f>Source!I39</f>
        <v>1.2</v>
      </c>
      <c r="F49" s="132"/>
      <c r="G49" s="133">
        <f>ROUND(Source!CQ39,2)</f>
        <v>4441.25</v>
      </c>
      <c r="H49" s="134"/>
      <c r="I49" s="132"/>
      <c r="J49" s="135">
        <f>Source!P39</f>
        <v>5329.5</v>
      </c>
      <c r="K49" s="134">
        <f>ROUND(I49+J49,2)</f>
        <v>5329.5</v>
      </c>
      <c r="P49" s="48">
        <f>K49</f>
        <v>5329.5</v>
      </c>
    </row>
    <row r="51" spans="1:16" ht="14.25" x14ac:dyDescent="0.2">
      <c r="A51" s="171" t="str">
        <f>CONCATENATE("Итого по подразделу: ",IF(Source!G41&lt;&gt;"Новый подраздел", Source!G41, ""))</f>
        <v>Итого по подразделу: Пусковая часть 2</v>
      </c>
      <c r="B51" s="171"/>
      <c r="C51" s="171"/>
      <c r="D51" s="171"/>
      <c r="E51" s="171"/>
      <c r="F51" s="171"/>
      <c r="G51" s="171"/>
      <c r="H51" s="171"/>
      <c r="I51" s="170"/>
      <c r="J51" s="169"/>
      <c r="K51" s="168">
        <f>SUM(P41:P50)</f>
        <v>3550368.87</v>
      </c>
    </row>
    <row r="52" spans="1:16" hidden="1" x14ac:dyDescent="0.2">
      <c r="A52" t="s">
        <v>352</v>
      </c>
      <c r="J52">
        <f>SUM(AD41:AD51)</f>
        <v>0</v>
      </c>
    </row>
    <row r="53" spans="1:16" hidden="1" x14ac:dyDescent="0.2">
      <c r="A53" t="s">
        <v>353</v>
      </c>
      <c r="J53">
        <f>SUM(AF41:AF52)</f>
        <v>0</v>
      </c>
    </row>
    <row r="55" spans="1:16" ht="14.25" x14ac:dyDescent="0.2">
      <c r="A55" s="171" t="str">
        <f>CONCATENATE("Итого по разделу: ",IF(Source!G71&lt;&gt;"Новый раздел", Source!G71, ""))</f>
        <v>Итого по разделу: Строение 1</v>
      </c>
      <c r="B55" s="171"/>
      <c r="C55" s="171"/>
      <c r="D55" s="171"/>
      <c r="E55" s="171"/>
      <c r="F55" s="171"/>
      <c r="G55" s="171"/>
      <c r="H55" s="171"/>
      <c r="I55" s="170"/>
      <c r="J55" s="169"/>
      <c r="K55" s="168">
        <f>SUM(P39:P54)</f>
        <v>3550368.87</v>
      </c>
    </row>
    <row r="56" spans="1:16" hidden="1" x14ac:dyDescent="0.2">
      <c r="A56" t="s">
        <v>352</v>
      </c>
      <c r="J56">
        <f>SUM(AD39:AD55)</f>
        <v>0</v>
      </c>
    </row>
    <row r="57" spans="1:16" hidden="1" x14ac:dyDescent="0.2">
      <c r="A57" t="s">
        <v>353</v>
      </c>
      <c r="J57">
        <f>SUM(AF39:AF56)</f>
        <v>0</v>
      </c>
    </row>
    <row r="59" spans="1:16" ht="14.25" x14ac:dyDescent="0.2">
      <c r="A59" s="171" t="str">
        <f>CONCATENATE("Итого по локальной смете: ",IF(Source!G101&lt;&gt;"Новая локальная смета", Source!G101, ""))</f>
        <v>Итого по локальной смете: Монтаж оборудования</v>
      </c>
      <c r="B59" s="171"/>
      <c r="C59" s="171"/>
      <c r="D59" s="171"/>
      <c r="E59" s="171"/>
      <c r="F59" s="171"/>
      <c r="G59" s="171"/>
      <c r="H59" s="171"/>
      <c r="I59" s="170"/>
      <c r="J59" s="169"/>
      <c r="K59" s="168">
        <f>SUM(P37:P58)</f>
        <v>3550368.87</v>
      </c>
    </row>
    <row r="60" spans="1:16" hidden="1" x14ac:dyDescent="0.2">
      <c r="A60" t="s">
        <v>352</v>
      </c>
      <c r="J60">
        <f>SUM(AD37:AD59)</f>
        <v>0</v>
      </c>
    </row>
    <row r="61" spans="1:16" hidden="1" x14ac:dyDescent="0.2">
      <c r="A61" t="s">
        <v>353</v>
      </c>
      <c r="J61">
        <f>SUM(AF37:AF60)</f>
        <v>0</v>
      </c>
    </row>
    <row r="63" spans="1:16" ht="14.25" x14ac:dyDescent="0.2">
      <c r="A63" s="171" t="str">
        <f>CONCATENATE("Итого по смете: ",IF(Source!G131&lt;&gt;"Новый объект", Source!G131, ""))</f>
        <v>Итого по смете: Выходной документ. Тест</v>
      </c>
      <c r="B63" s="171"/>
      <c r="C63" s="171"/>
      <c r="D63" s="171"/>
      <c r="E63" s="171"/>
      <c r="F63" s="171"/>
      <c r="G63" s="171"/>
      <c r="H63" s="171"/>
      <c r="I63" s="170"/>
      <c r="J63" s="169"/>
      <c r="K63" s="168">
        <f>SUM(P1:P62)</f>
        <v>3550368.87</v>
      </c>
    </row>
    <row r="64" spans="1:16" hidden="1" x14ac:dyDescent="0.2">
      <c r="A64" t="s">
        <v>352</v>
      </c>
      <c r="J64">
        <f>SUM(AD1:AD63)</f>
        <v>0</v>
      </c>
    </row>
    <row r="65" spans="1:11" hidden="1" x14ac:dyDescent="0.2">
      <c r="A65" t="s">
        <v>353</v>
      </c>
      <c r="J65">
        <f>SUM(AF1:AF64)</f>
        <v>0</v>
      </c>
    </row>
    <row r="66" spans="1:11" ht="15" x14ac:dyDescent="0.25">
      <c r="C66" s="99" t="str">
        <f>Source!H160</f>
        <v>Итого по разделам:</v>
      </c>
      <c r="D66" s="99"/>
      <c r="E66" s="99"/>
      <c r="F66" s="99"/>
      <c r="G66" s="99"/>
      <c r="H66" s="99"/>
      <c r="I66" s="104">
        <f>IF(Source!F160=0, "", Source!F160)</f>
        <v>3550368.87</v>
      </c>
      <c r="J66" s="104"/>
    </row>
    <row r="67" spans="1:11" ht="15" x14ac:dyDescent="0.25">
      <c r="C67" s="99" t="str">
        <f>Source!H161</f>
        <v>НДС - 20%</v>
      </c>
      <c r="D67" s="99"/>
      <c r="E67" s="99"/>
      <c r="F67" s="99"/>
      <c r="G67" s="99"/>
      <c r="H67" s="99"/>
      <c r="I67" s="104">
        <f>IF(Source!F161=0, "", Source!F161)</f>
        <v>710073.77</v>
      </c>
      <c r="J67" s="104"/>
    </row>
    <row r="68" spans="1:11" ht="15" x14ac:dyDescent="0.25">
      <c r="C68" s="99" t="str">
        <f>Source!H162</f>
        <v>Всего:</v>
      </c>
      <c r="D68" s="99"/>
      <c r="E68" s="99"/>
      <c r="F68" s="99"/>
      <c r="G68" s="99"/>
      <c r="H68" s="99"/>
      <c r="I68" s="104">
        <f>IF(Source!F162=0, "", Source!F162)</f>
        <v>4260442.6399999997</v>
      </c>
      <c r="J68" s="104"/>
    </row>
    <row r="71" spans="1:11" ht="15" x14ac:dyDescent="0.25">
      <c r="A71" s="172" t="s">
        <v>356</v>
      </c>
      <c r="B71" s="172"/>
      <c r="C71" s="173" t="str">
        <f>IF(Source!AC12&lt;&gt;"", Source!AC12," ")</f>
        <v xml:space="preserve"> </v>
      </c>
      <c r="D71" s="173"/>
      <c r="E71" s="173"/>
      <c r="F71" s="173"/>
      <c r="G71" s="173"/>
      <c r="H71" s="83" t="str">
        <f>IF(Source!AB12&lt;&gt;"", Source!AB12," ")</f>
        <v xml:space="preserve"> </v>
      </c>
      <c r="I71" s="83"/>
      <c r="J71" s="83"/>
      <c r="K71" s="83"/>
    </row>
    <row r="72" spans="1:11" ht="15" x14ac:dyDescent="0.25">
      <c r="A72" s="83"/>
      <c r="B72" s="83"/>
      <c r="C72" s="93" t="s">
        <v>331</v>
      </c>
      <c r="D72" s="93"/>
      <c r="E72" s="93"/>
      <c r="F72" s="93"/>
      <c r="G72" s="93"/>
      <c r="H72" s="83"/>
      <c r="I72" s="83"/>
      <c r="J72" s="83"/>
      <c r="K72" s="83"/>
    </row>
    <row r="73" spans="1:11" ht="15" x14ac:dyDescent="0.25">
      <c r="A73" s="83"/>
      <c r="B73" s="83"/>
      <c r="C73" s="83"/>
      <c r="D73" s="83"/>
      <c r="E73" s="83"/>
      <c r="F73" s="83"/>
      <c r="G73" s="83"/>
      <c r="H73" s="83"/>
      <c r="I73" s="83"/>
      <c r="J73" s="83"/>
      <c r="K73" s="83"/>
    </row>
    <row r="74" spans="1:11" ht="15" x14ac:dyDescent="0.25">
      <c r="A74" s="172" t="s">
        <v>357</v>
      </c>
      <c r="B74" s="172"/>
      <c r="C74" s="173" t="str">
        <f>IF(Source!AE12&lt;&gt;"", Source!AE12," ")</f>
        <v xml:space="preserve"> </v>
      </c>
      <c r="D74" s="173"/>
      <c r="E74" s="173"/>
      <c r="F74" s="173"/>
      <c r="G74" s="173"/>
      <c r="H74" s="83" t="str">
        <f>IF(Source!AD12&lt;&gt;"", Source!AD12," ")</f>
        <v xml:space="preserve"> </v>
      </c>
      <c r="I74" s="83"/>
      <c r="J74" s="83"/>
      <c r="K74" s="83"/>
    </row>
    <row r="75" spans="1:11" ht="15" x14ac:dyDescent="0.25">
      <c r="A75" s="83"/>
      <c r="B75" s="83"/>
      <c r="C75" s="93" t="s">
        <v>331</v>
      </c>
      <c r="D75" s="93"/>
      <c r="E75" s="93"/>
      <c r="F75" s="93"/>
      <c r="G75" s="93"/>
      <c r="H75" s="83"/>
      <c r="I75" s="83"/>
      <c r="J75" s="83"/>
      <c r="K75" s="83"/>
    </row>
  </sheetData>
  <mergeCells count="65">
    <mergeCell ref="C68:H68"/>
    <mergeCell ref="I68:J68"/>
    <mergeCell ref="A71:B71"/>
    <mergeCell ref="C72:G72"/>
    <mergeCell ref="A74:B74"/>
    <mergeCell ref="C75:G75"/>
    <mergeCell ref="I63:J63"/>
    <mergeCell ref="A63:H63"/>
    <mergeCell ref="C66:H66"/>
    <mergeCell ref="I66:J66"/>
    <mergeCell ref="C67:H67"/>
    <mergeCell ref="I67:J67"/>
    <mergeCell ref="A41:K41"/>
    <mergeCell ref="I51:J51"/>
    <mergeCell ref="A51:H51"/>
    <mergeCell ref="I55:J55"/>
    <mergeCell ref="A55:H55"/>
    <mergeCell ref="I59:J59"/>
    <mergeCell ref="A59:H59"/>
    <mergeCell ref="H33:H34"/>
    <mergeCell ref="I33:I34"/>
    <mergeCell ref="J33:J34"/>
    <mergeCell ref="K33:K34"/>
    <mergeCell ref="A37:K37"/>
    <mergeCell ref="A39:K39"/>
    <mergeCell ref="A31:K31"/>
    <mergeCell ref="A32:A34"/>
    <mergeCell ref="B32:B34"/>
    <mergeCell ref="C32:C34"/>
    <mergeCell ref="D32:D34"/>
    <mergeCell ref="E32:E34"/>
    <mergeCell ref="F32:H32"/>
    <mergeCell ref="I32:K32"/>
    <mergeCell ref="F33:F34"/>
    <mergeCell ref="G33:G34"/>
    <mergeCell ref="F27:H27"/>
    <mergeCell ref="I27:J27"/>
    <mergeCell ref="F28:H28"/>
    <mergeCell ref="I28:J28"/>
    <mergeCell ref="I29:J29"/>
    <mergeCell ref="F30:H30"/>
    <mergeCell ref="F24:H24"/>
    <mergeCell ref="I24:J24"/>
    <mergeCell ref="F25:H25"/>
    <mergeCell ref="I25:J25"/>
    <mergeCell ref="F26:H26"/>
    <mergeCell ref="I26:J26"/>
    <mergeCell ref="A16:K16"/>
    <mergeCell ref="A18:K18"/>
    <mergeCell ref="A19:K19"/>
    <mergeCell ref="A21:K21"/>
    <mergeCell ref="F23:H23"/>
    <mergeCell ref="I23:J23"/>
    <mergeCell ref="B7:E7"/>
    <mergeCell ref="G7:K7"/>
    <mergeCell ref="A10:K10"/>
    <mergeCell ref="A11:K11"/>
    <mergeCell ref="A13:K13"/>
    <mergeCell ref="A14:K14"/>
    <mergeCell ref="B3:E3"/>
    <mergeCell ref="G3:K3"/>
    <mergeCell ref="B4:E4"/>
    <mergeCell ref="G4:K4"/>
    <mergeCell ref="B6:E6"/>
    <mergeCell ref="G6:K6"/>
  </mergeCells>
  <pageMargins left="0.4" right="0.2" top="0.2" bottom="0.4" header="0.2" footer="0.2"/>
  <pageSetup paperSize="9" scale="60" fitToHeight="0" orientation="portrait" r:id="rId1"/>
  <headerFooter>
    <oddHeader>&amp;L&amp;8</oddHeader>
    <oddFooter>&amp;R&amp;P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K198"/>
  <sheetViews>
    <sheetView workbookViewId="0">
      <selection activeCell="A194" sqref="A194:AA194"/>
    </sheetView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23404</v>
      </c>
      <c r="M1">
        <v>10</v>
      </c>
      <c r="N1">
        <v>11</v>
      </c>
      <c r="O1">
        <v>0</v>
      </c>
      <c r="P1">
        <v>0</v>
      </c>
      <c r="Q1">
        <v>6</v>
      </c>
    </row>
    <row r="2" spans="1:133" x14ac:dyDescent="0.2">
      <c r="A2" s="80" t="s">
        <v>334</v>
      </c>
    </row>
    <row r="12" spans="1:133" x14ac:dyDescent="0.2">
      <c r="A12" s="1">
        <v>1</v>
      </c>
      <c r="B12" s="1">
        <v>193</v>
      </c>
      <c r="C12" s="1">
        <v>0</v>
      </c>
      <c r="D12" s="1">
        <f>ROW(A131)</f>
        <v>131</v>
      </c>
      <c r="E12" s="1">
        <v>0</v>
      </c>
      <c r="F12" s="1" t="s">
        <v>4</v>
      </c>
      <c r="G12" s="1" t="s">
        <v>5</v>
      </c>
      <c r="H12" s="1" t="s">
        <v>3</v>
      </c>
      <c r="I12" s="1">
        <v>0</v>
      </c>
      <c r="J12" s="1" t="s">
        <v>3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/>
      <c r="T12" s="1"/>
      <c r="U12" s="1" t="s">
        <v>3</v>
      </c>
      <c r="V12" s="1">
        <v>0</v>
      </c>
      <c r="W12" s="1" t="s">
        <v>3</v>
      </c>
      <c r="X12" s="1" t="s">
        <v>3</v>
      </c>
      <c r="Y12" s="1" t="s">
        <v>3</v>
      </c>
      <c r="Z12" s="1" t="s">
        <v>3</v>
      </c>
      <c r="AA12" s="1" t="s">
        <v>3</v>
      </c>
      <c r="AB12" s="1" t="s">
        <v>3</v>
      </c>
      <c r="AC12" s="1" t="s">
        <v>3</v>
      </c>
      <c r="AD12" s="1" t="s">
        <v>3</v>
      </c>
      <c r="AE12" s="1" t="s">
        <v>3</v>
      </c>
      <c r="AF12" s="1" t="s">
        <v>3</v>
      </c>
      <c r="AG12" s="1" t="s">
        <v>3</v>
      </c>
      <c r="AH12" s="1" t="s">
        <v>3</v>
      </c>
      <c r="AI12" s="1" t="s">
        <v>3</v>
      </c>
      <c r="AJ12" s="1" t="s">
        <v>3</v>
      </c>
      <c r="AK12" s="1"/>
      <c r="AL12" s="1" t="s">
        <v>3</v>
      </c>
      <c r="AM12" s="1" t="s">
        <v>3</v>
      </c>
      <c r="AN12" s="1" t="s">
        <v>3</v>
      </c>
      <c r="AO12" s="1"/>
      <c r="AP12" s="1" t="s">
        <v>3</v>
      </c>
      <c r="AQ12" s="1" t="s">
        <v>3</v>
      </c>
      <c r="AR12" s="1" t="s">
        <v>3</v>
      </c>
      <c r="AS12" s="1"/>
      <c r="AT12" s="1"/>
      <c r="AU12" s="1"/>
      <c r="AV12" s="1"/>
      <c r="AW12" s="1"/>
      <c r="AX12" s="1" t="s">
        <v>3</v>
      </c>
      <c r="AY12" s="1" t="s">
        <v>3</v>
      </c>
      <c r="AZ12" s="1" t="s">
        <v>3</v>
      </c>
      <c r="BA12" s="1"/>
      <c r="BB12" s="1"/>
      <c r="BC12" s="1"/>
      <c r="BD12" s="1"/>
      <c r="BE12" s="1"/>
      <c r="BF12" s="1"/>
      <c r="BG12" s="1"/>
      <c r="BH12" s="1" t="s">
        <v>6</v>
      </c>
      <c r="BI12" s="1" t="s">
        <v>7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6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8</v>
      </c>
      <c r="BZ12" s="1" t="s">
        <v>9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11</v>
      </c>
      <c r="CF12" s="1">
        <v>0</v>
      </c>
      <c r="CG12" s="1">
        <v>0</v>
      </c>
      <c r="CH12" s="1">
        <v>0</v>
      </c>
      <c r="CI12" s="1" t="s">
        <v>3</v>
      </c>
      <c r="CJ12" s="1" t="s">
        <v>3</v>
      </c>
      <c r="CK12" s="1">
        <v>1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5" spans="1:133" x14ac:dyDescent="0.2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</row>
    <row r="18" spans="1:245" x14ac:dyDescent="0.2">
      <c r="A18" s="2">
        <v>52</v>
      </c>
      <c r="B18" s="2">
        <f t="shared" ref="B18:G18" si="0">B131</f>
        <v>193</v>
      </c>
      <c r="C18" s="2">
        <f t="shared" si="0"/>
        <v>1</v>
      </c>
      <c r="D18" s="2">
        <f t="shared" si="0"/>
        <v>12</v>
      </c>
      <c r="E18" s="2">
        <f t="shared" si="0"/>
        <v>0</v>
      </c>
      <c r="F18" s="2" t="str">
        <f t="shared" si="0"/>
        <v>Новый объект</v>
      </c>
      <c r="G18" s="2" t="str">
        <f t="shared" si="0"/>
        <v>Выходной документ. Тест</v>
      </c>
      <c r="H18" s="2"/>
      <c r="I18" s="2"/>
      <c r="J18" s="2"/>
      <c r="K18" s="2"/>
      <c r="L18" s="2"/>
      <c r="M18" s="2"/>
      <c r="N18" s="2"/>
      <c r="O18" s="2">
        <f t="shared" ref="O18:AT18" si="1">O131</f>
        <v>3527006.18</v>
      </c>
      <c r="P18" s="2">
        <f t="shared" si="1"/>
        <v>3509853.7</v>
      </c>
      <c r="Q18" s="2">
        <f t="shared" si="1"/>
        <v>1956.28</v>
      </c>
      <c r="R18" s="2">
        <f t="shared" si="1"/>
        <v>591.16999999999996</v>
      </c>
      <c r="S18" s="2">
        <f t="shared" si="1"/>
        <v>15196.2</v>
      </c>
      <c r="T18" s="2">
        <f t="shared" si="1"/>
        <v>0</v>
      </c>
      <c r="U18" s="2">
        <f t="shared" si="1"/>
        <v>57.188379999999995</v>
      </c>
      <c r="V18" s="2">
        <f t="shared" si="1"/>
        <v>1.483525</v>
      </c>
      <c r="W18" s="2">
        <f t="shared" si="1"/>
        <v>0.75</v>
      </c>
      <c r="X18" s="2">
        <f t="shared" si="1"/>
        <v>13680.21</v>
      </c>
      <c r="Y18" s="2">
        <f t="shared" si="1"/>
        <v>9682.48</v>
      </c>
      <c r="Z18" s="2">
        <f t="shared" si="1"/>
        <v>0</v>
      </c>
      <c r="AA18" s="2">
        <f t="shared" si="1"/>
        <v>0</v>
      </c>
      <c r="AB18" s="2">
        <f t="shared" si="1"/>
        <v>0</v>
      </c>
      <c r="AC18" s="2">
        <f t="shared" si="1"/>
        <v>0</v>
      </c>
      <c r="AD18" s="2">
        <f t="shared" si="1"/>
        <v>0</v>
      </c>
      <c r="AE18" s="2">
        <f t="shared" si="1"/>
        <v>0</v>
      </c>
      <c r="AF18" s="2">
        <f t="shared" si="1"/>
        <v>0</v>
      </c>
      <c r="AG18" s="2">
        <f t="shared" si="1"/>
        <v>0</v>
      </c>
      <c r="AH18" s="2">
        <f t="shared" si="1"/>
        <v>0</v>
      </c>
      <c r="AI18" s="2">
        <f t="shared" si="1"/>
        <v>0</v>
      </c>
      <c r="AJ18" s="2">
        <f t="shared" si="1"/>
        <v>0</v>
      </c>
      <c r="AK18" s="2">
        <f t="shared" si="1"/>
        <v>0</v>
      </c>
      <c r="AL18" s="2">
        <f t="shared" si="1"/>
        <v>0</v>
      </c>
      <c r="AM18" s="2">
        <f t="shared" si="1"/>
        <v>0</v>
      </c>
      <c r="AN18" s="2">
        <f t="shared" si="1"/>
        <v>0</v>
      </c>
      <c r="AO18" s="2">
        <f t="shared" si="1"/>
        <v>0</v>
      </c>
      <c r="AP18" s="2">
        <f t="shared" si="1"/>
        <v>3487217.08</v>
      </c>
      <c r="AQ18" s="2">
        <f t="shared" si="1"/>
        <v>0</v>
      </c>
      <c r="AR18" s="2">
        <f t="shared" si="1"/>
        <v>3550368.87</v>
      </c>
      <c r="AS18" s="2">
        <f t="shared" si="1"/>
        <v>31780.880000000001</v>
      </c>
      <c r="AT18" s="2">
        <f t="shared" si="1"/>
        <v>31370.91</v>
      </c>
      <c r="AU18" s="2">
        <f t="shared" ref="AU18:BZ18" si="2">AU131</f>
        <v>0</v>
      </c>
      <c r="AV18" s="2">
        <f t="shared" si="2"/>
        <v>3509853.7</v>
      </c>
      <c r="AW18" s="2">
        <f t="shared" si="2"/>
        <v>22636.62</v>
      </c>
      <c r="AX18" s="2">
        <f t="shared" si="2"/>
        <v>0</v>
      </c>
      <c r="AY18" s="2">
        <f t="shared" si="2"/>
        <v>22636.62</v>
      </c>
      <c r="AZ18" s="2">
        <f t="shared" si="2"/>
        <v>3487217.08</v>
      </c>
      <c r="BA18" s="2">
        <f t="shared" si="2"/>
        <v>0</v>
      </c>
      <c r="BB18" s="2">
        <f t="shared" si="2"/>
        <v>0</v>
      </c>
      <c r="BC18" s="2">
        <f t="shared" si="2"/>
        <v>0</v>
      </c>
      <c r="BD18" s="2">
        <f t="shared" si="2"/>
        <v>0</v>
      </c>
      <c r="BE18" s="2">
        <f t="shared" si="2"/>
        <v>0</v>
      </c>
      <c r="BF18" s="2">
        <f t="shared" si="2"/>
        <v>0</v>
      </c>
      <c r="BG18" s="2">
        <f t="shared" si="2"/>
        <v>0</v>
      </c>
      <c r="BH18" s="2">
        <f t="shared" si="2"/>
        <v>0</v>
      </c>
      <c r="BI18" s="2">
        <f t="shared" si="2"/>
        <v>0</v>
      </c>
      <c r="BJ18" s="2">
        <f t="shared" si="2"/>
        <v>0</v>
      </c>
      <c r="BK18" s="2">
        <f t="shared" si="2"/>
        <v>0</v>
      </c>
      <c r="BL18" s="2">
        <f t="shared" si="2"/>
        <v>0</v>
      </c>
      <c r="BM18" s="2">
        <f t="shared" si="2"/>
        <v>0</v>
      </c>
      <c r="BN18" s="2">
        <f t="shared" si="2"/>
        <v>0</v>
      </c>
      <c r="BO18" s="2">
        <f t="shared" si="2"/>
        <v>0</v>
      </c>
      <c r="BP18" s="2">
        <f t="shared" si="2"/>
        <v>0</v>
      </c>
      <c r="BQ18" s="2">
        <f t="shared" si="2"/>
        <v>0</v>
      </c>
      <c r="BR18" s="2">
        <f t="shared" si="2"/>
        <v>0</v>
      </c>
      <c r="BS18" s="2">
        <f t="shared" si="2"/>
        <v>0</v>
      </c>
      <c r="BT18" s="2">
        <f t="shared" si="2"/>
        <v>0</v>
      </c>
      <c r="BU18" s="2">
        <f t="shared" si="2"/>
        <v>0</v>
      </c>
      <c r="BV18" s="2">
        <f t="shared" si="2"/>
        <v>0</v>
      </c>
      <c r="BW18" s="2">
        <f t="shared" si="2"/>
        <v>0</v>
      </c>
      <c r="BX18" s="2">
        <f t="shared" si="2"/>
        <v>0</v>
      </c>
      <c r="BY18" s="2">
        <f t="shared" si="2"/>
        <v>0</v>
      </c>
      <c r="BZ18" s="2">
        <f t="shared" si="2"/>
        <v>0</v>
      </c>
      <c r="CA18" s="2">
        <f t="shared" ref="CA18:DF18" si="3">CA131</f>
        <v>0</v>
      </c>
      <c r="CB18" s="2">
        <f t="shared" si="3"/>
        <v>0</v>
      </c>
      <c r="CC18" s="2">
        <f t="shared" si="3"/>
        <v>0</v>
      </c>
      <c r="CD18" s="2">
        <f t="shared" si="3"/>
        <v>0</v>
      </c>
      <c r="CE18" s="2">
        <f t="shared" si="3"/>
        <v>0</v>
      </c>
      <c r="CF18" s="2">
        <f t="shared" si="3"/>
        <v>0</v>
      </c>
      <c r="CG18" s="2">
        <f t="shared" si="3"/>
        <v>0</v>
      </c>
      <c r="CH18" s="2">
        <f t="shared" si="3"/>
        <v>0</v>
      </c>
      <c r="CI18" s="2">
        <f t="shared" si="3"/>
        <v>0</v>
      </c>
      <c r="CJ18" s="2">
        <f t="shared" si="3"/>
        <v>0</v>
      </c>
      <c r="CK18" s="2">
        <f t="shared" si="3"/>
        <v>0</v>
      </c>
      <c r="CL18" s="2">
        <f t="shared" si="3"/>
        <v>0</v>
      </c>
      <c r="CM18" s="2">
        <f t="shared" si="3"/>
        <v>0</v>
      </c>
      <c r="CN18" s="2">
        <f t="shared" si="3"/>
        <v>0</v>
      </c>
      <c r="CO18" s="2">
        <f t="shared" si="3"/>
        <v>0</v>
      </c>
      <c r="CP18" s="2">
        <f t="shared" si="3"/>
        <v>0</v>
      </c>
      <c r="CQ18" s="2">
        <f t="shared" si="3"/>
        <v>0</v>
      </c>
      <c r="CR18" s="2">
        <f t="shared" si="3"/>
        <v>0</v>
      </c>
      <c r="CS18" s="2">
        <f t="shared" si="3"/>
        <v>0</v>
      </c>
      <c r="CT18" s="2">
        <f t="shared" si="3"/>
        <v>0</v>
      </c>
      <c r="CU18" s="2">
        <f t="shared" si="3"/>
        <v>0</v>
      </c>
      <c r="CV18" s="2">
        <f t="shared" si="3"/>
        <v>0</v>
      </c>
      <c r="CW18" s="2">
        <f t="shared" si="3"/>
        <v>0</v>
      </c>
      <c r="CX18" s="2">
        <f t="shared" si="3"/>
        <v>0</v>
      </c>
      <c r="CY18" s="2">
        <f t="shared" si="3"/>
        <v>0</v>
      </c>
      <c r="CZ18" s="2">
        <f t="shared" si="3"/>
        <v>0</v>
      </c>
      <c r="DA18" s="2">
        <f t="shared" si="3"/>
        <v>0</v>
      </c>
      <c r="DB18" s="2">
        <f t="shared" si="3"/>
        <v>0</v>
      </c>
      <c r="DC18" s="2">
        <f t="shared" si="3"/>
        <v>0</v>
      </c>
      <c r="DD18" s="2">
        <f t="shared" si="3"/>
        <v>0</v>
      </c>
      <c r="DE18" s="2">
        <f t="shared" si="3"/>
        <v>0</v>
      </c>
      <c r="DF18" s="2">
        <f t="shared" si="3"/>
        <v>0</v>
      </c>
      <c r="DG18" s="3">
        <f t="shared" ref="DG18:EL18" si="4">DG131</f>
        <v>0</v>
      </c>
      <c r="DH18" s="3">
        <f t="shared" si="4"/>
        <v>0</v>
      </c>
      <c r="DI18" s="3">
        <f t="shared" si="4"/>
        <v>0</v>
      </c>
      <c r="DJ18" s="3">
        <f t="shared" si="4"/>
        <v>0</v>
      </c>
      <c r="DK18" s="3">
        <f t="shared" si="4"/>
        <v>0</v>
      </c>
      <c r="DL18" s="3">
        <f t="shared" si="4"/>
        <v>0</v>
      </c>
      <c r="DM18" s="3">
        <f t="shared" si="4"/>
        <v>0</v>
      </c>
      <c r="DN18" s="3">
        <f t="shared" si="4"/>
        <v>0</v>
      </c>
      <c r="DO18" s="3">
        <f t="shared" si="4"/>
        <v>0</v>
      </c>
      <c r="DP18" s="3">
        <f t="shared" si="4"/>
        <v>0</v>
      </c>
      <c r="DQ18" s="3">
        <f t="shared" si="4"/>
        <v>0</v>
      </c>
      <c r="DR18" s="3">
        <f t="shared" si="4"/>
        <v>0</v>
      </c>
      <c r="DS18" s="3">
        <f t="shared" si="4"/>
        <v>0</v>
      </c>
      <c r="DT18" s="3">
        <f t="shared" si="4"/>
        <v>0</v>
      </c>
      <c r="DU18" s="3">
        <f t="shared" si="4"/>
        <v>0</v>
      </c>
      <c r="DV18" s="3">
        <f t="shared" si="4"/>
        <v>0</v>
      </c>
      <c r="DW18" s="3">
        <f t="shared" si="4"/>
        <v>0</v>
      </c>
      <c r="DX18" s="3">
        <f t="shared" si="4"/>
        <v>0</v>
      </c>
      <c r="DY18" s="3">
        <f t="shared" si="4"/>
        <v>0</v>
      </c>
      <c r="DZ18" s="3">
        <f t="shared" si="4"/>
        <v>0</v>
      </c>
      <c r="EA18" s="3">
        <f t="shared" si="4"/>
        <v>0</v>
      </c>
      <c r="EB18" s="3">
        <f t="shared" si="4"/>
        <v>0</v>
      </c>
      <c r="EC18" s="3">
        <f t="shared" si="4"/>
        <v>0</v>
      </c>
      <c r="ED18" s="3">
        <f t="shared" si="4"/>
        <v>0</v>
      </c>
      <c r="EE18" s="3">
        <f t="shared" si="4"/>
        <v>0</v>
      </c>
      <c r="EF18" s="3">
        <f t="shared" si="4"/>
        <v>0</v>
      </c>
      <c r="EG18" s="3">
        <f t="shared" si="4"/>
        <v>0</v>
      </c>
      <c r="EH18" s="3">
        <f t="shared" si="4"/>
        <v>0</v>
      </c>
      <c r="EI18" s="3">
        <f t="shared" si="4"/>
        <v>0</v>
      </c>
      <c r="EJ18" s="3">
        <f t="shared" si="4"/>
        <v>0</v>
      </c>
      <c r="EK18" s="3">
        <f t="shared" si="4"/>
        <v>0</v>
      </c>
      <c r="EL18" s="3">
        <f t="shared" si="4"/>
        <v>0</v>
      </c>
      <c r="EM18" s="3">
        <f t="shared" ref="EM18:FR18" si="5">EM131</f>
        <v>0</v>
      </c>
      <c r="EN18" s="3">
        <f t="shared" si="5"/>
        <v>0</v>
      </c>
      <c r="EO18" s="3">
        <f t="shared" si="5"/>
        <v>0</v>
      </c>
      <c r="EP18" s="3">
        <f t="shared" si="5"/>
        <v>0</v>
      </c>
      <c r="EQ18" s="3">
        <f t="shared" si="5"/>
        <v>0</v>
      </c>
      <c r="ER18" s="3">
        <f t="shared" si="5"/>
        <v>0</v>
      </c>
      <c r="ES18" s="3">
        <f t="shared" si="5"/>
        <v>0</v>
      </c>
      <c r="ET18" s="3">
        <f t="shared" si="5"/>
        <v>0</v>
      </c>
      <c r="EU18" s="3">
        <f t="shared" si="5"/>
        <v>0</v>
      </c>
      <c r="EV18" s="3">
        <f t="shared" si="5"/>
        <v>0</v>
      </c>
      <c r="EW18" s="3">
        <f t="shared" si="5"/>
        <v>0</v>
      </c>
      <c r="EX18" s="3">
        <f t="shared" si="5"/>
        <v>0</v>
      </c>
      <c r="EY18" s="3">
        <f t="shared" si="5"/>
        <v>0</v>
      </c>
      <c r="EZ18" s="3">
        <f t="shared" si="5"/>
        <v>0</v>
      </c>
      <c r="FA18" s="3">
        <f t="shared" si="5"/>
        <v>0</v>
      </c>
      <c r="FB18" s="3">
        <f t="shared" si="5"/>
        <v>0</v>
      </c>
      <c r="FC18" s="3">
        <f t="shared" si="5"/>
        <v>0</v>
      </c>
      <c r="FD18" s="3">
        <f t="shared" si="5"/>
        <v>0</v>
      </c>
      <c r="FE18" s="3">
        <f t="shared" si="5"/>
        <v>0</v>
      </c>
      <c r="FF18" s="3">
        <f t="shared" si="5"/>
        <v>0</v>
      </c>
      <c r="FG18" s="3">
        <f t="shared" si="5"/>
        <v>0</v>
      </c>
      <c r="FH18" s="3">
        <f t="shared" si="5"/>
        <v>0</v>
      </c>
      <c r="FI18" s="3">
        <f t="shared" si="5"/>
        <v>0</v>
      </c>
      <c r="FJ18" s="3">
        <f t="shared" si="5"/>
        <v>0</v>
      </c>
      <c r="FK18" s="3">
        <f t="shared" si="5"/>
        <v>0</v>
      </c>
      <c r="FL18" s="3">
        <f t="shared" si="5"/>
        <v>0</v>
      </c>
      <c r="FM18" s="3">
        <f t="shared" si="5"/>
        <v>0</v>
      </c>
      <c r="FN18" s="3">
        <f t="shared" si="5"/>
        <v>0</v>
      </c>
      <c r="FO18" s="3">
        <f t="shared" si="5"/>
        <v>0</v>
      </c>
      <c r="FP18" s="3">
        <f t="shared" si="5"/>
        <v>0</v>
      </c>
      <c r="FQ18" s="3">
        <f t="shared" si="5"/>
        <v>0</v>
      </c>
      <c r="FR18" s="3">
        <f t="shared" si="5"/>
        <v>0</v>
      </c>
      <c r="FS18" s="3">
        <f t="shared" ref="FS18:GX18" si="6">FS131</f>
        <v>0</v>
      </c>
      <c r="FT18" s="3">
        <f t="shared" si="6"/>
        <v>0</v>
      </c>
      <c r="FU18" s="3">
        <f t="shared" si="6"/>
        <v>0</v>
      </c>
      <c r="FV18" s="3">
        <f t="shared" si="6"/>
        <v>0</v>
      </c>
      <c r="FW18" s="3">
        <f t="shared" si="6"/>
        <v>0</v>
      </c>
      <c r="FX18" s="3">
        <f t="shared" si="6"/>
        <v>0</v>
      </c>
      <c r="FY18" s="3">
        <f t="shared" si="6"/>
        <v>0</v>
      </c>
      <c r="FZ18" s="3">
        <f t="shared" si="6"/>
        <v>0</v>
      </c>
      <c r="GA18" s="3">
        <f t="shared" si="6"/>
        <v>0</v>
      </c>
      <c r="GB18" s="3">
        <f t="shared" si="6"/>
        <v>0</v>
      </c>
      <c r="GC18" s="3">
        <f t="shared" si="6"/>
        <v>0</v>
      </c>
      <c r="GD18" s="3">
        <f t="shared" si="6"/>
        <v>0</v>
      </c>
      <c r="GE18" s="3">
        <f t="shared" si="6"/>
        <v>0</v>
      </c>
      <c r="GF18" s="3">
        <f t="shared" si="6"/>
        <v>0</v>
      </c>
      <c r="GG18" s="3">
        <f t="shared" si="6"/>
        <v>0</v>
      </c>
      <c r="GH18" s="3">
        <f t="shared" si="6"/>
        <v>0</v>
      </c>
      <c r="GI18" s="3">
        <f t="shared" si="6"/>
        <v>0</v>
      </c>
      <c r="GJ18" s="3">
        <f t="shared" si="6"/>
        <v>0</v>
      </c>
      <c r="GK18" s="3">
        <f t="shared" si="6"/>
        <v>0</v>
      </c>
      <c r="GL18" s="3">
        <f t="shared" si="6"/>
        <v>0</v>
      </c>
      <c r="GM18" s="3">
        <f t="shared" si="6"/>
        <v>0</v>
      </c>
      <c r="GN18" s="3">
        <f t="shared" si="6"/>
        <v>0</v>
      </c>
      <c r="GO18" s="3">
        <f t="shared" si="6"/>
        <v>0</v>
      </c>
      <c r="GP18" s="3">
        <f t="shared" si="6"/>
        <v>0</v>
      </c>
      <c r="GQ18" s="3">
        <f t="shared" si="6"/>
        <v>0</v>
      </c>
      <c r="GR18" s="3">
        <f t="shared" si="6"/>
        <v>0</v>
      </c>
      <c r="GS18" s="3">
        <f t="shared" si="6"/>
        <v>0</v>
      </c>
      <c r="GT18" s="3">
        <f t="shared" si="6"/>
        <v>0</v>
      </c>
      <c r="GU18" s="3">
        <f t="shared" si="6"/>
        <v>0</v>
      </c>
      <c r="GV18" s="3">
        <f t="shared" si="6"/>
        <v>0</v>
      </c>
      <c r="GW18" s="3">
        <f t="shared" si="6"/>
        <v>0</v>
      </c>
      <c r="GX18" s="3">
        <f t="shared" si="6"/>
        <v>0</v>
      </c>
    </row>
    <row r="20" spans="1:245" x14ac:dyDescent="0.2">
      <c r="A20" s="1">
        <v>3</v>
      </c>
      <c r="B20" s="1">
        <v>1</v>
      </c>
      <c r="C20" s="1"/>
      <c r="D20" s="1">
        <f>ROW(A101)</f>
        <v>101</v>
      </c>
      <c r="E20" s="1"/>
      <c r="F20" s="1" t="s">
        <v>12</v>
      </c>
      <c r="G20" s="1" t="s">
        <v>13</v>
      </c>
      <c r="H20" s="1" t="s">
        <v>3</v>
      </c>
      <c r="I20" s="1">
        <v>0</v>
      </c>
      <c r="J20" s="1" t="s">
        <v>3</v>
      </c>
      <c r="K20" s="1">
        <v>-1</v>
      </c>
      <c r="L20" s="1" t="s">
        <v>3</v>
      </c>
      <c r="M20" s="1"/>
      <c r="N20" s="1"/>
      <c r="O20" s="1"/>
      <c r="P20" s="1"/>
      <c r="Q20" s="1"/>
      <c r="R20" s="1"/>
      <c r="S20" s="1"/>
      <c r="T20" s="1"/>
      <c r="U20" s="1" t="s">
        <v>3</v>
      </c>
      <c r="V20" s="1">
        <v>0</v>
      </c>
      <c r="W20" s="1"/>
      <c r="X20" s="1"/>
      <c r="Y20" s="1"/>
      <c r="Z20" s="1"/>
      <c r="AA20" s="1"/>
      <c r="AB20" s="1" t="s">
        <v>3</v>
      </c>
      <c r="AC20" s="1" t="s">
        <v>3</v>
      </c>
      <c r="AD20" s="1" t="s">
        <v>3</v>
      </c>
      <c r="AE20" s="1" t="s">
        <v>3</v>
      </c>
      <c r="AF20" s="1" t="s">
        <v>3</v>
      </c>
      <c r="AG20" s="1" t="s">
        <v>3</v>
      </c>
      <c r="AH20" s="1"/>
      <c r="AI20" s="1"/>
      <c r="AJ20" s="1"/>
      <c r="AK20" s="1"/>
      <c r="AL20" s="1"/>
      <c r="AM20" s="1"/>
      <c r="AN20" s="1"/>
      <c r="AO20" s="1"/>
      <c r="AP20" s="1" t="s">
        <v>3</v>
      </c>
      <c r="AQ20" s="1" t="s">
        <v>3</v>
      </c>
      <c r="AR20" s="1" t="s">
        <v>3</v>
      </c>
      <c r="AS20" s="1"/>
      <c r="AT20" s="1"/>
      <c r="AU20" s="1"/>
      <c r="AV20" s="1"/>
      <c r="AW20" s="1"/>
      <c r="AX20" s="1"/>
      <c r="AY20" s="1"/>
      <c r="AZ20" s="1" t="s">
        <v>3</v>
      </c>
      <c r="BA20" s="1"/>
      <c r="BB20" s="1" t="s">
        <v>3</v>
      </c>
      <c r="BC20" s="1" t="s">
        <v>3</v>
      </c>
      <c r="BD20" s="1" t="s">
        <v>3</v>
      </c>
      <c r="BE20" s="1" t="s">
        <v>3</v>
      </c>
      <c r="BF20" s="1" t="s">
        <v>3</v>
      </c>
      <c r="BG20" s="1" t="s">
        <v>3</v>
      </c>
      <c r="BH20" s="1" t="s">
        <v>3</v>
      </c>
      <c r="BI20" s="1" t="s">
        <v>3</v>
      </c>
      <c r="BJ20" s="1" t="s">
        <v>3</v>
      </c>
      <c r="BK20" s="1" t="s">
        <v>3</v>
      </c>
      <c r="BL20" s="1" t="s">
        <v>3</v>
      </c>
      <c r="BM20" s="1" t="s">
        <v>3</v>
      </c>
      <c r="BN20" s="1" t="s">
        <v>3</v>
      </c>
      <c r="BO20" s="1" t="s">
        <v>3</v>
      </c>
      <c r="BP20" s="1" t="s">
        <v>3</v>
      </c>
      <c r="BQ20" s="1"/>
      <c r="BR20" s="1"/>
      <c r="BS20" s="1"/>
      <c r="BT20" s="1"/>
      <c r="BU20" s="1"/>
      <c r="BV20" s="1"/>
      <c r="BW20" s="1"/>
      <c r="BX20" s="1">
        <v>0</v>
      </c>
      <c r="BY20" s="1"/>
      <c r="BZ20" s="1"/>
      <c r="CA20" s="1"/>
      <c r="CB20" s="1"/>
      <c r="CC20" s="1"/>
      <c r="CD20" s="1"/>
      <c r="CE20" s="1"/>
      <c r="CF20" s="1">
        <v>0</v>
      </c>
      <c r="CG20" s="1">
        <v>0</v>
      </c>
      <c r="CH20" s="1"/>
      <c r="CI20" s="1" t="s">
        <v>3</v>
      </c>
      <c r="CJ20" s="1" t="s">
        <v>3</v>
      </c>
      <c r="CK20" t="s">
        <v>3</v>
      </c>
      <c r="CL20" t="s">
        <v>3</v>
      </c>
      <c r="CM20" t="s">
        <v>3</v>
      </c>
      <c r="CN20" t="s">
        <v>3</v>
      </c>
      <c r="CO20" t="s">
        <v>3</v>
      </c>
      <c r="CP20" t="s">
        <v>3</v>
      </c>
    </row>
    <row r="22" spans="1:245" x14ac:dyDescent="0.2">
      <c r="A22" s="2">
        <v>52</v>
      </c>
      <c r="B22" s="2">
        <f t="shared" ref="B22:G22" si="7">B101</f>
        <v>1</v>
      </c>
      <c r="C22" s="2">
        <f t="shared" si="7"/>
        <v>3</v>
      </c>
      <c r="D22" s="2">
        <f t="shared" si="7"/>
        <v>20</v>
      </c>
      <c r="E22" s="2">
        <f t="shared" si="7"/>
        <v>0</v>
      </c>
      <c r="F22" s="2" t="str">
        <f t="shared" si="7"/>
        <v>Новая локальная смета</v>
      </c>
      <c r="G22" s="2" t="str">
        <f t="shared" si="7"/>
        <v>Монтаж оборудования</v>
      </c>
      <c r="H22" s="2"/>
      <c r="I22" s="2"/>
      <c r="J22" s="2"/>
      <c r="K22" s="2"/>
      <c r="L22" s="2"/>
      <c r="M22" s="2"/>
      <c r="N22" s="2"/>
      <c r="O22" s="2">
        <f t="shared" ref="O22:AT22" si="8">O101</f>
        <v>3527006.18</v>
      </c>
      <c r="P22" s="2">
        <f t="shared" si="8"/>
        <v>3509853.7</v>
      </c>
      <c r="Q22" s="2">
        <f t="shared" si="8"/>
        <v>1956.28</v>
      </c>
      <c r="R22" s="2">
        <f t="shared" si="8"/>
        <v>591.16999999999996</v>
      </c>
      <c r="S22" s="2">
        <f t="shared" si="8"/>
        <v>15196.2</v>
      </c>
      <c r="T22" s="2">
        <f t="shared" si="8"/>
        <v>0</v>
      </c>
      <c r="U22" s="2">
        <f t="shared" si="8"/>
        <v>57.188379999999995</v>
      </c>
      <c r="V22" s="2">
        <f t="shared" si="8"/>
        <v>1.483525</v>
      </c>
      <c r="W22" s="2">
        <f t="shared" si="8"/>
        <v>0.75</v>
      </c>
      <c r="X22" s="2">
        <f t="shared" si="8"/>
        <v>13680.21</v>
      </c>
      <c r="Y22" s="2">
        <f t="shared" si="8"/>
        <v>9682.48</v>
      </c>
      <c r="Z22" s="2">
        <f t="shared" si="8"/>
        <v>0</v>
      </c>
      <c r="AA22" s="2">
        <f t="shared" si="8"/>
        <v>0</v>
      </c>
      <c r="AB22" s="2">
        <f t="shared" si="8"/>
        <v>0</v>
      </c>
      <c r="AC22" s="2">
        <f t="shared" si="8"/>
        <v>0</v>
      </c>
      <c r="AD22" s="2">
        <f t="shared" si="8"/>
        <v>0</v>
      </c>
      <c r="AE22" s="2">
        <f t="shared" si="8"/>
        <v>0</v>
      </c>
      <c r="AF22" s="2">
        <f t="shared" si="8"/>
        <v>0</v>
      </c>
      <c r="AG22" s="2">
        <f t="shared" si="8"/>
        <v>0</v>
      </c>
      <c r="AH22" s="2">
        <f t="shared" si="8"/>
        <v>0</v>
      </c>
      <c r="AI22" s="2">
        <f t="shared" si="8"/>
        <v>0</v>
      </c>
      <c r="AJ22" s="2">
        <f t="shared" si="8"/>
        <v>0</v>
      </c>
      <c r="AK22" s="2">
        <f t="shared" si="8"/>
        <v>0</v>
      </c>
      <c r="AL22" s="2">
        <f t="shared" si="8"/>
        <v>0</v>
      </c>
      <c r="AM22" s="2">
        <f t="shared" si="8"/>
        <v>0</v>
      </c>
      <c r="AN22" s="2">
        <f t="shared" si="8"/>
        <v>0</v>
      </c>
      <c r="AO22" s="2">
        <f t="shared" si="8"/>
        <v>0</v>
      </c>
      <c r="AP22" s="2">
        <f t="shared" si="8"/>
        <v>3487217.08</v>
      </c>
      <c r="AQ22" s="2">
        <f t="shared" si="8"/>
        <v>0</v>
      </c>
      <c r="AR22" s="2">
        <f t="shared" si="8"/>
        <v>3550368.87</v>
      </c>
      <c r="AS22" s="2">
        <f t="shared" si="8"/>
        <v>31780.880000000001</v>
      </c>
      <c r="AT22" s="2">
        <f t="shared" si="8"/>
        <v>31370.91</v>
      </c>
      <c r="AU22" s="2">
        <f t="shared" ref="AU22:BZ22" si="9">AU101</f>
        <v>0</v>
      </c>
      <c r="AV22" s="2">
        <f t="shared" si="9"/>
        <v>3509853.7</v>
      </c>
      <c r="AW22" s="2">
        <f t="shared" si="9"/>
        <v>22636.62</v>
      </c>
      <c r="AX22" s="2">
        <f t="shared" si="9"/>
        <v>0</v>
      </c>
      <c r="AY22" s="2">
        <f t="shared" si="9"/>
        <v>22636.62</v>
      </c>
      <c r="AZ22" s="2">
        <f t="shared" si="9"/>
        <v>3487217.08</v>
      </c>
      <c r="BA22" s="2">
        <f t="shared" si="9"/>
        <v>0</v>
      </c>
      <c r="BB22" s="2">
        <f t="shared" si="9"/>
        <v>0</v>
      </c>
      <c r="BC22" s="2">
        <f t="shared" si="9"/>
        <v>0</v>
      </c>
      <c r="BD22" s="2">
        <f t="shared" si="9"/>
        <v>0</v>
      </c>
      <c r="BE22" s="2">
        <f t="shared" si="9"/>
        <v>0</v>
      </c>
      <c r="BF22" s="2">
        <f t="shared" si="9"/>
        <v>0</v>
      </c>
      <c r="BG22" s="2">
        <f t="shared" si="9"/>
        <v>0</v>
      </c>
      <c r="BH22" s="2">
        <f t="shared" si="9"/>
        <v>0</v>
      </c>
      <c r="BI22" s="2">
        <f t="shared" si="9"/>
        <v>0</v>
      </c>
      <c r="BJ22" s="2">
        <f t="shared" si="9"/>
        <v>0</v>
      </c>
      <c r="BK22" s="2">
        <f t="shared" si="9"/>
        <v>0</v>
      </c>
      <c r="BL22" s="2">
        <f t="shared" si="9"/>
        <v>0</v>
      </c>
      <c r="BM22" s="2">
        <f t="shared" si="9"/>
        <v>0</v>
      </c>
      <c r="BN22" s="2">
        <f t="shared" si="9"/>
        <v>0</v>
      </c>
      <c r="BO22" s="2">
        <f t="shared" si="9"/>
        <v>0</v>
      </c>
      <c r="BP22" s="2">
        <f t="shared" si="9"/>
        <v>0</v>
      </c>
      <c r="BQ22" s="2">
        <f t="shared" si="9"/>
        <v>0</v>
      </c>
      <c r="BR22" s="2">
        <f t="shared" si="9"/>
        <v>0</v>
      </c>
      <c r="BS22" s="2">
        <f t="shared" si="9"/>
        <v>0</v>
      </c>
      <c r="BT22" s="2">
        <f t="shared" si="9"/>
        <v>0</v>
      </c>
      <c r="BU22" s="2">
        <f t="shared" si="9"/>
        <v>0</v>
      </c>
      <c r="BV22" s="2">
        <f t="shared" si="9"/>
        <v>0</v>
      </c>
      <c r="BW22" s="2">
        <f t="shared" si="9"/>
        <v>0</v>
      </c>
      <c r="BX22" s="2">
        <f t="shared" si="9"/>
        <v>0</v>
      </c>
      <c r="BY22" s="2">
        <f t="shared" si="9"/>
        <v>0</v>
      </c>
      <c r="BZ22" s="2">
        <f t="shared" si="9"/>
        <v>0</v>
      </c>
      <c r="CA22" s="2">
        <f t="shared" ref="CA22:DF22" si="10">CA101</f>
        <v>0</v>
      </c>
      <c r="CB22" s="2">
        <f t="shared" si="10"/>
        <v>0</v>
      </c>
      <c r="CC22" s="2">
        <f t="shared" si="10"/>
        <v>0</v>
      </c>
      <c r="CD22" s="2">
        <f t="shared" si="10"/>
        <v>0</v>
      </c>
      <c r="CE22" s="2">
        <f t="shared" si="10"/>
        <v>0</v>
      </c>
      <c r="CF22" s="2">
        <f t="shared" si="10"/>
        <v>0</v>
      </c>
      <c r="CG22" s="2">
        <f t="shared" si="10"/>
        <v>0</v>
      </c>
      <c r="CH22" s="2">
        <f t="shared" si="10"/>
        <v>0</v>
      </c>
      <c r="CI22" s="2">
        <f t="shared" si="10"/>
        <v>0</v>
      </c>
      <c r="CJ22" s="2">
        <f t="shared" si="10"/>
        <v>0</v>
      </c>
      <c r="CK22" s="2">
        <f t="shared" si="10"/>
        <v>0</v>
      </c>
      <c r="CL22" s="2">
        <f t="shared" si="10"/>
        <v>0</v>
      </c>
      <c r="CM22" s="2">
        <f t="shared" si="10"/>
        <v>0</v>
      </c>
      <c r="CN22" s="2">
        <f t="shared" si="10"/>
        <v>0</v>
      </c>
      <c r="CO22" s="2">
        <f t="shared" si="10"/>
        <v>0</v>
      </c>
      <c r="CP22" s="2">
        <f t="shared" si="10"/>
        <v>0</v>
      </c>
      <c r="CQ22" s="2">
        <f t="shared" si="10"/>
        <v>0</v>
      </c>
      <c r="CR22" s="2">
        <f t="shared" si="10"/>
        <v>0</v>
      </c>
      <c r="CS22" s="2">
        <f t="shared" si="10"/>
        <v>0</v>
      </c>
      <c r="CT22" s="2">
        <f t="shared" si="10"/>
        <v>0</v>
      </c>
      <c r="CU22" s="2">
        <f t="shared" si="10"/>
        <v>0</v>
      </c>
      <c r="CV22" s="2">
        <f t="shared" si="10"/>
        <v>0</v>
      </c>
      <c r="CW22" s="2">
        <f t="shared" si="10"/>
        <v>0</v>
      </c>
      <c r="CX22" s="2">
        <f t="shared" si="10"/>
        <v>0</v>
      </c>
      <c r="CY22" s="2">
        <f t="shared" si="10"/>
        <v>0</v>
      </c>
      <c r="CZ22" s="2">
        <f t="shared" si="10"/>
        <v>0</v>
      </c>
      <c r="DA22" s="2">
        <f t="shared" si="10"/>
        <v>0</v>
      </c>
      <c r="DB22" s="2">
        <f t="shared" si="10"/>
        <v>0</v>
      </c>
      <c r="DC22" s="2">
        <f t="shared" si="10"/>
        <v>0</v>
      </c>
      <c r="DD22" s="2">
        <f t="shared" si="10"/>
        <v>0</v>
      </c>
      <c r="DE22" s="2">
        <f t="shared" si="10"/>
        <v>0</v>
      </c>
      <c r="DF22" s="2">
        <f t="shared" si="10"/>
        <v>0</v>
      </c>
      <c r="DG22" s="3">
        <f t="shared" ref="DG22:EL22" si="11">DG101</f>
        <v>0</v>
      </c>
      <c r="DH22" s="3">
        <f t="shared" si="11"/>
        <v>0</v>
      </c>
      <c r="DI22" s="3">
        <f t="shared" si="11"/>
        <v>0</v>
      </c>
      <c r="DJ22" s="3">
        <f t="shared" si="11"/>
        <v>0</v>
      </c>
      <c r="DK22" s="3">
        <f t="shared" si="11"/>
        <v>0</v>
      </c>
      <c r="DL22" s="3">
        <f t="shared" si="11"/>
        <v>0</v>
      </c>
      <c r="DM22" s="3">
        <f t="shared" si="11"/>
        <v>0</v>
      </c>
      <c r="DN22" s="3">
        <f t="shared" si="11"/>
        <v>0</v>
      </c>
      <c r="DO22" s="3">
        <f t="shared" si="11"/>
        <v>0</v>
      </c>
      <c r="DP22" s="3">
        <f t="shared" si="11"/>
        <v>0</v>
      </c>
      <c r="DQ22" s="3">
        <f t="shared" si="11"/>
        <v>0</v>
      </c>
      <c r="DR22" s="3">
        <f t="shared" si="11"/>
        <v>0</v>
      </c>
      <c r="DS22" s="3">
        <f t="shared" si="11"/>
        <v>0</v>
      </c>
      <c r="DT22" s="3">
        <f t="shared" si="11"/>
        <v>0</v>
      </c>
      <c r="DU22" s="3">
        <f t="shared" si="11"/>
        <v>0</v>
      </c>
      <c r="DV22" s="3">
        <f t="shared" si="11"/>
        <v>0</v>
      </c>
      <c r="DW22" s="3">
        <f t="shared" si="11"/>
        <v>0</v>
      </c>
      <c r="DX22" s="3">
        <f t="shared" si="11"/>
        <v>0</v>
      </c>
      <c r="DY22" s="3">
        <f t="shared" si="11"/>
        <v>0</v>
      </c>
      <c r="DZ22" s="3">
        <f t="shared" si="11"/>
        <v>0</v>
      </c>
      <c r="EA22" s="3">
        <f t="shared" si="11"/>
        <v>0</v>
      </c>
      <c r="EB22" s="3">
        <f t="shared" si="11"/>
        <v>0</v>
      </c>
      <c r="EC22" s="3">
        <f t="shared" si="11"/>
        <v>0</v>
      </c>
      <c r="ED22" s="3">
        <f t="shared" si="11"/>
        <v>0</v>
      </c>
      <c r="EE22" s="3">
        <f t="shared" si="11"/>
        <v>0</v>
      </c>
      <c r="EF22" s="3">
        <f t="shared" si="11"/>
        <v>0</v>
      </c>
      <c r="EG22" s="3">
        <f t="shared" si="11"/>
        <v>0</v>
      </c>
      <c r="EH22" s="3">
        <f t="shared" si="11"/>
        <v>0</v>
      </c>
      <c r="EI22" s="3">
        <f t="shared" si="11"/>
        <v>0</v>
      </c>
      <c r="EJ22" s="3">
        <f t="shared" si="11"/>
        <v>0</v>
      </c>
      <c r="EK22" s="3">
        <f t="shared" si="11"/>
        <v>0</v>
      </c>
      <c r="EL22" s="3">
        <f t="shared" si="11"/>
        <v>0</v>
      </c>
      <c r="EM22" s="3">
        <f t="shared" ref="EM22:FR22" si="12">EM101</f>
        <v>0</v>
      </c>
      <c r="EN22" s="3">
        <f t="shared" si="12"/>
        <v>0</v>
      </c>
      <c r="EO22" s="3">
        <f t="shared" si="12"/>
        <v>0</v>
      </c>
      <c r="EP22" s="3">
        <f t="shared" si="12"/>
        <v>0</v>
      </c>
      <c r="EQ22" s="3">
        <f t="shared" si="12"/>
        <v>0</v>
      </c>
      <c r="ER22" s="3">
        <f t="shared" si="12"/>
        <v>0</v>
      </c>
      <c r="ES22" s="3">
        <f t="shared" si="12"/>
        <v>0</v>
      </c>
      <c r="ET22" s="3">
        <f t="shared" si="12"/>
        <v>0</v>
      </c>
      <c r="EU22" s="3">
        <f t="shared" si="12"/>
        <v>0</v>
      </c>
      <c r="EV22" s="3">
        <f t="shared" si="12"/>
        <v>0</v>
      </c>
      <c r="EW22" s="3">
        <f t="shared" si="12"/>
        <v>0</v>
      </c>
      <c r="EX22" s="3">
        <f t="shared" si="12"/>
        <v>0</v>
      </c>
      <c r="EY22" s="3">
        <f t="shared" si="12"/>
        <v>0</v>
      </c>
      <c r="EZ22" s="3">
        <f t="shared" si="12"/>
        <v>0</v>
      </c>
      <c r="FA22" s="3">
        <f t="shared" si="12"/>
        <v>0</v>
      </c>
      <c r="FB22" s="3">
        <f t="shared" si="12"/>
        <v>0</v>
      </c>
      <c r="FC22" s="3">
        <f t="shared" si="12"/>
        <v>0</v>
      </c>
      <c r="FD22" s="3">
        <f t="shared" si="12"/>
        <v>0</v>
      </c>
      <c r="FE22" s="3">
        <f t="shared" si="12"/>
        <v>0</v>
      </c>
      <c r="FF22" s="3">
        <f t="shared" si="12"/>
        <v>0</v>
      </c>
      <c r="FG22" s="3">
        <f t="shared" si="12"/>
        <v>0</v>
      </c>
      <c r="FH22" s="3">
        <f t="shared" si="12"/>
        <v>0</v>
      </c>
      <c r="FI22" s="3">
        <f t="shared" si="12"/>
        <v>0</v>
      </c>
      <c r="FJ22" s="3">
        <f t="shared" si="12"/>
        <v>0</v>
      </c>
      <c r="FK22" s="3">
        <f t="shared" si="12"/>
        <v>0</v>
      </c>
      <c r="FL22" s="3">
        <f t="shared" si="12"/>
        <v>0</v>
      </c>
      <c r="FM22" s="3">
        <f t="shared" si="12"/>
        <v>0</v>
      </c>
      <c r="FN22" s="3">
        <f t="shared" si="12"/>
        <v>0</v>
      </c>
      <c r="FO22" s="3">
        <f t="shared" si="12"/>
        <v>0</v>
      </c>
      <c r="FP22" s="3">
        <f t="shared" si="12"/>
        <v>0</v>
      </c>
      <c r="FQ22" s="3">
        <f t="shared" si="12"/>
        <v>0</v>
      </c>
      <c r="FR22" s="3">
        <f t="shared" si="12"/>
        <v>0</v>
      </c>
      <c r="FS22" s="3">
        <f t="shared" ref="FS22:GX22" si="13">FS101</f>
        <v>0</v>
      </c>
      <c r="FT22" s="3">
        <f t="shared" si="13"/>
        <v>0</v>
      </c>
      <c r="FU22" s="3">
        <f t="shared" si="13"/>
        <v>0</v>
      </c>
      <c r="FV22" s="3">
        <f t="shared" si="13"/>
        <v>0</v>
      </c>
      <c r="FW22" s="3">
        <f t="shared" si="13"/>
        <v>0</v>
      </c>
      <c r="FX22" s="3">
        <f t="shared" si="13"/>
        <v>0</v>
      </c>
      <c r="FY22" s="3">
        <f t="shared" si="13"/>
        <v>0</v>
      </c>
      <c r="FZ22" s="3">
        <f t="shared" si="13"/>
        <v>0</v>
      </c>
      <c r="GA22" s="3">
        <f t="shared" si="13"/>
        <v>0</v>
      </c>
      <c r="GB22" s="3">
        <f t="shared" si="13"/>
        <v>0</v>
      </c>
      <c r="GC22" s="3">
        <f t="shared" si="13"/>
        <v>0</v>
      </c>
      <c r="GD22" s="3">
        <f t="shared" si="13"/>
        <v>0</v>
      </c>
      <c r="GE22" s="3">
        <f t="shared" si="13"/>
        <v>0</v>
      </c>
      <c r="GF22" s="3">
        <f t="shared" si="13"/>
        <v>0</v>
      </c>
      <c r="GG22" s="3">
        <f t="shared" si="13"/>
        <v>0</v>
      </c>
      <c r="GH22" s="3">
        <f t="shared" si="13"/>
        <v>0</v>
      </c>
      <c r="GI22" s="3">
        <f t="shared" si="13"/>
        <v>0</v>
      </c>
      <c r="GJ22" s="3">
        <f t="shared" si="13"/>
        <v>0</v>
      </c>
      <c r="GK22" s="3">
        <f t="shared" si="13"/>
        <v>0</v>
      </c>
      <c r="GL22" s="3">
        <f t="shared" si="13"/>
        <v>0</v>
      </c>
      <c r="GM22" s="3">
        <f t="shared" si="13"/>
        <v>0</v>
      </c>
      <c r="GN22" s="3">
        <f t="shared" si="13"/>
        <v>0</v>
      </c>
      <c r="GO22" s="3">
        <f t="shared" si="13"/>
        <v>0</v>
      </c>
      <c r="GP22" s="3">
        <f t="shared" si="13"/>
        <v>0</v>
      </c>
      <c r="GQ22" s="3">
        <f t="shared" si="13"/>
        <v>0</v>
      </c>
      <c r="GR22" s="3">
        <f t="shared" si="13"/>
        <v>0</v>
      </c>
      <c r="GS22" s="3">
        <f t="shared" si="13"/>
        <v>0</v>
      </c>
      <c r="GT22" s="3">
        <f t="shared" si="13"/>
        <v>0</v>
      </c>
      <c r="GU22" s="3">
        <f t="shared" si="13"/>
        <v>0</v>
      </c>
      <c r="GV22" s="3">
        <f t="shared" si="13"/>
        <v>0</v>
      </c>
      <c r="GW22" s="3">
        <f t="shared" si="13"/>
        <v>0</v>
      </c>
      <c r="GX22" s="3">
        <f t="shared" si="13"/>
        <v>0</v>
      </c>
    </row>
    <row r="24" spans="1:245" x14ac:dyDescent="0.2">
      <c r="A24" s="1">
        <v>4</v>
      </c>
      <c r="B24" s="1">
        <v>1</v>
      </c>
      <c r="C24" s="1"/>
      <c r="D24" s="1">
        <f>ROW(A71)</f>
        <v>71</v>
      </c>
      <c r="E24" s="1"/>
      <c r="F24" s="1" t="s">
        <v>14</v>
      </c>
      <c r="G24" s="1" t="s">
        <v>15</v>
      </c>
      <c r="H24" s="1" t="s">
        <v>3</v>
      </c>
      <c r="I24" s="1">
        <v>0</v>
      </c>
      <c r="J24" s="1"/>
      <c r="K24" s="1">
        <v>-1</v>
      </c>
      <c r="L24" s="1"/>
      <c r="M24" s="1"/>
      <c r="N24" s="1"/>
      <c r="O24" s="1"/>
      <c r="P24" s="1"/>
      <c r="Q24" s="1"/>
      <c r="R24" s="1"/>
      <c r="S24" s="1"/>
      <c r="T24" s="1"/>
      <c r="U24" s="1" t="s">
        <v>3</v>
      </c>
      <c r="V24" s="1">
        <v>0</v>
      </c>
      <c r="W24" s="1"/>
      <c r="X24" s="1"/>
      <c r="Y24" s="1"/>
      <c r="Z24" s="1"/>
      <c r="AA24" s="1"/>
      <c r="AB24" s="1" t="s">
        <v>3</v>
      </c>
      <c r="AC24" s="1" t="s">
        <v>3</v>
      </c>
      <c r="AD24" s="1" t="s">
        <v>3</v>
      </c>
      <c r="AE24" s="1" t="s">
        <v>3</v>
      </c>
      <c r="AF24" s="1" t="s">
        <v>3</v>
      </c>
      <c r="AG24" s="1" t="s">
        <v>3</v>
      </c>
      <c r="AH24" s="1"/>
      <c r="AI24" s="1"/>
      <c r="AJ24" s="1"/>
      <c r="AK24" s="1"/>
      <c r="AL24" s="1"/>
      <c r="AM24" s="1"/>
      <c r="AN24" s="1"/>
      <c r="AO24" s="1"/>
      <c r="AP24" s="1" t="s">
        <v>3</v>
      </c>
      <c r="AQ24" s="1" t="s">
        <v>3</v>
      </c>
      <c r="AR24" s="1" t="s">
        <v>3</v>
      </c>
      <c r="AS24" s="1"/>
      <c r="AT24" s="1"/>
      <c r="AU24" s="1"/>
      <c r="AV24" s="1"/>
      <c r="AW24" s="1"/>
      <c r="AX24" s="1"/>
      <c r="AY24" s="1"/>
      <c r="AZ24" s="1" t="s">
        <v>3</v>
      </c>
      <c r="BA24" s="1"/>
      <c r="BB24" s="1" t="s">
        <v>3</v>
      </c>
      <c r="BC24" s="1" t="s">
        <v>3</v>
      </c>
      <c r="BD24" s="1" t="s">
        <v>3</v>
      </c>
      <c r="BE24" s="1" t="s">
        <v>3</v>
      </c>
      <c r="BF24" s="1" t="s">
        <v>3</v>
      </c>
      <c r="BG24" s="1" t="s">
        <v>3</v>
      </c>
      <c r="BH24" s="1" t="s">
        <v>3</v>
      </c>
      <c r="BI24" s="1" t="s">
        <v>3</v>
      </c>
      <c r="BJ24" s="1" t="s">
        <v>3</v>
      </c>
      <c r="BK24" s="1" t="s">
        <v>3</v>
      </c>
      <c r="BL24" s="1" t="s">
        <v>3</v>
      </c>
      <c r="BM24" s="1" t="s">
        <v>3</v>
      </c>
      <c r="BN24" s="1" t="s">
        <v>3</v>
      </c>
      <c r="BO24" s="1" t="s">
        <v>3</v>
      </c>
      <c r="BP24" s="1" t="s">
        <v>3</v>
      </c>
      <c r="BQ24" s="1"/>
      <c r="BR24" s="1"/>
      <c r="BS24" s="1"/>
      <c r="BT24" s="1"/>
      <c r="BU24" s="1"/>
      <c r="BV24" s="1"/>
      <c r="BW24" s="1"/>
      <c r="BX24" s="1">
        <v>0</v>
      </c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>
        <v>0</v>
      </c>
    </row>
    <row r="26" spans="1:245" x14ac:dyDescent="0.2">
      <c r="A26" s="2">
        <v>52</v>
      </c>
      <c r="B26" s="2">
        <f t="shared" ref="B26:G26" si="14">B71</f>
        <v>1</v>
      </c>
      <c r="C26" s="2">
        <f t="shared" si="14"/>
        <v>4</v>
      </c>
      <c r="D26" s="2">
        <f t="shared" si="14"/>
        <v>24</v>
      </c>
      <c r="E26" s="2">
        <f t="shared" si="14"/>
        <v>0</v>
      </c>
      <c r="F26" s="2" t="str">
        <f t="shared" si="14"/>
        <v>Новый раздел</v>
      </c>
      <c r="G26" s="2" t="str">
        <f t="shared" si="14"/>
        <v>Строение 1</v>
      </c>
      <c r="H26" s="2"/>
      <c r="I26" s="2"/>
      <c r="J26" s="2"/>
      <c r="K26" s="2"/>
      <c r="L26" s="2"/>
      <c r="M26" s="2"/>
      <c r="N26" s="2"/>
      <c r="O26" s="2">
        <f t="shared" ref="O26:AT26" si="15">O71</f>
        <v>3527006.18</v>
      </c>
      <c r="P26" s="2">
        <f t="shared" si="15"/>
        <v>3509853.7</v>
      </c>
      <c r="Q26" s="2">
        <f t="shared" si="15"/>
        <v>1956.28</v>
      </c>
      <c r="R26" s="2">
        <f t="shared" si="15"/>
        <v>591.16999999999996</v>
      </c>
      <c r="S26" s="2">
        <f t="shared" si="15"/>
        <v>15196.2</v>
      </c>
      <c r="T26" s="2">
        <f t="shared" si="15"/>
        <v>0</v>
      </c>
      <c r="U26" s="2">
        <f t="shared" si="15"/>
        <v>57.188379999999995</v>
      </c>
      <c r="V26" s="2">
        <f t="shared" si="15"/>
        <v>1.483525</v>
      </c>
      <c r="W26" s="2">
        <f t="shared" si="15"/>
        <v>0.75</v>
      </c>
      <c r="X26" s="2">
        <f t="shared" si="15"/>
        <v>13680.21</v>
      </c>
      <c r="Y26" s="2">
        <f t="shared" si="15"/>
        <v>9682.48</v>
      </c>
      <c r="Z26" s="2">
        <f t="shared" si="15"/>
        <v>0</v>
      </c>
      <c r="AA26" s="2">
        <f t="shared" si="15"/>
        <v>0</v>
      </c>
      <c r="AB26" s="2">
        <f t="shared" si="15"/>
        <v>0</v>
      </c>
      <c r="AC26" s="2">
        <f t="shared" si="15"/>
        <v>0</v>
      </c>
      <c r="AD26" s="2">
        <f t="shared" si="15"/>
        <v>0</v>
      </c>
      <c r="AE26" s="2">
        <f t="shared" si="15"/>
        <v>0</v>
      </c>
      <c r="AF26" s="2">
        <f t="shared" si="15"/>
        <v>0</v>
      </c>
      <c r="AG26" s="2">
        <f t="shared" si="15"/>
        <v>0</v>
      </c>
      <c r="AH26" s="2">
        <f t="shared" si="15"/>
        <v>0</v>
      </c>
      <c r="AI26" s="2">
        <f t="shared" si="15"/>
        <v>0</v>
      </c>
      <c r="AJ26" s="2">
        <f t="shared" si="15"/>
        <v>0</v>
      </c>
      <c r="AK26" s="2">
        <f t="shared" si="15"/>
        <v>0</v>
      </c>
      <c r="AL26" s="2">
        <f t="shared" si="15"/>
        <v>0</v>
      </c>
      <c r="AM26" s="2">
        <f t="shared" si="15"/>
        <v>0</v>
      </c>
      <c r="AN26" s="2">
        <f t="shared" si="15"/>
        <v>0</v>
      </c>
      <c r="AO26" s="2">
        <f t="shared" si="15"/>
        <v>0</v>
      </c>
      <c r="AP26" s="2">
        <f t="shared" si="15"/>
        <v>3487217.08</v>
      </c>
      <c r="AQ26" s="2">
        <f t="shared" si="15"/>
        <v>0</v>
      </c>
      <c r="AR26" s="2">
        <f t="shared" si="15"/>
        <v>3550368.87</v>
      </c>
      <c r="AS26" s="2">
        <f t="shared" si="15"/>
        <v>31780.880000000001</v>
      </c>
      <c r="AT26" s="2">
        <f t="shared" si="15"/>
        <v>31370.91</v>
      </c>
      <c r="AU26" s="2">
        <f t="shared" ref="AU26:BZ26" si="16">AU71</f>
        <v>0</v>
      </c>
      <c r="AV26" s="2">
        <f t="shared" si="16"/>
        <v>3509853.7</v>
      </c>
      <c r="AW26" s="2">
        <f t="shared" si="16"/>
        <v>22636.62</v>
      </c>
      <c r="AX26" s="2">
        <f t="shared" si="16"/>
        <v>0</v>
      </c>
      <c r="AY26" s="2">
        <f t="shared" si="16"/>
        <v>22636.62</v>
      </c>
      <c r="AZ26" s="2">
        <f t="shared" si="16"/>
        <v>3487217.08</v>
      </c>
      <c r="BA26" s="2">
        <f t="shared" si="16"/>
        <v>0</v>
      </c>
      <c r="BB26" s="2">
        <f t="shared" si="16"/>
        <v>0</v>
      </c>
      <c r="BC26" s="2">
        <f t="shared" si="16"/>
        <v>0</v>
      </c>
      <c r="BD26" s="2">
        <f t="shared" si="16"/>
        <v>0</v>
      </c>
      <c r="BE26" s="2">
        <f t="shared" si="16"/>
        <v>0</v>
      </c>
      <c r="BF26" s="2">
        <f t="shared" si="16"/>
        <v>0</v>
      </c>
      <c r="BG26" s="2">
        <f t="shared" si="16"/>
        <v>0</v>
      </c>
      <c r="BH26" s="2">
        <f t="shared" si="16"/>
        <v>0</v>
      </c>
      <c r="BI26" s="2">
        <f t="shared" si="16"/>
        <v>0</v>
      </c>
      <c r="BJ26" s="2">
        <f t="shared" si="16"/>
        <v>0</v>
      </c>
      <c r="BK26" s="2">
        <f t="shared" si="16"/>
        <v>0</v>
      </c>
      <c r="BL26" s="2">
        <f t="shared" si="16"/>
        <v>0</v>
      </c>
      <c r="BM26" s="2">
        <f t="shared" si="16"/>
        <v>0</v>
      </c>
      <c r="BN26" s="2">
        <f t="shared" si="16"/>
        <v>0</v>
      </c>
      <c r="BO26" s="2">
        <f t="shared" si="16"/>
        <v>0</v>
      </c>
      <c r="BP26" s="2">
        <f t="shared" si="16"/>
        <v>0</v>
      </c>
      <c r="BQ26" s="2">
        <f t="shared" si="16"/>
        <v>0</v>
      </c>
      <c r="BR26" s="2">
        <f t="shared" si="16"/>
        <v>0</v>
      </c>
      <c r="BS26" s="2">
        <f t="shared" si="16"/>
        <v>0</v>
      </c>
      <c r="BT26" s="2">
        <f t="shared" si="16"/>
        <v>0</v>
      </c>
      <c r="BU26" s="2">
        <f t="shared" si="16"/>
        <v>0</v>
      </c>
      <c r="BV26" s="2">
        <f t="shared" si="16"/>
        <v>0</v>
      </c>
      <c r="BW26" s="2">
        <f t="shared" si="16"/>
        <v>0</v>
      </c>
      <c r="BX26" s="2">
        <f t="shared" si="16"/>
        <v>0</v>
      </c>
      <c r="BY26" s="2">
        <f t="shared" si="16"/>
        <v>0</v>
      </c>
      <c r="BZ26" s="2">
        <f t="shared" si="16"/>
        <v>0</v>
      </c>
      <c r="CA26" s="2">
        <f t="shared" ref="CA26:DF26" si="17">CA71</f>
        <v>0</v>
      </c>
      <c r="CB26" s="2">
        <f t="shared" si="17"/>
        <v>0</v>
      </c>
      <c r="CC26" s="2">
        <f t="shared" si="17"/>
        <v>0</v>
      </c>
      <c r="CD26" s="2">
        <f t="shared" si="17"/>
        <v>0</v>
      </c>
      <c r="CE26" s="2">
        <f t="shared" si="17"/>
        <v>0</v>
      </c>
      <c r="CF26" s="2">
        <f t="shared" si="17"/>
        <v>0</v>
      </c>
      <c r="CG26" s="2">
        <f t="shared" si="17"/>
        <v>0</v>
      </c>
      <c r="CH26" s="2">
        <f t="shared" si="17"/>
        <v>0</v>
      </c>
      <c r="CI26" s="2">
        <f t="shared" si="17"/>
        <v>0</v>
      </c>
      <c r="CJ26" s="2">
        <f t="shared" si="17"/>
        <v>0</v>
      </c>
      <c r="CK26" s="2">
        <f t="shared" si="17"/>
        <v>0</v>
      </c>
      <c r="CL26" s="2">
        <f t="shared" si="17"/>
        <v>0</v>
      </c>
      <c r="CM26" s="2">
        <f t="shared" si="17"/>
        <v>0</v>
      </c>
      <c r="CN26" s="2">
        <f t="shared" si="17"/>
        <v>0</v>
      </c>
      <c r="CO26" s="2">
        <f t="shared" si="17"/>
        <v>0</v>
      </c>
      <c r="CP26" s="2">
        <f t="shared" si="17"/>
        <v>0</v>
      </c>
      <c r="CQ26" s="2">
        <f t="shared" si="17"/>
        <v>0</v>
      </c>
      <c r="CR26" s="2">
        <f t="shared" si="17"/>
        <v>0</v>
      </c>
      <c r="CS26" s="2">
        <f t="shared" si="17"/>
        <v>0</v>
      </c>
      <c r="CT26" s="2">
        <f t="shared" si="17"/>
        <v>0</v>
      </c>
      <c r="CU26" s="2">
        <f t="shared" si="17"/>
        <v>0</v>
      </c>
      <c r="CV26" s="2">
        <f t="shared" si="17"/>
        <v>0</v>
      </c>
      <c r="CW26" s="2">
        <f t="shared" si="17"/>
        <v>0</v>
      </c>
      <c r="CX26" s="2">
        <f t="shared" si="17"/>
        <v>0</v>
      </c>
      <c r="CY26" s="2">
        <f t="shared" si="17"/>
        <v>0</v>
      </c>
      <c r="CZ26" s="2">
        <f t="shared" si="17"/>
        <v>0</v>
      </c>
      <c r="DA26" s="2">
        <f t="shared" si="17"/>
        <v>0</v>
      </c>
      <c r="DB26" s="2">
        <f t="shared" si="17"/>
        <v>0</v>
      </c>
      <c r="DC26" s="2">
        <f t="shared" si="17"/>
        <v>0</v>
      </c>
      <c r="DD26" s="2">
        <f t="shared" si="17"/>
        <v>0</v>
      </c>
      <c r="DE26" s="2">
        <f t="shared" si="17"/>
        <v>0</v>
      </c>
      <c r="DF26" s="2">
        <f t="shared" si="17"/>
        <v>0</v>
      </c>
      <c r="DG26" s="3">
        <f t="shared" ref="DG26:EL26" si="18">DG71</f>
        <v>0</v>
      </c>
      <c r="DH26" s="3">
        <f t="shared" si="18"/>
        <v>0</v>
      </c>
      <c r="DI26" s="3">
        <f t="shared" si="18"/>
        <v>0</v>
      </c>
      <c r="DJ26" s="3">
        <f t="shared" si="18"/>
        <v>0</v>
      </c>
      <c r="DK26" s="3">
        <f t="shared" si="18"/>
        <v>0</v>
      </c>
      <c r="DL26" s="3">
        <f t="shared" si="18"/>
        <v>0</v>
      </c>
      <c r="DM26" s="3">
        <f t="shared" si="18"/>
        <v>0</v>
      </c>
      <c r="DN26" s="3">
        <f t="shared" si="18"/>
        <v>0</v>
      </c>
      <c r="DO26" s="3">
        <f t="shared" si="18"/>
        <v>0</v>
      </c>
      <c r="DP26" s="3">
        <f t="shared" si="18"/>
        <v>0</v>
      </c>
      <c r="DQ26" s="3">
        <f t="shared" si="18"/>
        <v>0</v>
      </c>
      <c r="DR26" s="3">
        <f t="shared" si="18"/>
        <v>0</v>
      </c>
      <c r="DS26" s="3">
        <f t="shared" si="18"/>
        <v>0</v>
      </c>
      <c r="DT26" s="3">
        <f t="shared" si="18"/>
        <v>0</v>
      </c>
      <c r="DU26" s="3">
        <f t="shared" si="18"/>
        <v>0</v>
      </c>
      <c r="DV26" s="3">
        <f t="shared" si="18"/>
        <v>0</v>
      </c>
      <c r="DW26" s="3">
        <f t="shared" si="18"/>
        <v>0</v>
      </c>
      <c r="DX26" s="3">
        <f t="shared" si="18"/>
        <v>0</v>
      </c>
      <c r="DY26" s="3">
        <f t="shared" si="18"/>
        <v>0</v>
      </c>
      <c r="DZ26" s="3">
        <f t="shared" si="18"/>
        <v>0</v>
      </c>
      <c r="EA26" s="3">
        <f t="shared" si="18"/>
        <v>0</v>
      </c>
      <c r="EB26" s="3">
        <f t="shared" si="18"/>
        <v>0</v>
      </c>
      <c r="EC26" s="3">
        <f t="shared" si="18"/>
        <v>0</v>
      </c>
      <c r="ED26" s="3">
        <f t="shared" si="18"/>
        <v>0</v>
      </c>
      <c r="EE26" s="3">
        <f t="shared" si="18"/>
        <v>0</v>
      </c>
      <c r="EF26" s="3">
        <f t="shared" si="18"/>
        <v>0</v>
      </c>
      <c r="EG26" s="3">
        <f t="shared" si="18"/>
        <v>0</v>
      </c>
      <c r="EH26" s="3">
        <f t="shared" si="18"/>
        <v>0</v>
      </c>
      <c r="EI26" s="3">
        <f t="shared" si="18"/>
        <v>0</v>
      </c>
      <c r="EJ26" s="3">
        <f t="shared" si="18"/>
        <v>0</v>
      </c>
      <c r="EK26" s="3">
        <f t="shared" si="18"/>
        <v>0</v>
      </c>
      <c r="EL26" s="3">
        <f t="shared" si="18"/>
        <v>0</v>
      </c>
      <c r="EM26" s="3">
        <f t="shared" ref="EM26:FR26" si="19">EM71</f>
        <v>0</v>
      </c>
      <c r="EN26" s="3">
        <f t="shared" si="19"/>
        <v>0</v>
      </c>
      <c r="EO26" s="3">
        <f t="shared" si="19"/>
        <v>0</v>
      </c>
      <c r="EP26" s="3">
        <f t="shared" si="19"/>
        <v>0</v>
      </c>
      <c r="EQ26" s="3">
        <f t="shared" si="19"/>
        <v>0</v>
      </c>
      <c r="ER26" s="3">
        <f t="shared" si="19"/>
        <v>0</v>
      </c>
      <c r="ES26" s="3">
        <f t="shared" si="19"/>
        <v>0</v>
      </c>
      <c r="ET26" s="3">
        <f t="shared" si="19"/>
        <v>0</v>
      </c>
      <c r="EU26" s="3">
        <f t="shared" si="19"/>
        <v>0</v>
      </c>
      <c r="EV26" s="3">
        <f t="shared" si="19"/>
        <v>0</v>
      </c>
      <c r="EW26" s="3">
        <f t="shared" si="19"/>
        <v>0</v>
      </c>
      <c r="EX26" s="3">
        <f t="shared" si="19"/>
        <v>0</v>
      </c>
      <c r="EY26" s="3">
        <f t="shared" si="19"/>
        <v>0</v>
      </c>
      <c r="EZ26" s="3">
        <f t="shared" si="19"/>
        <v>0</v>
      </c>
      <c r="FA26" s="3">
        <f t="shared" si="19"/>
        <v>0</v>
      </c>
      <c r="FB26" s="3">
        <f t="shared" si="19"/>
        <v>0</v>
      </c>
      <c r="FC26" s="3">
        <f t="shared" si="19"/>
        <v>0</v>
      </c>
      <c r="FD26" s="3">
        <f t="shared" si="19"/>
        <v>0</v>
      </c>
      <c r="FE26" s="3">
        <f t="shared" si="19"/>
        <v>0</v>
      </c>
      <c r="FF26" s="3">
        <f t="shared" si="19"/>
        <v>0</v>
      </c>
      <c r="FG26" s="3">
        <f t="shared" si="19"/>
        <v>0</v>
      </c>
      <c r="FH26" s="3">
        <f t="shared" si="19"/>
        <v>0</v>
      </c>
      <c r="FI26" s="3">
        <f t="shared" si="19"/>
        <v>0</v>
      </c>
      <c r="FJ26" s="3">
        <f t="shared" si="19"/>
        <v>0</v>
      </c>
      <c r="FK26" s="3">
        <f t="shared" si="19"/>
        <v>0</v>
      </c>
      <c r="FL26" s="3">
        <f t="shared" si="19"/>
        <v>0</v>
      </c>
      <c r="FM26" s="3">
        <f t="shared" si="19"/>
        <v>0</v>
      </c>
      <c r="FN26" s="3">
        <f t="shared" si="19"/>
        <v>0</v>
      </c>
      <c r="FO26" s="3">
        <f t="shared" si="19"/>
        <v>0</v>
      </c>
      <c r="FP26" s="3">
        <f t="shared" si="19"/>
        <v>0</v>
      </c>
      <c r="FQ26" s="3">
        <f t="shared" si="19"/>
        <v>0</v>
      </c>
      <c r="FR26" s="3">
        <f t="shared" si="19"/>
        <v>0</v>
      </c>
      <c r="FS26" s="3">
        <f t="shared" ref="FS26:GX26" si="20">FS71</f>
        <v>0</v>
      </c>
      <c r="FT26" s="3">
        <f t="shared" si="20"/>
        <v>0</v>
      </c>
      <c r="FU26" s="3">
        <f t="shared" si="20"/>
        <v>0</v>
      </c>
      <c r="FV26" s="3">
        <f t="shared" si="20"/>
        <v>0</v>
      </c>
      <c r="FW26" s="3">
        <f t="shared" si="20"/>
        <v>0</v>
      </c>
      <c r="FX26" s="3">
        <f t="shared" si="20"/>
        <v>0</v>
      </c>
      <c r="FY26" s="3">
        <f t="shared" si="20"/>
        <v>0</v>
      </c>
      <c r="FZ26" s="3">
        <f t="shared" si="20"/>
        <v>0</v>
      </c>
      <c r="GA26" s="3">
        <f t="shared" si="20"/>
        <v>0</v>
      </c>
      <c r="GB26" s="3">
        <f t="shared" si="20"/>
        <v>0</v>
      </c>
      <c r="GC26" s="3">
        <f t="shared" si="20"/>
        <v>0</v>
      </c>
      <c r="GD26" s="3">
        <f t="shared" si="20"/>
        <v>0</v>
      </c>
      <c r="GE26" s="3">
        <f t="shared" si="20"/>
        <v>0</v>
      </c>
      <c r="GF26" s="3">
        <f t="shared" si="20"/>
        <v>0</v>
      </c>
      <c r="GG26" s="3">
        <f t="shared" si="20"/>
        <v>0</v>
      </c>
      <c r="GH26" s="3">
        <f t="shared" si="20"/>
        <v>0</v>
      </c>
      <c r="GI26" s="3">
        <f t="shared" si="20"/>
        <v>0</v>
      </c>
      <c r="GJ26" s="3">
        <f t="shared" si="20"/>
        <v>0</v>
      </c>
      <c r="GK26" s="3">
        <f t="shared" si="20"/>
        <v>0</v>
      </c>
      <c r="GL26" s="3">
        <f t="shared" si="20"/>
        <v>0</v>
      </c>
      <c r="GM26" s="3">
        <f t="shared" si="20"/>
        <v>0</v>
      </c>
      <c r="GN26" s="3">
        <f t="shared" si="20"/>
        <v>0</v>
      </c>
      <c r="GO26" s="3">
        <f t="shared" si="20"/>
        <v>0</v>
      </c>
      <c r="GP26" s="3">
        <f t="shared" si="20"/>
        <v>0</v>
      </c>
      <c r="GQ26" s="3">
        <f t="shared" si="20"/>
        <v>0</v>
      </c>
      <c r="GR26" s="3">
        <f t="shared" si="20"/>
        <v>0</v>
      </c>
      <c r="GS26" s="3">
        <f t="shared" si="20"/>
        <v>0</v>
      </c>
      <c r="GT26" s="3">
        <f t="shared" si="20"/>
        <v>0</v>
      </c>
      <c r="GU26" s="3">
        <f t="shared" si="20"/>
        <v>0</v>
      </c>
      <c r="GV26" s="3">
        <f t="shared" si="20"/>
        <v>0</v>
      </c>
      <c r="GW26" s="3">
        <f t="shared" si="20"/>
        <v>0</v>
      </c>
      <c r="GX26" s="3">
        <f t="shared" si="20"/>
        <v>0</v>
      </c>
    </row>
    <row r="28" spans="1:245" x14ac:dyDescent="0.2">
      <c r="A28" s="1">
        <v>5</v>
      </c>
      <c r="B28" s="1">
        <v>1</v>
      </c>
      <c r="C28" s="1"/>
      <c r="D28" s="1">
        <f>ROW(A41)</f>
        <v>41</v>
      </c>
      <c r="E28" s="1"/>
      <c r="F28" s="1" t="s">
        <v>16</v>
      </c>
      <c r="G28" s="1" t="s">
        <v>17</v>
      </c>
      <c r="H28" s="1" t="s">
        <v>3</v>
      </c>
      <c r="I28" s="1">
        <v>0</v>
      </c>
      <c r="J28" s="1"/>
      <c r="K28" s="1">
        <v>0</v>
      </c>
      <c r="L28" s="1"/>
      <c r="M28" s="1"/>
      <c r="N28" s="1"/>
      <c r="O28" s="1"/>
      <c r="P28" s="1"/>
      <c r="Q28" s="1"/>
      <c r="R28" s="1"/>
      <c r="S28" s="1"/>
      <c r="T28" s="1"/>
      <c r="U28" s="1" t="s">
        <v>3</v>
      </c>
      <c r="V28" s="1">
        <v>0</v>
      </c>
      <c r="W28" s="1"/>
      <c r="X28" s="1"/>
      <c r="Y28" s="1"/>
      <c r="Z28" s="1"/>
      <c r="AA28" s="1"/>
      <c r="AB28" s="1" t="s">
        <v>3</v>
      </c>
      <c r="AC28" s="1" t="s">
        <v>3</v>
      </c>
      <c r="AD28" s="1" t="s">
        <v>3</v>
      </c>
      <c r="AE28" s="1" t="s">
        <v>3</v>
      </c>
      <c r="AF28" s="1" t="s">
        <v>3</v>
      </c>
      <c r="AG28" s="1" t="s">
        <v>3</v>
      </c>
      <c r="AH28" s="1"/>
      <c r="AI28" s="1"/>
      <c r="AJ28" s="1"/>
      <c r="AK28" s="1"/>
      <c r="AL28" s="1"/>
      <c r="AM28" s="1"/>
      <c r="AN28" s="1"/>
      <c r="AO28" s="1"/>
      <c r="AP28" s="1" t="s">
        <v>3</v>
      </c>
      <c r="AQ28" s="1" t="s">
        <v>3</v>
      </c>
      <c r="AR28" s="1" t="s">
        <v>3</v>
      </c>
      <c r="AS28" s="1"/>
      <c r="AT28" s="1"/>
      <c r="AU28" s="1"/>
      <c r="AV28" s="1"/>
      <c r="AW28" s="1"/>
      <c r="AX28" s="1"/>
      <c r="AY28" s="1"/>
      <c r="AZ28" s="1" t="s">
        <v>3</v>
      </c>
      <c r="BA28" s="1"/>
      <c r="BB28" s="1" t="s">
        <v>3</v>
      </c>
      <c r="BC28" s="1" t="s">
        <v>3</v>
      </c>
      <c r="BD28" s="1" t="s">
        <v>3</v>
      </c>
      <c r="BE28" s="1" t="s">
        <v>3</v>
      </c>
      <c r="BF28" s="1" t="s">
        <v>3</v>
      </c>
      <c r="BG28" s="1" t="s">
        <v>3</v>
      </c>
      <c r="BH28" s="1" t="s">
        <v>3</v>
      </c>
      <c r="BI28" s="1" t="s">
        <v>3</v>
      </c>
      <c r="BJ28" s="1" t="s">
        <v>3</v>
      </c>
      <c r="BK28" s="1" t="s">
        <v>3</v>
      </c>
      <c r="BL28" s="1" t="s">
        <v>3</v>
      </c>
      <c r="BM28" s="1" t="s">
        <v>3</v>
      </c>
      <c r="BN28" s="1" t="s">
        <v>3</v>
      </c>
      <c r="BO28" s="1" t="s">
        <v>3</v>
      </c>
      <c r="BP28" s="1" t="s">
        <v>3</v>
      </c>
      <c r="BQ28" s="1"/>
      <c r="BR28" s="1"/>
      <c r="BS28" s="1"/>
      <c r="BT28" s="1"/>
      <c r="BU28" s="1"/>
      <c r="BV28" s="1"/>
      <c r="BW28" s="1"/>
      <c r="BX28" s="1">
        <v>0</v>
      </c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>
        <v>0</v>
      </c>
    </row>
    <row r="30" spans="1:245" x14ac:dyDescent="0.2">
      <c r="A30" s="2">
        <v>52</v>
      </c>
      <c r="B30" s="2">
        <f t="shared" ref="B30:G30" si="21">B41</f>
        <v>1</v>
      </c>
      <c r="C30" s="2">
        <f t="shared" si="21"/>
        <v>5</v>
      </c>
      <c r="D30" s="2">
        <f t="shared" si="21"/>
        <v>28</v>
      </c>
      <c r="E30" s="2">
        <f t="shared" si="21"/>
        <v>0</v>
      </c>
      <c r="F30" s="2" t="str">
        <f t="shared" si="21"/>
        <v>Новый подраздел</v>
      </c>
      <c r="G30" s="2" t="str">
        <f t="shared" si="21"/>
        <v>Пусковая часть 2</v>
      </c>
      <c r="H30" s="2"/>
      <c r="I30" s="2"/>
      <c r="J30" s="2"/>
      <c r="K30" s="2"/>
      <c r="L30" s="2"/>
      <c r="M30" s="2"/>
      <c r="N30" s="2"/>
      <c r="O30" s="2">
        <f t="shared" ref="O30:AT30" si="22">O41</f>
        <v>3527006.18</v>
      </c>
      <c r="P30" s="2">
        <f t="shared" si="22"/>
        <v>3509853.7</v>
      </c>
      <c r="Q30" s="2">
        <f t="shared" si="22"/>
        <v>1956.28</v>
      </c>
      <c r="R30" s="2">
        <f t="shared" si="22"/>
        <v>591.16999999999996</v>
      </c>
      <c r="S30" s="2">
        <f t="shared" si="22"/>
        <v>15196.2</v>
      </c>
      <c r="T30" s="2">
        <f t="shared" si="22"/>
        <v>0</v>
      </c>
      <c r="U30" s="2">
        <f t="shared" si="22"/>
        <v>57.188379999999995</v>
      </c>
      <c r="V30" s="2">
        <f t="shared" si="22"/>
        <v>1.483525</v>
      </c>
      <c r="W30" s="2">
        <f t="shared" si="22"/>
        <v>0.75</v>
      </c>
      <c r="X30" s="2">
        <f t="shared" si="22"/>
        <v>13680.21</v>
      </c>
      <c r="Y30" s="2">
        <f t="shared" si="22"/>
        <v>9682.48</v>
      </c>
      <c r="Z30" s="2">
        <f t="shared" si="22"/>
        <v>0</v>
      </c>
      <c r="AA30" s="2">
        <f t="shared" si="22"/>
        <v>0</v>
      </c>
      <c r="AB30" s="2">
        <f t="shared" si="22"/>
        <v>3527006.18</v>
      </c>
      <c r="AC30" s="2">
        <f t="shared" si="22"/>
        <v>3509853.7</v>
      </c>
      <c r="AD30" s="2">
        <f t="shared" si="22"/>
        <v>1956.28</v>
      </c>
      <c r="AE30" s="2">
        <f t="shared" si="22"/>
        <v>591.16999999999996</v>
      </c>
      <c r="AF30" s="2">
        <f t="shared" si="22"/>
        <v>15196.2</v>
      </c>
      <c r="AG30" s="2">
        <f t="shared" si="22"/>
        <v>0</v>
      </c>
      <c r="AH30" s="2">
        <f t="shared" si="22"/>
        <v>57.188379999999995</v>
      </c>
      <c r="AI30" s="2">
        <f t="shared" si="22"/>
        <v>1.483525</v>
      </c>
      <c r="AJ30" s="2">
        <f t="shared" si="22"/>
        <v>0.75</v>
      </c>
      <c r="AK30" s="2">
        <f t="shared" si="22"/>
        <v>13680.21</v>
      </c>
      <c r="AL30" s="2">
        <f t="shared" si="22"/>
        <v>9682.48</v>
      </c>
      <c r="AM30" s="2">
        <f t="shared" si="22"/>
        <v>0</v>
      </c>
      <c r="AN30" s="2">
        <f t="shared" si="22"/>
        <v>0</v>
      </c>
      <c r="AO30" s="2">
        <f t="shared" si="22"/>
        <v>0</v>
      </c>
      <c r="AP30" s="2">
        <f t="shared" si="22"/>
        <v>3487217.08</v>
      </c>
      <c r="AQ30" s="2">
        <f t="shared" si="22"/>
        <v>0</v>
      </c>
      <c r="AR30" s="2">
        <f t="shared" si="22"/>
        <v>3550368.87</v>
      </c>
      <c r="AS30" s="2">
        <f t="shared" si="22"/>
        <v>31780.880000000001</v>
      </c>
      <c r="AT30" s="2">
        <f t="shared" si="22"/>
        <v>31370.91</v>
      </c>
      <c r="AU30" s="2">
        <f t="shared" ref="AU30:BZ30" si="23">AU41</f>
        <v>0</v>
      </c>
      <c r="AV30" s="2">
        <f t="shared" si="23"/>
        <v>3509853.7</v>
      </c>
      <c r="AW30" s="2">
        <f t="shared" si="23"/>
        <v>22636.62</v>
      </c>
      <c r="AX30" s="2">
        <f t="shared" si="23"/>
        <v>0</v>
      </c>
      <c r="AY30" s="2">
        <f t="shared" si="23"/>
        <v>22636.62</v>
      </c>
      <c r="AZ30" s="2">
        <f t="shared" si="23"/>
        <v>3487217.08</v>
      </c>
      <c r="BA30" s="2">
        <f t="shared" si="23"/>
        <v>0</v>
      </c>
      <c r="BB30" s="2">
        <f t="shared" si="23"/>
        <v>0</v>
      </c>
      <c r="BC30" s="2">
        <f t="shared" si="23"/>
        <v>0</v>
      </c>
      <c r="BD30" s="2">
        <f t="shared" si="23"/>
        <v>0</v>
      </c>
      <c r="BE30" s="2">
        <f t="shared" si="23"/>
        <v>0</v>
      </c>
      <c r="BF30" s="2">
        <f t="shared" si="23"/>
        <v>0</v>
      </c>
      <c r="BG30" s="2">
        <f t="shared" si="23"/>
        <v>0</v>
      </c>
      <c r="BH30" s="2">
        <f t="shared" si="23"/>
        <v>0</v>
      </c>
      <c r="BI30" s="2">
        <f t="shared" si="23"/>
        <v>0</v>
      </c>
      <c r="BJ30" s="2">
        <f t="shared" si="23"/>
        <v>0</v>
      </c>
      <c r="BK30" s="2">
        <f t="shared" si="23"/>
        <v>0</v>
      </c>
      <c r="BL30" s="2">
        <f t="shared" si="23"/>
        <v>0</v>
      </c>
      <c r="BM30" s="2">
        <f t="shared" si="23"/>
        <v>0</v>
      </c>
      <c r="BN30" s="2">
        <f t="shared" si="23"/>
        <v>0</v>
      </c>
      <c r="BO30" s="2">
        <f t="shared" si="23"/>
        <v>0</v>
      </c>
      <c r="BP30" s="2">
        <f t="shared" si="23"/>
        <v>0</v>
      </c>
      <c r="BQ30" s="2">
        <f t="shared" si="23"/>
        <v>0</v>
      </c>
      <c r="BR30" s="2">
        <f t="shared" si="23"/>
        <v>0</v>
      </c>
      <c r="BS30" s="2">
        <f t="shared" si="23"/>
        <v>0</v>
      </c>
      <c r="BT30" s="2">
        <f t="shared" si="23"/>
        <v>0</v>
      </c>
      <c r="BU30" s="2">
        <f t="shared" si="23"/>
        <v>0</v>
      </c>
      <c r="BV30" s="2">
        <f t="shared" si="23"/>
        <v>0</v>
      </c>
      <c r="BW30" s="2">
        <f t="shared" si="23"/>
        <v>0</v>
      </c>
      <c r="BX30" s="2">
        <f t="shared" si="23"/>
        <v>0</v>
      </c>
      <c r="BY30" s="2">
        <f t="shared" si="23"/>
        <v>3487217.08</v>
      </c>
      <c r="BZ30" s="2">
        <f t="shared" si="23"/>
        <v>0</v>
      </c>
      <c r="CA30" s="2">
        <f t="shared" ref="CA30:DF30" si="24">CA41</f>
        <v>3550368.87</v>
      </c>
      <c r="CB30" s="2">
        <f t="shared" si="24"/>
        <v>31780.880000000001</v>
      </c>
      <c r="CC30" s="2">
        <f t="shared" si="24"/>
        <v>31370.91</v>
      </c>
      <c r="CD30" s="2">
        <f t="shared" si="24"/>
        <v>0</v>
      </c>
      <c r="CE30" s="2">
        <f t="shared" si="24"/>
        <v>3509853.7</v>
      </c>
      <c r="CF30" s="2">
        <f t="shared" si="24"/>
        <v>22636.620000000112</v>
      </c>
      <c r="CG30" s="2">
        <f t="shared" si="24"/>
        <v>0</v>
      </c>
      <c r="CH30" s="2">
        <f t="shared" si="24"/>
        <v>22636.620000000112</v>
      </c>
      <c r="CI30" s="2">
        <f t="shared" si="24"/>
        <v>3487217.08</v>
      </c>
      <c r="CJ30" s="2">
        <f t="shared" si="24"/>
        <v>0</v>
      </c>
      <c r="CK30" s="2">
        <f t="shared" si="24"/>
        <v>0</v>
      </c>
      <c r="CL30" s="2">
        <f t="shared" si="24"/>
        <v>0</v>
      </c>
      <c r="CM30" s="2">
        <f t="shared" si="24"/>
        <v>0</v>
      </c>
      <c r="CN30" s="2">
        <f t="shared" si="24"/>
        <v>0</v>
      </c>
      <c r="CO30" s="2">
        <f t="shared" si="24"/>
        <v>0</v>
      </c>
      <c r="CP30" s="2">
        <f t="shared" si="24"/>
        <v>0</v>
      </c>
      <c r="CQ30" s="2">
        <f t="shared" si="24"/>
        <v>0</v>
      </c>
      <c r="CR30" s="2">
        <f t="shared" si="24"/>
        <v>0</v>
      </c>
      <c r="CS30" s="2">
        <f t="shared" si="24"/>
        <v>0</v>
      </c>
      <c r="CT30" s="2">
        <f t="shared" si="24"/>
        <v>0</v>
      </c>
      <c r="CU30" s="2">
        <f t="shared" si="24"/>
        <v>0</v>
      </c>
      <c r="CV30" s="2">
        <f t="shared" si="24"/>
        <v>0</v>
      </c>
      <c r="CW30" s="2">
        <f t="shared" si="24"/>
        <v>0</v>
      </c>
      <c r="CX30" s="2">
        <f t="shared" si="24"/>
        <v>0</v>
      </c>
      <c r="CY30" s="2">
        <f t="shared" si="24"/>
        <v>0</v>
      </c>
      <c r="CZ30" s="2">
        <f t="shared" si="24"/>
        <v>0</v>
      </c>
      <c r="DA30" s="2">
        <f t="shared" si="24"/>
        <v>0</v>
      </c>
      <c r="DB30" s="2">
        <f t="shared" si="24"/>
        <v>0</v>
      </c>
      <c r="DC30" s="2">
        <f t="shared" si="24"/>
        <v>0</v>
      </c>
      <c r="DD30" s="2">
        <f t="shared" si="24"/>
        <v>0</v>
      </c>
      <c r="DE30" s="2">
        <f t="shared" si="24"/>
        <v>0</v>
      </c>
      <c r="DF30" s="2">
        <f t="shared" si="24"/>
        <v>0</v>
      </c>
      <c r="DG30" s="3">
        <f t="shared" ref="DG30:EL30" si="25">DG41</f>
        <v>0</v>
      </c>
      <c r="DH30" s="3">
        <f t="shared" si="25"/>
        <v>0</v>
      </c>
      <c r="DI30" s="3">
        <f t="shared" si="25"/>
        <v>0</v>
      </c>
      <c r="DJ30" s="3">
        <f t="shared" si="25"/>
        <v>0</v>
      </c>
      <c r="DK30" s="3">
        <f t="shared" si="25"/>
        <v>0</v>
      </c>
      <c r="DL30" s="3">
        <f t="shared" si="25"/>
        <v>0</v>
      </c>
      <c r="DM30" s="3">
        <f t="shared" si="25"/>
        <v>0</v>
      </c>
      <c r="DN30" s="3">
        <f t="shared" si="25"/>
        <v>0</v>
      </c>
      <c r="DO30" s="3">
        <f t="shared" si="25"/>
        <v>0</v>
      </c>
      <c r="DP30" s="3">
        <f t="shared" si="25"/>
        <v>0</v>
      </c>
      <c r="DQ30" s="3">
        <f t="shared" si="25"/>
        <v>0</v>
      </c>
      <c r="DR30" s="3">
        <f t="shared" si="25"/>
        <v>0</v>
      </c>
      <c r="DS30" s="3">
        <f t="shared" si="25"/>
        <v>0</v>
      </c>
      <c r="DT30" s="3">
        <f t="shared" si="25"/>
        <v>0</v>
      </c>
      <c r="DU30" s="3">
        <f t="shared" si="25"/>
        <v>0</v>
      </c>
      <c r="DV30" s="3">
        <f t="shared" si="25"/>
        <v>0</v>
      </c>
      <c r="DW30" s="3">
        <f t="shared" si="25"/>
        <v>0</v>
      </c>
      <c r="DX30" s="3">
        <f t="shared" si="25"/>
        <v>0</v>
      </c>
      <c r="DY30" s="3">
        <f t="shared" si="25"/>
        <v>0</v>
      </c>
      <c r="DZ30" s="3">
        <f t="shared" si="25"/>
        <v>0</v>
      </c>
      <c r="EA30" s="3">
        <f t="shared" si="25"/>
        <v>0</v>
      </c>
      <c r="EB30" s="3">
        <f t="shared" si="25"/>
        <v>0</v>
      </c>
      <c r="EC30" s="3">
        <f t="shared" si="25"/>
        <v>0</v>
      </c>
      <c r="ED30" s="3">
        <f t="shared" si="25"/>
        <v>0</v>
      </c>
      <c r="EE30" s="3">
        <f t="shared" si="25"/>
        <v>0</v>
      </c>
      <c r="EF30" s="3">
        <f t="shared" si="25"/>
        <v>0</v>
      </c>
      <c r="EG30" s="3">
        <f t="shared" si="25"/>
        <v>0</v>
      </c>
      <c r="EH30" s="3">
        <f t="shared" si="25"/>
        <v>0</v>
      </c>
      <c r="EI30" s="3">
        <f t="shared" si="25"/>
        <v>0</v>
      </c>
      <c r="EJ30" s="3">
        <f t="shared" si="25"/>
        <v>0</v>
      </c>
      <c r="EK30" s="3">
        <f t="shared" si="25"/>
        <v>0</v>
      </c>
      <c r="EL30" s="3">
        <f t="shared" si="25"/>
        <v>0</v>
      </c>
      <c r="EM30" s="3">
        <f t="shared" ref="EM30:FR30" si="26">EM41</f>
        <v>0</v>
      </c>
      <c r="EN30" s="3">
        <f t="shared" si="26"/>
        <v>0</v>
      </c>
      <c r="EO30" s="3">
        <f t="shared" si="26"/>
        <v>0</v>
      </c>
      <c r="EP30" s="3">
        <f t="shared" si="26"/>
        <v>0</v>
      </c>
      <c r="EQ30" s="3">
        <f t="shared" si="26"/>
        <v>0</v>
      </c>
      <c r="ER30" s="3">
        <f t="shared" si="26"/>
        <v>0</v>
      </c>
      <c r="ES30" s="3">
        <f t="shared" si="26"/>
        <v>0</v>
      </c>
      <c r="ET30" s="3">
        <f t="shared" si="26"/>
        <v>0</v>
      </c>
      <c r="EU30" s="3">
        <f t="shared" si="26"/>
        <v>0</v>
      </c>
      <c r="EV30" s="3">
        <f t="shared" si="26"/>
        <v>0</v>
      </c>
      <c r="EW30" s="3">
        <f t="shared" si="26"/>
        <v>0</v>
      </c>
      <c r="EX30" s="3">
        <f t="shared" si="26"/>
        <v>0</v>
      </c>
      <c r="EY30" s="3">
        <f t="shared" si="26"/>
        <v>0</v>
      </c>
      <c r="EZ30" s="3">
        <f t="shared" si="26"/>
        <v>0</v>
      </c>
      <c r="FA30" s="3">
        <f t="shared" si="26"/>
        <v>0</v>
      </c>
      <c r="FB30" s="3">
        <f t="shared" si="26"/>
        <v>0</v>
      </c>
      <c r="FC30" s="3">
        <f t="shared" si="26"/>
        <v>0</v>
      </c>
      <c r="FD30" s="3">
        <f t="shared" si="26"/>
        <v>0</v>
      </c>
      <c r="FE30" s="3">
        <f t="shared" si="26"/>
        <v>0</v>
      </c>
      <c r="FF30" s="3">
        <f t="shared" si="26"/>
        <v>0</v>
      </c>
      <c r="FG30" s="3">
        <f t="shared" si="26"/>
        <v>0</v>
      </c>
      <c r="FH30" s="3">
        <f t="shared" si="26"/>
        <v>0</v>
      </c>
      <c r="FI30" s="3">
        <f t="shared" si="26"/>
        <v>0</v>
      </c>
      <c r="FJ30" s="3">
        <f t="shared" si="26"/>
        <v>0</v>
      </c>
      <c r="FK30" s="3">
        <f t="shared" si="26"/>
        <v>0</v>
      </c>
      <c r="FL30" s="3">
        <f t="shared" si="26"/>
        <v>0</v>
      </c>
      <c r="FM30" s="3">
        <f t="shared" si="26"/>
        <v>0</v>
      </c>
      <c r="FN30" s="3">
        <f t="shared" si="26"/>
        <v>0</v>
      </c>
      <c r="FO30" s="3">
        <f t="shared" si="26"/>
        <v>0</v>
      </c>
      <c r="FP30" s="3">
        <f t="shared" si="26"/>
        <v>0</v>
      </c>
      <c r="FQ30" s="3">
        <f t="shared" si="26"/>
        <v>0</v>
      </c>
      <c r="FR30" s="3">
        <f t="shared" si="26"/>
        <v>0</v>
      </c>
      <c r="FS30" s="3">
        <f t="shared" ref="FS30:GX30" si="27">FS41</f>
        <v>0</v>
      </c>
      <c r="FT30" s="3">
        <f t="shared" si="27"/>
        <v>0</v>
      </c>
      <c r="FU30" s="3">
        <f t="shared" si="27"/>
        <v>0</v>
      </c>
      <c r="FV30" s="3">
        <f t="shared" si="27"/>
        <v>0</v>
      </c>
      <c r="FW30" s="3">
        <f t="shared" si="27"/>
        <v>0</v>
      </c>
      <c r="FX30" s="3">
        <f t="shared" si="27"/>
        <v>0</v>
      </c>
      <c r="FY30" s="3">
        <f t="shared" si="27"/>
        <v>0</v>
      </c>
      <c r="FZ30" s="3">
        <f t="shared" si="27"/>
        <v>0</v>
      </c>
      <c r="GA30" s="3">
        <f t="shared" si="27"/>
        <v>0</v>
      </c>
      <c r="GB30" s="3">
        <f t="shared" si="27"/>
        <v>0</v>
      </c>
      <c r="GC30" s="3">
        <f t="shared" si="27"/>
        <v>0</v>
      </c>
      <c r="GD30" s="3">
        <f t="shared" si="27"/>
        <v>0</v>
      </c>
      <c r="GE30" s="3">
        <f t="shared" si="27"/>
        <v>0</v>
      </c>
      <c r="GF30" s="3">
        <f t="shared" si="27"/>
        <v>0</v>
      </c>
      <c r="GG30" s="3">
        <f t="shared" si="27"/>
        <v>0</v>
      </c>
      <c r="GH30" s="3">
        <f t="shared" si="27"/>
        <v>0</v>
      </c>
      <c r="GI30" s="3">
        <f t="shared" si="27"/>
        <v>0</v>
      </c>
      <c r="GJ30" s="3">
        <f t="shared" si="27"/>
        <v>0</v>
      </c>
      <c r="GK30" s="3">
        <f t="shared" si="27"/>
        <v>0</v>
      </c>
      <c r="GL30" s="3">
        <f t="shared" si="27"/>
        <v>0</v>
      </c>
      <c r="GM30" s="3">
        <f t="shared" si="27"/>
        <v>0</v>
      </c>
      <c r="GN30" s="3">
        <f t="shared" si="27"/>
        <v>0</v>
      </c>
      <c r="GO30" s="3">
        <f t="shared" si="27"/>
        <v>0</v>
      </c>
      <c r="GP30" s="3">
        <f t="shared" si="27"/>
        <v>0</v>
      </c>
      <c r="GQ30" s="3">
        <f t="shared" si="27"/>
        <v>0</v>
      </c>
      <c r="GR30" s="3">
        <f t="shared" si="27"/>
        <v>0</v>
      </c>
      <c r="GS30" s="3">
        <f t="shared" si="27"/>
        <v>0</v>
      </c>
      <c r="GT30" s="3">
        <f t="shared" si="27"/>
        <v>0</v>
      </c>
      <c r="GU30" s="3">
        <f t="shared" si="27"/>
        <v>0</v>
      </c>
      <c r="GV30" s="3">
        <f t="shared" si="27"/>
        <v>0</v>
      </c>
      <c r="GW30" s="3">
        <f t="shared" si="27"/>
        <v>0</v>
      </c>
      <c r="GX30" s="3">
        <f t="shared" si="27"/>
        <v>0</v>
      </c>
    </row>
    <row r="32" spans="1:245" x14ac:dyDescent="0.2">
      <c r="A32">
        <v>17</v>
      </c>
      <c r="B32">
        <v>1</v>
      </c>
      <c r="C32">
        <f>ROW(SmtRes!A24)</f>
        <v>24</v>
      </c>
      <c r="D32">
        <f>ROW(EtalonRes!A22)</f>
        <v>22</v>
      </c>
      <c r="E32" t="s">
        <v>18</v>
      </c>
      <c r="F32" t="s">
        <v>19</v>
      </c>
      <c r="G32" t="s">
        <v>20</v>
      </c>
      <c r="H32" t="s">
        <v>21</v>
      </c>
      <c r="I32">
        <f>ROUND((0.15+1.6+1.2)/100,9)</f>
        <v>2.9499999999999998E-2</v>
      </c>
      <c r="J32">
        <v>0</v>
      </c>
      <c r="O32">
        <f t="shared" ref="O32:O39" si="28">ROUND(CP32,2)</f>
        <v>18271.43</v>
      </c>
      <c r="P32">
        <f t="shared" ref="P32:P39" si="29">ROUND(CQ32*I32,2)</f>
        <v>13563.92</v>
      </c>
      <c r="Q32">
        <f t="shared" ref="Q32:Q39" si="30">ROUND(CR32*I32,2)</f>
        <v>857.91</v>
      </c>
      <c r="R32">
        <f t="shared" ref="R32:R39" si="31">ROUND(CS32*I32,2)</f>
        <v>351.65</v>
      </c>
      <c r="S32">
        <f t="shared" ref="S32:S39" si="32">ROUND(CT32*I32,2)</f>
        <v>3849.6</v>
      </c>
      <c r="T32">
        <f t="shared" ref="T32:T39" si="33">ROUND(CU32*I32,2)</f>
        <v>0</v>
      </c>
      <c r="U32">
        <f t="shared" ref="U32:U39" si="34">CV32*I32</f>
        <v>15.388379999999998</v>
      </c>
      <c r="V32">
        <f t="shared" ref="V32:V39" si="35">CW32*I32</f>
        <v>0.883525</v>
      </c>
      <c r="W32">
        <f t="shared" ref="W32:W39" si="36">ROUND(CX32*I32,2)</f>
        <v>0</v>
      </c>
      <c r="X32">
        <f t="shared" ref="X32:Y39" si="37">ROUND(CY32,2)</f>
        <v>4411.3100000000004</v>
      </c>
      <c r="Y32">
        <f t="shared" si="37"/>
        <v>2730.81</v>
      </c>
      <c r="AA32">
        <v>59844155</v>
      </c>
      <c r="AB32">
        <f t="shared" ref="AB32:AB39" si="38">ROUND((AC32+AD32+AF32),6)</f>
        <v>84727.634000000005</v>
      </c>
      <c r="AC32">
        <f t="shared" ref="AC32:AC39" si="39">ROUND((ES32),6)</f>
        <v>77146.63</v>
      </c>
      <c r="AD32">
        <f>ROUND(((((ET32*1.25))-((EU32*1.25)))+AE32),6)</f>
        <v>3167.9250000000002</v>
      </c>
      <c r="AE32">
        <f>ROUND(((EU32*1.25)),6)</f>
        <v>403.125</v>
      </c>
      <c r="AF32">
        <f>ROUND(((EV32*1.15)),6)</f>
        <v>4413.0789999999997</v>
      </c>
      <c r="AG32">
        <f t="shared" ref="AG32:AG39" si="40">ROUND((AP32),6)</f>
        <v>0</v>
      </c>
      <c r="AH32">
        <f>((EW32*1.15))</f>
        <v>521.64</v>
      </c>
      <c r="AI32">
        <f>((EX32*1.25))</f>
        <v>29.950000000000003</v>
      </c>
      <c r="AJ32">
        <f t="shared" ref="AJ32:AJ39" si="41">(AS32)</f>
        <v>0</v>
      </c>
      <c r="AK32">
        <v>83518.429999999993</v>
      </c>
      <c r="AL32">
        <v>77146.63</v>
      </c>
      <c r="AM32">
        <v>2534.34</v>
      </c>
      <c r="AN32">
        <v>322.5</v>
      </c>
      <c r="AO32">
        <v>3837.46</v>
      </c>
      <c r="AP32">
        <v>0</v>
      </c>
      <c r="AQ32">
        <v>453.6</v>
      </c>
      <c r="AR32">
        <v>23.96</v>
      </c>
      <c r="AS32">
        <v>0</v>
      </c>
      <c r="AT32">
        <v>105</v>
      </c>
      <c r="AU32">
        <v>65</v>
      </c>
      <c r="AV32">
        <v>1</v>
      </c>
      <c r="AW32">
        <v>1</v>
      </c>
      <c r="AZ32">
        <v>1</v>
      </c>
      <c r="BA32">
        <v>29.57</v>
      </c>
      <c r="BB32">
        <v>9.18</v>
      </c>
      <c r="BC32">
        <v>5.96</v>
      </c>
      <c r="BD32" t="s">
        <v>3</v>
      </c>
      <c r="BE32" t="s">
        <v>3</v>
      </c>
      <c r="BF32" t="s">
        <v>3</v>
      </c>
      <c r="BG32" t="s">
        <v>3</v>
      </c>
      <c r="BH32">
        <v>0</v>
      </c>
      <c r="BI32">
        <v>1</v>
      </c>
      <c r="BJ32" t="s">
        <v>22</v>
      </c>
      <c r="BM32">
        <v>6001</v>
      </c>
      <c r="BN32">
        <v>0</v>
      </c>
      <c r="BO32" t="s">
        <v>19</v>
      </c>
      <c r="BP32">
        <v>1</v>
      </c>
      <c r="BQ32">
        <v>2</v>
      </c>
      <c r="BR32">
        <v>0</v>
      </c>
      <c r="BS32">
        <v>29.57</v>
      </c>
      <c r="BT32">
        <v>1</v>
      </c>
      <c r="BU32">
        <v>1</v>
      </c>
      <c r="BV32">
        <v>1</v>
      </c>
      <c r="BW32">
        <v>1</v>
      </c>
      <c r="BX32">
        <v>1</v>
      </c>
      <c r="BY32" t="s">
        <v>3</v>
      </c>
      <c r="BZ32">
        <v>105</v>
      </c>
      <c r="CA32">
        <v>65</v>
      </c>
      <c r="CE32">
        <v>0</v>
      </c>
      <c r="CF32">
        <v>0</v>
      </c>
      <c r="CG32">
        <v>0</v>
      </c>
      <c r="CM32">
        <v>1</v>
      </c>
      <c r="CN32" t="s">
        <v>284</v>
      </c>
      <c r="CO32">
        <v>0</v>
      </c>
      <c r="CP32">
        <f t="shared" ref="CP32:CP39" si="42">(P32+Q32+S32)</f>
        <v>18271.43</v>
      </c>
      <c r="CQ32">
        <f t="shared" ref="CQ32:CQ39" si="43">AC32*BC32</f>
        <v>459793.91480000003</v>
      </c>
      <c r="CR32">
        <f t="shared" ref="CR32:CR39" si="44">AD32*BB32</f>
        <v>29081.551500000001</v>
      </c>
      <c r="CS32">
        <f t="shared" ref="CS32:CS39" si="45">AE32*BS32</f>
        <v>11920.40625</v>
      </c>
      <c r="CT32">
        <f t="shared" ref="CT32:CT39" si="46">AF32*BA32</f>
        <v>130494.74602999999</v>
      </c>
      <c r="CU32">
        <f t="shared" ref="CU32:CX39" si="47">AG32</f>
        <v>0</v>
      </c>
      <c r="CV32">
        <f t="shared" si="47"/>
        <v>521.64</v>
      </c>
      <c r="CW32">
        <f t="shared" si="47"/>
        <v>29.950000000000003</v>
      </c>
      <c r="CX32">
        <f t="shared" si="47"/>
        <v>0</v>
      </c>
      <c r="CY32">
        <f t="shared" ref="CY32:CY37" si="48">(((S32+R32)*AT32)/100)</f>
        <v>4411.3125</v>
      </c>
      <c r="CZ32">
        <f t="shared" ref="CZ32:CZ37" si="49">(((S32+R32)*AU32)/100)</f>
        <v>2730.8125</v>
      </c>
      <c r="DC32" t="s">
        <v>3</v>
      </c>
      <c r="DD32" t="s">
        <v>3</v>
      </c>
      <c r="DE32" t="s">
        <v>23</v>
      </c>
      <c r="DF32" t="s">
        <v>23</v>
      </c>
      <c r="DG32" t="s">
        <v>24</v>
      </c>
      <c r="DH32" t="s">
        <v>3</v>
      </c>
      <c r="DI32" t="s">
        <v>24</v>
      </c>
      <c r="DJ32" t="s">
        <v>23</v>
      </c>
      <c r="DK32" t="s">
        <v>3</v>
      </c>
      <c r="DL32" t="s">
        <v>3</v>
      </c>
      <c r="DM32" t="s">
        <v>3</v>
      </c>
      <c r="DN32">
        <v>0</v>
      </c>
      <c r="DO32">
        <v>0</v>
      </c>
      <c r="DP32">
        <v>1</v>
      </c>
      <c r="DQ32">
        <v>1</v>
      </c>
      <c r="DU32">
        <v>1013</v>
      </c>
      <c r="DV32" t="s">
        <v>21</v>
      </c>
      <c r="DW32" t="s">
        <v>21</v>
      </c>
      <c r="DX32">
        <v>1</v>
      </c>
      <c r="EE32">
        <v>57161802</v>
      </c>
      <c r="EF32">
        <v>2</v>
      </c>
      <c r="EG32" t="s">
        <v>25</v>
      </c>
      <c r="EH32">
        <v>0</v>
      </c>
      <c r="EI32" t="s">
        <v>3</v>
      </c>
      <c r="EJ32">
        <v>1</v>
      </c>
      <c r="EK32">
        <v>6001</v>
      </c>
      <c r="EL32" t="s">
        <v>26</v>
      </c>
      <c r="EM32" t="s">
        <v>27</v>
      </c>
      <c r="EO32" t="s">
        <v>28</v>
      </c>
      <c r="EQ32">
        <v>0</v>
      </c>
      <c r="ER32">
        <v>83518.429999999993</v>
      </c>
      <c r="ES32">
        <v>77146.63</v>
      </c>
      <c r="ET32">
        <v>2534.34</v>
      </c>
      <c r="EU32">
        <v>322.5</v>
      </c>
      <c r="EV32">
        <v>3837.46</v>
      </c>
      <c r="EW32">
        <v>453.6</v>
      </c>
      <c r="EX32">
        <v>23.96</v>
      </c>
      <c r="EY32">
        <v>0</v>
      </c>
      <c r="FQ32">
        <v>0</v>
      </c>
      <c r="FR32">
        <f t="shared" ref="FR32:FR39" si="50">ROUND(IF(AND(BH32=3,BI32=3),P32,0),2)</f>
        <v>0</v>
      </c>
      <c r="FS32">
        <v>0</v>
      </c>
      <c r="FX32">
        <v>105</v>
      </c>
      <c r="FY32">
        <v>65</v>
      </c>
      <c r="GA32" t="s">
        <v>3</v>
      </c>
      <c r="GD32">
        <v>1</v>
      </c>
      <c r="GF32">
        <v>-1189439932</v>
      </c>
      <c r="GG32">
        <v>2</v>
      </c>
      <c r="GH32">
        <v>1</v>
      </c>
      <c r="GI32">
        <v>2</v>
      </c>
      <c r="GJ32">
        <v>0</v>
      </c>
      <c r="GK32">
        <v>0</v>
      </c>
      <c r="GL32">
        <f t="shared" ref="GL32:GL39" si="51">ROUND(IF(AND(BH32=3,BI32=3,FS32&lt;&gt;0),P32,0),2)</f>
        <v>0</v>
      </c>
      <c r="GM32">
        <f t="shared" ref="GM32:GM39" si="52">ROUND(O32+X32+Y32,2)+GX32</f>
        <v>25413.55</v>
      </c>
      <c r="GN32">
        <f t="shared" ref="GN32:GN39" si="53">IF(OR(BI32=0,BI32=1),ROUND(O32+X32+Y32,2),0)</f>
        <v>25413.55</v>
      </c>
      <c r="GO32">
        <f t="shared" ref="GO32:GO39" si="54">IF(BI32=2,ROUND(O32+X32+Y32,2),0)</f>
        <v>0</v>
      </c>
      <c r="GP32">
        <f t="shared" ref="GP32:GP39" si="55">IF(BI32=4,ROUND(O32+X32+Y32,2)+GX32,0)</f>
        <v>0</v>
      </c>
      <c r="GR32">
        <v>0</v>
      </c>
      <c r="GS32">
        <v>3</v>
      </c>
      <c r="GT32">
        <v>0</v>
      </c>
      <c r="GU32" t="s">
        <v>3</v>
      </c>
      <c r="GV32">
        <f t="shared" ref="GV32:GV39" si="56">ROUND((GT32),6)</f>
        <v>0</v>
      </c>
      <c r="GW32">
        <v>1</v>
      </c>
      <c r="GX32">
        <f t="shared" ref="GX32:GX39" si="57">ROUND(HC32*I32,2)</f>
        <v>0</v>
      </c>
      <c r="HA32">
        <v>0</v>
      </c>
      <c r="HB32">
        <v>0</v>
      </c>
      <c r="HC32">
        <f t="shared" ref="HC32:HC39" si="58">GV32*GW32</f>
        <v>0</v>
      </c>
      <c r="IK32">
        <v>0</v>
      </c>
    </row>
    <row r="33" spans="1:245" x14ac:dyDescent="0.2">
      <c r="A33">
        <v>18</v>
      </c>
      <c r="B33">
        <v>1</v>
      </c>
      <c r="C33">
        <v>19</v>
      </c>
      <c r="E33" t="s">
        <v>29</v>
      </c>
      <c r="F33" t="s">
        <v>30</v>
      </c>
      <c r="G33" t="s">
        <v>31</v>
      </c>
      <c r="H33" t="s">
        <v>32</v>
      </c>
      <c r="I33">
        <f>I32*J33</f>
        <v>-2.9499999999999998E-2</v>
      </c>
      <c r="J33">
        <v>-1</v>
      </c>
      <c r="O33">
        <f t="shared" si="28"/>
        <v>-985.05</v>
      </c>
      <c r="P33">
        <f t="shared" si="29"/>
        <v>-985.05</v>
      </c>
      <c r="Q33">
        <f t="shared" si="30"/>
        <v>0</v>
      </c>
      <c r="R33">
        <f t="shared" si="31"/>
        <v>0</v>
      </c>
      <c r="S33">
        <f t="shared" si="32"/>
        <v>0</v>
      </c>
      <c r="T33">
        <f t="shared" si="33"/>
        <v>0</v>
      </c>
      <c r="U33">
        <f t="shared" si="34"/>
        <v>0</v>
      </c>
      <c r="V33">
        <f t="shared" si="35"/>
        <v>0</v>
      </c>
      <c r="W33">
        <f t="shared" si="36"/>
        <v>0</v>
      </c>
      <c r="X33">
        <f t="shared" si="37"/>
        <v>0</v>
      </c>
      <c r="Y33">
        <f t="shared" si="37"/>
        <v>0</v>
      </c>
      <c r="AA33">
        <v>59844155</v>
      </c>
      <c r="AB33">
        <f t="shared" si="38"/>
        <v>5649.99</v>
      </c>
      <c r="AC33">
        <f t="shared" si="39"/>
        <v>5649.99</v>
      </c>
      <c r="AD33">
        <f t="shared" ref="AD33:AD39" si="59">ROUND((((ET33)-(EU33))+AE33),6)</f>
        <v>0</v>
      </c>
      <c r="AE33">
        <f t="shared" ref="AE33:AF39" si="60">ROUND((EU33),6)</f>
        <v>0</v>
      </c>
      <c r="AF33">
        <f t="shared" si="60"/>
        <v>0</v>
      </c>
      <c r="AG33">
        <f t="shared" si="40"/>
        <v>0</v>
      </c>
      <c r="AH33">
        <f t="shared" ref="AH33:AI39" si="61">(EW33)</f>
        <v>0</v>
      </c>
      <c r="AI33">
        <f t="shared" si="61"/>
        <v>0</v>
      </c>
      <c r="AJ33">
        <f t="shared" si="41"/>
        <v>0</v>
      </c>
      <c r="AK33">
        <v>5649.99</v>
      </c>
      <c r="AL33">
        <v>5649.99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105</v>
      </c>
      <c r="AU33">
        <v>65</v>
      </c>
      <c r="AV33">
        <v>1</v>
      </c>
      <c r="AW33">
        <v>1</v>
      </c>
      <c r="AZ33">
        <v>1</v>
      </c>
      <c r="BA33">
        <v>1</v>
      </c>
      <c r="BB33">
        <v>1</v>
      </c>
      <c r="BC33">
        <v>5.91</v>
      </c>
      <c r="BD33" t="s">
        <v>3</v>
      </c>
      <c r="BE33" t="s">
        <v>3</v>
      </c>
      <c r="BF33" t="s">
        <v>3</v>
      </c>
      <c r="BG33" t="s">
        <v>3</v>
      </c>
      <c r="BH33">
        <v>3</v>
      </c>
      <c r="BI33">
        <v>1</v>
      </c>
      <c r="BJ33" t="s">
        <v>33</v>
      </c>
      <c r="BM33">
        <v>6001</v>
      </c>
      <c r="BN33">
        <v>0</v>
      </c>
      <c r="BO33" t="s">
        <v>30</v>
      </c>
      <c r="BP33">
        <v>1</v>
      </c>
      <c r="BQ33">
        <v>2</v>
      </c>
      <c r="BR33">
        <v>1</v>
      </c>
      <c r="BS33">
        <v>1</v>
      </c>
      <c r="BT33">
        <v>1</v>
      </c>
      <c r="BU33">
        <v>1</v>
      </c>
      <c r="BV33">
        <v>1</v>
      </c>
      <c r="BW33">
        <v>1</v>
      </c>
      <c r="BX33">
        <v>1</v>
      </c>
      <c r="BY33" t="s">
        <v>3</v>
      </c>
      <c r="BZ33">
        <v>105</v>
      </c>
      <c r="CA33">
        <v>65</v>
      </c>
      <c r="CE33">
        <v>0</v>
      </c>
      <c r="CF33">
        <v>0</v>
      </c>
      <c r="CG33">
        <v>0</v>
      </c>
      <c r="CM33">
        <v>1</v>
      </c>
      <c r="CN33" t="s">
        <v>3</v>
      </c>
      <c r="CO33">
        <v>0</v>
      </c>
      <c r="CP33">
        <f t="shared" si="42"/>
        <v>-985.05</v>
      </c>
      <c r="CQ33">
        <f t="shared" si="43"/>
        <v>33391.440900000001</v>
      </c>
      <c r="CR33">
        <f t="shared" si="44"/>
        <v>0</v>
      </c>
      <c r="CS33">
        <f t="shared" si="45"/>
        <v>0</v>
      </c>
      <c r="CT33">
        <f t="shared" si="46"/>
        <v>0</v>
      </c>
      <c r="CU33">
        <f t="shared" si="47"/>
        <v>0</v>
      </c>
      <c r="CV33">
        <f t="shared" si="47"/>
        <v>0</v>
      </c>
      <c r="CW33">
        <f t="shared" si="47"/>
        <v>0</v>
      </c>
      <c r="CX33">
        <f t="shared" si="47"/>
        <v>0</v>
      </c>
      <c r="CY33">
        <f t="shared" si="48"/>
        <v>0</v>
      </c>
      <c r="CZ33">
        <f t="shared" si="49"/>
        <v>0</v>
      </c>
      <c r="DC33" t="s">
        <v>3</v>
      </c>
      <c r="DD33" t="s">
        <v>3</v>
      </c>
      <c r="DE33" t="s">
        <v>3</v>
      </c>
      <c r="DF33" t="s">
        <v>3</v>
      </c>
      <c r="DG33" t="s">
        <v>3</v>
      </c>
      <c r="DH33" t="s">
        <v>3</v>
      </c>
      <c r="DI33" t="s">
        <v>3</v>
      </c>
      <c r="DJ33" t="s">
        <v>3</v>
      </c>
      <c r="DK33" t="s">
        <v>3</v>
      </c>
      <c r="DL33" t="s">
        <v>3</v>
      </c>
      <c r="DM33" t="s">
        <v>3</v>
      </c>
      <c r="DN33">
        <v>0</v>
      </c>
      <c r="DO33">
        <v>0</v>
      </c>
      <c r="DP33">
        <v>1</v>
      </c>
      <c r="DQ33">
        <v>1</v>
      </c>
      <c r="DU33">
        <v>1009</v>
      </c>
      <c r="DV33" t="s">
        <v>32</v>
      </c>
      <c r="DW33" t="s">
        <v>32</v>
      </c>
      <c r="DX33">
        <v>1000</v>
      </c>
      <c r="EE33">
        <v>57161802</v>
      </c>
      <c r="EF33">
        <v>2</v>
      </c>
      <c r="EG33" t="s">
        <v>25</v>
      </c>
      <c r="EH33">
        <v>0</v>
      </c>
      <c r="EI33" t="s">
        <v>3</v>
      </c>
      <c r="EJ33">
        <v>1</v>
      </c>
      <c r="EK33">
        <v>6001</v>
      </c>
      <c r="EL33" t="s">
        <v>26</v>
      </c>
      <c r="EM33" t="s">
        <v>27</v>
      </c>
      <c r="EO33" t="s">
        <v>3</v>
      </c>
      <c r="EQ33">
        <v>0</v>
      </c>
      <c r="ER33">
        <v>5649.99</v>
      </c>
      <c r="ES33">
        <v>5649.99</v>
      </c>
      <c r="ET33">
        <v>0</v>
      </c>
      <c r="EU33">
        <v>0</v>
      </c>
      <c r="EV33">
        <v>0</v>
      </c>
      <c r="EW33">
        <v>0</v>
      </c>
      <c r="EX33">
        <v>0</v>
      </c>
      <c r="FQ33">
        <v>0</v>
      </c>
      <c r="FR33">
        <f t="shared" si="50"/>
        <v>0</v>
      </c>
      <c r="FS33">
        <v>0</v>
      </c>
      <c r="FX33">
        <v>105</v>
      </c>
      <c r="FY33">
        <v>65</v>
      </c>
      <c r="GA33" t="s">
        <v>3</v>
      </c>
      <c r="GD33">
        <v>1</v>
      </c>
      <c r="GF33">
        <v>-922545297</v>
      </c>
      <c r="GG33">
        <v>2</v>
      </c>
      <c r="GH33">
        <v>1</v>
      </c>
      <c r="GI33">
        <v>2</v>
      </c>
      <c r="GJ33">
        <v>0</v>
      </c>
      <c r="GK33">
        <v>0</v>
      </c>
      <c r="GL33">
        <f t="shared" si="51"/>
        <v>0</v>
      </c>
      <c r="GM33">
        <f t="shared" si="52"/>
        <v>-985.05</v>
      </c>
      <c r="GN33">
        <f t="shared" si="53"/>
        <v>-985.05</v>
      </c>
      <c r="GO33">
        <f t="shared" si="54"/>
        <v>0</v>
      </c>
      <c r="GP33">
        <f t="shared" si="55"/>
        <v>0</v>
      </c>
      <c r="GR33">
        <v>0</v>
      </c>
      <c r="GS33">
        <v>3</v>
      </c>
      <c r="GT33">
        <v>0</v>
      </c>
      <c r="GU33" t="s">
        <v>3</v>
      </c>
      <c r="GV33">
        <f t="shared" si="56"/>
        <v>0</v>
      </c>
      <c r="GW33">
        <v>1</v>
      </c>
      <c r="GX33">
        <f t="shared" si="57"/>
        <v>0</v>
      </c>
      <c r="HA33">
        <v>0</v>
      </c>
      <c r="HB33">
        <v>0</v>
      </c>
      <c r="HC33">
        <f t="shared" si="58"/>
        <v>0</v>
      </c>
      <c r="IK33">
        <v>0</v>
      </c>
    </row>
    <row r="34" spans="1:245" x14ac:dyDescent="0.2">
      <c r="A34">
        <v>18</v>
      </c>
      <c r="B34">
        <v>1</v>
      </c>
      <c r="C34">
        <v>20</v>
      </c>
      <c r="E34" t="s">
        <v>34</v>
      </c>
      <c r="F34" t="s">
        <v>35</v>
      </c>
      <c r="G34" t="s">
        <v>36</v>
      </c>
      <c r="H34" t="s">
        <v>32</v>
      </c>
      <c r="I34">
        <f>I32*J34</f>
        <v>2.1999999999999999E-2</v>
      </c>
      <c r="J34">
        <v>0.74576271186440679</v>
      </c>
      <c r="O34">
        <f t="shared" si="28"/>
        <v>646.19000000000005</v>
      </c>
      <c r="P34">
        <f t="shared" si="29"/>
        <v>646.19000000000005</v>
      </c>
      <c r="Q34">
        <f t="shared" si="30"/>
        <v>0</v>
      </c>
      <c r="R34">
        <f t="shared" si="31"/>
        <v>0</v>
      </c>
      <c r="S34">
        <f t="shared" si="32"/>
        <v>0</v>
      </c>
      <c r="T34">
        <f t="shared" si="33"/>
        <v>0</v>
      </c>
      <c r="U34">
        <f t="shared" si="34"/>
        <v>0</v>
      </c>
      <c r="V34">
        <f t="shared" si="35"/>
        <v>0</v>
      </c>
      <c r="W34">
        <f t="shared" si="36"/>
        <v>0.75</v>
      </c>
      <c r="X34">
        <f t="shared" si="37"/>
        <v>0</v>
      </c>
      <c r="Y34">
        <f t="shared" si="37"/>
        <v>0</v>
      </c>
      <c r="AA34">
        <v>59844155</v>
      </c>
      <c r="AB34">
        <f t="shared" si="38"/>
        <v>10565.61</v>
      </c>
      <c r="AC34">
        <f t="shared" si="39"/>
        <v>10565.61</v>
      </c>
      <c r="AD34">
        <f t="shared" si="59"/>
        <v>0</v>
      </c>
      <c r="AE34">
        <f t="shared" si="60"/>
        <v>0</v>
      </c>
      <c r="AF34">
        <f t="shared" si="60"/>
        <v>0</v>
      </c>
      <c r="AG34">
        <f t="shared" si="40"/>
        <v>0</v>
      </c>
      <c r="AH34">
        <f t="shared" si="61"/>
        <v>0</v>
      </c>
      <c r="AI34">
        <f t="shared" si="61"/>
        <v>0</v>
      </c>
      <c r="AJ34">
        <f t="shared" si="41"/>
        <v>34.17</v>
      </c>
      <c r="AK34">
        <v>10565.61</v>
      </c>
      <c r="AL34">
        <v>10565.61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34.17</v>
      </c>
      <c r="AT34">
        <v>105</v>
      </c>
      <c r="AU34">
        <v>65</v>
      </c>
      <c r="AV34">
        <v>1</v>
      </c>
      <c r="AW34">
        <v>1</v>
      </c>
      <c r="AZ34">
        <v>1</v>
      </c>
      <c r="BA34">
        <v>1</v>
      </c>
      <c r="BB34">
        <v>1</v>
      </c>
      <c r="BC34">
        <v>2.78</v>
      </c>
      <c r="BD34" t="s">
        <v>3</v>
      </c>
      <c r="BE34" t="s">
        <v>3</v>
      </c>
      <c r="BF34" t="s">
        <v>3</v>
      </c>
      <c r="BG34" t="s">
        <v>3</v>
      </c>
      <c r="BH34">
        <v>3</v>
      </c>
      <c r="BI34">
        <v>1</v>
      </c>
      <c r="BJ34" t="s">
        <v>37</v>
      </c>
      <c r="BM34">
        <v>6001</v>
      </c>
      <c r="BN34">
        <v>0</v>
      </c>
      <c r="BO34" t="s">
        <v>35</v>
      </c>
      <c r="BP34">
        <v>1</v>
      </c>
      <c r="BQ34">
        <v>2</v>
      </c>
      <c r="BR34">
        <v>0</v>
      </c>
      <c r="BS34">
        <v>1</v>
      </c>
      <c r="BT34">
        <v>1</v>
      </c>
      <c r="BU34">
        <v>1</v>
      </c>
      <c r="BV34">
        <v>1</v>
      </c>
      <c r="BW34">
        <v>1</v>
      </c>
      <c r="BX34">
        <v>1</v>
      </c>
      <c r="BY34" t="s">
        <v>3</v>
      </c>
      <c r="BZ34">
        <v>105</v>
      </c>
      <c r="CA34">
        <v>65</v>
      </c>
      <c r="CE34">
        <v>0</v>
      </c>
      <c r="CF34">
        <v>0</v>
      </c>
      <c r="CG34">
        <v>0</v>
      </c>
      <c r="CM34">
        <v>1</v>
      </c>
      <c r="CN34" t="s">
        <v>3</v>
      </c>
      <c r="CO34">
        <v>0</v>
      </c>
      <c r="CP34">
        <f t="shared" si="42"/>
        <v>646.19000000000005</v>
      </c>
      <c r="CQ34">
        <f t="shared" si="43"/>
        <v>29372.395799999998</v>
      </c>
      <c r="CR34">
        <f t="shared" si="44"/>
        <v>0</v>
      </c>
      <c r="CS34">
        <f t="shared" si="45"/>
        <v>0</v>
      </c>
      <c r="CT34">
        <f t="shared" si="46"/>
        <v>0</v>
      </c>
      <c r="CU34">
        <f t="shared" si="47"/>
        <v>0</v>
      </c>
      <c r="CV34">
        <f t="shared" si="47"/>
        <v>0</v>
      </c>
      <c r="CW34">
        <f t="shared" si="47"/>
        <v>0</v>
      </c>
      <c r="CX34">
        <f t="shared" si="47"/>
        <v>34.17</v>
      </c>
      <c r="CY34">
        <f t="shared" si="48"/>
        <v>0</v>
      </c>
      <c r="CZ34">
        <f t="shared" si="49"/>
        <v>0</v>
      </c>
      <c r="DC34" t="s">
        <v>3</v>
      </c>
      <c r="DD34" t="s">
        <v>3</v>
      </c>
      <c r="DE34" t="s">
        <v>3</v>
      </c>
      <c r="DF34" t="s">
        <v>3</v>
      </c>
      <c r="DG34" t="s">
        <v>3</v>
      </c>
      <c r="DH34" t="s">
        <v>3</v>
      </c>
      <c r="DI34" t="s">
        <v>3</v>
      </c>
      <c r="DJ34" t="s">
        <v>3</v>
      </c>
      <c r="DK34" t="s">
        <v>3</v>
      </c>
      <c r="DL34" t="s">
        <v>3</v>
      </c>
      <c r="DM34" t="s">
        <v>3</v>
      </c>
      <c r="DN34">
        <v>0</v>
      </c>
      <c r="DO34">
        <v>0</v>
      </c>
      <c r="DP34">
        <v>1</v>
      </c>
      <c r="DQ34">
        <v>1</v>
      </c>
      <c r="DU34">
        <v>1009</v>
      </c>
      <c r="DV34" t="s">
        <v>32</v>
      </c>
      <c r="DW34" t="s">
        <v>32</v>
      </c>
      <c r="DX34">
        <v>1000</v>
      </c>
      <c r="EE34">
        <v>57161802</v>
      </c>
      <c r="EF34">
        <v>2</v>
      </c>
      <c r="EG34" t="s">
        <v>25</v>
      </c>
      <c r="EH34">
        <v>0</v>
      </c>
      <c r="EI34" t="s">
        <v>3</v>
      </c>
      <c r="EJ34">
        <v>1</v>
      </c>
      <c r="EK34">
        <v>6001</v>
      </c>
      <c r="EL34" t="s">
        <v>26</v>
      </c>
      <c r="EM34" t="s">
        <v>27</v>
      </c>
      <c r="EO34" t="s">
        <v>3</v>
      </c>
      <c r="EQ34">
        <v>0</v>
      </c>
      <c r="ER34">
        <v>10565.61</v>
      </c>
      <c r="ES34">
        <v>10565.61</v>
      </c>
      <c r="ET34">
        <v>0</v>
      </c>
      <c r="EU34">
        <v>0</v>
      </c>
      <c r="EV34">
        <v>0</v>
      </c>
      <c r="EW34">
        <v>0</v>
      </c>
      <c r="EX34">
        <v>0</v>
      </c>
      <c r="FQ34">
        <v>0</v>
      </c>
      <c r="FR34">
        <f t="shared" si="50"/>
        <v>0</v>
      </c>
      <c r="FS34">
        <v>0</v>
      </c>
      <c r="FX34">
        <v>105</v>
      </c>
      <c r="FY34">
        <v>65</v>
      </c>
      <c r="GA34" t="s">
        <v>3</v>
      </c>
      <c r="GD34">
        <v>1</v>
      </c>
      <c r="GF34">
        <v>-114930746</v>
      </c>
      <c r="GG34">
        <v>2</v>
      </c>
      <c r="GH34">
        <v>1</v>
      </c>
      <c r="GI34">
        <v>2</v>
      </c>
      <c r="GJ34">
        <v>0</v>
      </c>
      <c r="GK34">
        <v>0</v>
      </c>
      <c r="GL34">
        <f t="shared" si="51"/>
        <v>0</v>
      </c>
      <c r="GM34">
        <f t="shared" si="52"/>
        <v>646.19000000000005</v>
      </c>
      <c r="GN34">
        <f t="shared" si="53"/>
        <v>646.19000000000005</v>
      </c>
      <c r="GO34">
        <f t="shared" si="54"/>
        <v>0</v>
      </c>
      <c r="GP34">
        <f t="shared" si="55"/>
        <v>0</v>
      </c>
      <c r="GR34">
        <v>0</v>
      </c>
      <c r="GS34">
        <v>3</v>
      </c>
      <c r="GT34">
        <v>0</v>
      </c>
      <c r="GU34" t="s">
        <v>3</v>
      </c>
      <c r="GV34">
        <f t="shared" si="56"/>
        <v>0</v>
      </c>
      <c r="GW34">
        <v>1</v>
      </c>
      <c r="GX34">
        <f t="shared" si="57"/>
        <v>0</v>
      </c>
      <c r="HA34">
        <v>0</v>
      </c>
      <c r="HB34">
        <v>0</v>
      </c>
      <c r="HC34">
        <f t="shared" si="58"/>
        <v>0</v>
      </c>
      <c r="IK34">
        <v>0</v>
      </c>
    </row>
    <row r="35" spans="1:245" x14ac:dyDescent="0.2">
      <c r="A35">
        <v>18</v>
      </c>
      <c r="B35">
        <v>1</v>
      </c>
      <c r="C35">
        <v>21</v>
      </c>
      <c r="E35" t="s">
        <v>38</v>
      </c>
      <c r="F35" t="s">
        <v>39</v>
      </c>
      <c r="G35" t="s">
        <v>40</v>
      </c>
      <c r="H35" t="s">
        <v>41</v>
      </c>
      <c r="I35">
        <f>I32*J35</f>
        <v>-2.9942499999999996</v>
      </c>
      <c r="J35">
        <v>-101.5</v>
      </c>
      <c r="O35">
        <f t="shared" si="28"/>
        <v>-11947.06</v>
      </c>
      <c r="P35">
        <f t="shared" si="29"/>
        <v>-11947.06</v>
      </c>
      <c r="Q35">
        <f t="shared" si="30"/>
        <v>0</v>
      </c>
      <c r="R35">
        <f t="shared" si="31"/>
        <v>0</v>
      </c>
      <c r="S35">
        <f t="shared" si="32"/>
        <v>0</v>
      </c>
      <c r="T35">
        <f t="shared" si="33"/>
        <v>0</v>
      </c>
      <c r="U35">
        <f t="shared" si="34"/>
        <v>0</v>
      </c>
      <c r="V35">
        <f t="shared" si="35"/>
        <v>0</v>
      </c>
      <c r="W35">
        <f t="shared" si="36"/>
        <v>0</v>
      </c>
      <c r="X35">
        <f t="shared" si="37"/>
        <v>0</v>
      </c>
      <c r="Y35">
        <f t="shared" si="37"/>
        <v>0</v>
      </c>
      <c r="AA35">
        <v>59844155</v>
      </c>
      <c r="AB35">
        <f t="shared" si="38"/>
        <v>665</v>
      </c>
      <c r="AC35">
        <f t="shared" si="39"/>
        <v>665</v>
      </c>
      <c r="AD35">
        <f t="shared" si="59"/>
        <v>0</v>
      </c>
      <c r="AE35">
        <f t="shared" si="60"/>
        <v>0</v>
      </c>
      <c r="AF35">
        <f t="shared" si="60"/>
        <v>0</v>
      </c>
      <c r="AG35">
        <f t="shared" si="40"/>
        <v>0</v>
      </c>
      <c r="AH35">
        <f t="shared" si="61"/>
        <v>0</v>
      </c>
      <c r="AI35">
        <f t="shared" si="61"/>
        <v>0</v>
      </c>
      <c r="AJ35">
        <f t="shared" si="41"/>
        <v>0</v>
      </c>
      <c r="AK35">
        <v>665</v>
      </c>
      <c r="AL35">
        <v>665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105</v>
      </c>
      <c r="AU35">
        <v>65</v>
      </c>
      <c r="AV35">
        <v>1</v>
      </c>
      <c r="AW35">
        <v>1</v>
      </c>
      <c r="AZ35">
        <v>1</v>
      </c>
      <c r="BA35">
        <v>1</v>
      </c>
      <c r="BB35">
        <v>1</v>
      </c>
      <c r="BC35">
        <v>6</v>
      </c>
      <c r="BD35" t="s">
        <v>3</v>
      </c>
      <c r="BE35" t="s">
        <v>3</v>
      </c>
      <c r="BF35" t="s">
        <v>3</v>
      </c>
      <c r="BG35" t="s">
        <v>3</v>
      </c>
      <c r="BH35">
        <v>3</v>
      </c>
      <c r="BI35">
        <v>1</v>
      </c>
      <c r="BJ35" t="s">
        <v>42</v>
      </c>
      <c r="BM35">
        <v>6001</v>
      </c>
      <c r="BN35">
        <v>0</v>
      </c>
      <c r="BO35" t="s">
        <v>39</v>
      </c>
      <c r="BP35">
        <v>1</v>
      </c>
      <c r="BQ35">
        <v>2</v>
      </c>
      <c r="BR35">
        <v>1</v>
      </c>
      <c r="BS35">
        <v>1</v>
      </c>
      <c r="BT35">
        <v>1</v>
      </c>
      <c r="BU35">
        <v>1</v>
      </c>
      <c r="BV35">
        <v>1</v>
      </c>
      <c r="BW35">
        <v>1</v>
      </c>
      <c r="BX35">
        <v>1</v>
      </c>
      <c r="BY35" t="s">
        <v>3</v>
      </c>
      <c r="BZ35">
        <v>105</v>
      </c>
      <c r="CA35">
        <v>65</v>
      </c>
      <c r="CE35">
        <v>0</v>
      </c>
      <c r="CF35">
        <v>0</v>
      </c>
      <c r="CG35">
        <v>0</v>
      </c>
      <c r="CM35">
        <v>1</v>
      </c>
      <c r="CN35" t="s">
        <v>3</v>
      </c>
      <c r="CO35">
        <v>0</v>
      </c>
      <c r="CP35">
        <f t="shared" si="42"/>
        <v>-11947.06</v>
      </c>
      <c r="CQ35">
        <f t="shared" si="43"/>
        <v>3990</v>
      </c>
      <c r="CR35">
        <f t="shared" si="44"/>
        <v>0</v>
      </c>
      <c r="CS35">
        <f t="shared" si="45"/>
        <v>0</v>
      </c>
      <c r="CT35">
        <f t="shared" si="46"/>
        <v>0</v>
      </c>
      <c r="CU35">
        <f t="shared" si="47"/>
        <v>0</v>
      </c>
      <c r="CV35">
        <f t="shared" si="47"/>
        <v>0</v>
      </c>
      <c r="CW35">
        <f t="shared" si="47"/>
        <v>0</v>
      </c>
      <c r="CX35">
        <f t="shared" si="47"/>
        <v>0</v>
      </c>
      <c r="CY35">
        <f t="shared" si="48"/>
        <v>0</v>
      </c>
      <c r="CZ35">
        <f t="shared" si="49"/>
        <v>0</v>
      </c>
      <c r="DC35" t="s">
        <v>3</v>
      </c>
      <c r="DD35" t="s">
        <v>3</v>
      </c>
      <c r="DE35" t="s">
        <v>3</v>
      </c>
      <c r="DF35" t="s">
        <v>3</v>
      </c>
      <c r="DG35" t="s">
        <v>3</v>
      </c>
      <c r="DH35" t="s">
        <v>3</v>
      </c>
      <c r="DI35" t="s">
        <v>3</v>
      </c>
      <c r="DJ35" t="s">
        <v>3</v>
      </c>
      <c r="DK35" t="s">
        <v>3</v>
      </c>
      <c r="DL35" t="s">
        <v>3</v>
      </c>
      <c r="DM35" t="s">
        <v>3</v>
      </c>
      <c r="DN35">
        <v>0</v>
      </c>
      <c r="DO35">
        <v>0</v>
      </c>
      <c r="DP35">
        <v>1</v>
      </c>
      <c r="DQ35">
        <v>1</v>
      </c>
      <c r="DU35">
        <v>1007</v>
      </c>
      <c r="DV35" t="s">
        <v>41</v>
      </c>
      <c r="DW35" t="s">
        <v>43</v>
      </c>
      <c r="DX35">
        <v>1</v>
      </c>
      <c r="EE35">
        <v>57161802</v>
      </c>
      <c r="EF35">
        <v>2</v>
      </c>
      <c r="EG35" t="s">
        <v>25</v>
      </c>
      <c r="EH35">
        <v>0</v>
      </c>
      <c r="EI35" t="s">
        <v>3</v>
      </c>
      <c r="EJ35">
        <v>1</v>
      </c>
      <c r="EK35">
        <v>6001</v>
      </c>
      <c r="EL35" t="s">
        <v>26</v>
      </c>
      <c r="EM35" t="s">
        <v>27</v>
      </c>
      <c r="EO35" t="s">
        <v>3</v>
      </c>
      <c r="EQ35">
        <v>0</v>
      </c>
      <c r="ER35">
        <v>665</v>
      </c>
      <c r="ES35">
        <v>665</v>
      </c>
      <c r="ET35">
        <v>0</v>
      </c>
      <c r="EU35">
        <v>0</v>
      </c>
      <c r="EV35">
        <v>0</v>
      </c>
      <c r="EW35">
        <v>0</v>
      </c>
      <c r="EX35">
        <v>0</v>
      </c>
      <c r="FQ35">
        <v>0</v>
      </c>
      <c r="FR35">
        <f t="shared" si="50"/>
        <v>0</v>
      </c>
      <c r="FS35">
        <v>0</v>
      </c>
      <c r="FX35">
        <v>105</v>
      </c>
      <c r="FY35">
        <v>65</v>
      </c>
      <c r="GA35" t="s">
        <v>3</v>
      </c>
      <c r="GD35">
        <v>1</v>
      </c>
      <c r="GF35">
        <v>548345076</v>
      </c>
      <c r="GG35">
        <v>2</v>
      </c>
      <c r="GH35">
        <v>1</v>
      </c>
      <c r="GI35">
        <v>2</v>
      </c>
      <c r="GJ35">
        <v>0</v>
      </c>
      <c r="GK35">
        <v>0</v>
      </c>
      <c r="GL35">
        <f t="shared" si="51"/>
        <v>0</v>
      </c>
      <c r="GM35">
        <f t="shared" si="52"/>
        <v>-11947.06</v>
      </c>
      <c r="GN35">
        <f t="shared" si="53"/>
        <v>-11947.06</v>
      </c>
      <c r="GO35">
        <f t="shared" si="54"/>
        <v>0</v>
      </c>
      <c r="GP35">
        <f t="shared" si="55"/>
        <v>0</v>
      </c>
      <c r="GR35">
        <v>0</v>
      </c>
      <c r="GS35">
        <v>3</v>
      </c>
      <c r="GT35">
        <v>0</v>
      </c>
      <c r="GU35" t="s">
        <v>3</v>
      </c>
      <c r="GV35">
        <f t="shared" si="56"/>
        <v>0</v>
      </c>
      <c r="GW35">
        <v>1</v>
      </c>
      <c r="GX35">
        <f t="shared" si="57"/>
        <v>0</v>
      </c>
      <c r="HA35">
        <v>0</v>
      </c>
      <c r="HB35">
        <v>0</v>
      </c>
      <c r="HC35">
        <f t="shared" si="58"/>
        <v>0</v>
      </c>
      <c r="IK35">
        <v>0</v>
      </c>
    </row>
    <row r="36" spans="1:245" x14ac:dyDescent="0.2">
      <c r="A36">
        <v>18</v>
      </c>
      <c r="B36">
        <v>1</v>
      </c>
      <c r="C36">
        <v>24</v>
      </c>
      <c r="E36" t="s">
        <v>44</v>
      </c>
      <c r="F36" t="s">
        <v>45</v>
      </c>
      <c r="G36" t="s">
        <v>46</v>
      </c>
      <c r="H36" t="s">
        <v>47</v>
      </c>
      <c r="I36">
        <f>I32*J36</f>
        <v>3</v>
      </c>
      <c r="J36">
        <v>101.69491525423729</v>
      </c>
      <c r="O36">
        <f t="shared" si="28"/>
        <v>13323.75</v>
      </c>
      <c r="P36">
        <f t="shared" si="29"/>
        <v>13323.75</v>
      </c>
      <c r="Q36">
        <f t="shared" si="30"/>
        <v>0</v>
      </c>
      <c r="R36">
        <f t="shared" si="31"/>
        <v>0</v>
      </c>
      <c r="S36">
        <f t="shared" si="32"/>
        <v>0</v>
      </c>
      <c r="T36">
        <f t="shared" si="33"/>
        <v>0</v>
      </c>
      <c r="U36">
        <f t="shared" si="34"/>
        <v>0</v>
      </c>
      <c r="V36">
        <f t="shared" si="35"/>
        <v>0</v>
      </c>
      <c r="W36">
        <f t="shared" si="36"/>
        <v>0</v>
      </c>
      <c r="X36">
        <f t="shared" si="37"/>
        <v>0</v>
      </c>
      <c r="Y36">
        <f t="shared" si="37"/>
        <v>0</v>
      </c>
      <c r="AA36">
        <v>59844155</v>
      </c>
      <c r="AB36">
        <f t="shared" si="38"/>
        <v>4441.25</v>
      </c>
      <c r="AC36">
        <f t="shared" si="39"/>
        <v>4441.25</v>
      </c>
      <c r="AD36">
        <f t="shared" si="59"/>
        <v>0</v>
      </c>
      <c r="AE36">
        <f t="shared" si="60"/>
        <v>0</v>
      </c>
      <c r="AF36">
        <f t="shared" si="60"/>
        <v>0</v>
      </c>
      <c r="AG36">
        <f t="shared" si="40"/>
        <v>0</v>
      </c>
      <c r="AH36">
        <f t="shared" si="61"/>
        <v>0</v>
      </c>
      <c r="AI36">
        <f t="shared" si="61"/>
        <v>0</v>
      </c>
      <c r="AJ36">
        <f t="shared" si="41"/>
        <v>0</v>
      </c>
      <c r="AK36">
        <v>4441.25</v>
      </c>
      <c r="AL36">
        <v>4441.25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105</v>
      </c>
      <c r="AU36">
        <v>65</v>
      </c>
      <c r="AV36">
        <v>1</v>
      </c>
      <c r="AW36">
        <v>1</v>
      </c>
      <c r="AZ36">
        <v>1</v>
      </c>
      <c r="BA36">
        <v>1</v>
      </c>
      <c r="BB36">
        <v>1</v>
      </c>
      <c r="BC36">
        <v>1</v>
      </c>
      <c r="BD36" t="s">
        <v>3</v>
      </c>
      <c r="BE36" t="s">
        <v>3</v>
      </c>
      <c r="BF36" t="s">
        <v>3</v>
      </c>
      <c r="BG36" t="s">
        <v>3</v>
      </c>
      <c r="BH36">
        <v>3</v>
      </c>
      <c r="BI36">
        <v>1</v>
      </c>
      <c r="BJ36" t="s">
        <v>3</v>
      </c>
      <c r="BM36">
        <v>6001</v>
      </c>
      <c r="BN36">
        <v>0</v>
      </c>
      <c r="BO36" t="s">
        <v>3</v>
      </c>
      <c r="BP36">
        <v>0</v>
      </c>
      <c r="BQ36">
        <v>2</v>
      </c>
      <c r="BR36">
        <v>0</v>
      </c>
      <c r="BS36">
        <v>1</v>
      </c>
      <c r="BT36">
        <v>1</v>
      </c>
      <c r="BU36">
        <v>1</v>
      </c>
      <c r="BV36">
        <v>1</v>
      </c>
      <c r="BW36">
        <v>1</v>
      </c>
      <c r="BX36">
        <v>1</v>
      </c>
      <c r="BY36" t="s">
        <v>3</v>
      </c>
      <c r="BZ36">
        <v>105</v>
      </c>
      <c r="CA36">
        <v>65</v>
      </c>
      <c r="CE36">
        <v>0</v>
      </c>
      <c r="CF36">
        <v>0</v>
      </c>
      <c r="CG36">
        <v>0</v>
      </c>
      <c r="CM36">
        <v>1</v>
      </c>
      <c r="CN36" t="s">
        <v>3</v>
      </c>
      <c r="CO36">
        <v>0</v>
      </c>
      <c r="CP36">
        <f t="shared" si="42"/>
        <v>13323.75</v>
      </c>
      <c r="CQ36">
        <f t="shared" si="43"/>
        <v>4441.25</v>
      </c>
      <c r="CR36">
        <f t="shared" si="44"/>
        <v>0</v>
      </c>
      <c r="CS36">
        <f t="shared" si="45"/>
        <v>0</v>
      </c>
      <c r="CT36">
        <f t="shared" si="46"/>
        <v>0</v>
      </c>
      <c r="CU36">
        <f t="shared" si="47"/>
        <v>0</v>
      </c>
      <c r="CV36">
        <f t="shared" si="47"/>
        <v>0</v>
      </c>
      <c r="CW36">
        <f t="shared" si="47"/>
        <v>0</v>
      </c>
      <c r="CX36">
        <f t="shared" si="47"/>
        <v>0</v>
      </c>
      <c r="CY36">
        <f t="shared" si="48"/>
        <v>0</v>
      </c>
      <c r="CZ36">
        <f t="shared" si="49"/>
        <v>0</v>
      </c>
      <c r="DC36" t="s">
        <v>3</v>
      </c>
      <c r="DD36" t="s">
        <v>3</v>
      </c>
      <c r="DE36" t="s">
        <v>3</v>
      </c>
      <c r="DF36" t="s">
        <v>3</v>
      </c>
      <c r="DG36" t="s">
        <v>3</v>
      </c>
      <c r="DH36" t="s">
        <v>3</v>
      </c>
      <c r="DI36" t="s">
        <v>3</v>
      </c>
      <c r="DJ36" t="s">
        <v>3</v>
      </c>
      <c r="DK36" t="s">
        <v>3</v>
      </c>
      <c r="DL36" t="s">
        <v>3</v>
      </c>
      <c r="DM36" t="s">
        <v>3</v>
      </c>
      <c r="DN36">
        <v>0</v>
      </c>
      <c r="DO36">
        <v>0</v>
      </c>
      <c r="DP36">
        <v>1</v>
      </c>
      <c r="DQ36">
        <v>1</v>
      </c>
      <c r="DU36">
        <v>1013</v>
      </c>
      <c r="DV36" t="s">
        <v>47</v>
      </c>
      <c r="DW36" t="s">
        <v>47</v>
      </c>
      <c r="DX36">
        <v>1</v>
      </c>
      <c r="EE36">
        <v>57161802</v>
      </c>
      <c r="EF36">
        <v>2</v>
      </c>
      <c r="EG36" t="s">
        <v>25</v>
      </c>
      <c r="EH36">
        <v>0</v>
      </c>
      <c r="EI36" t="s">
        <v>3</v>
      </c>
      <c r="EJ36">
        <v>1</v>
      </c>
      <c r="EK36">
        <v>6001</v>
      </c>
      <c r="EL36" t="s">
        <v>26</v>
      </c>
      <c r="EM36" t="s">
        <v>27</v>
      </c>
      <c r="EO36" t="s">
        <v>3</v>
      </c>
      <c r="EQ36">
        <v>0</v>
      </c>
      <c r="ER36">
        <v>4441.25</v>
      </c>
      <c r="ES36">
        <v>4441.25</v>
      </c>
      <c r="ET36">
        <v>0</v>
      </c>
      <c r="EU36">
        <v>0</v>
      </c>
      <c r="EV36">
        <v>0</v>
      </c>
      <c r="EW36">
        <v>0</v>
      </c>
      <c r="EX36">
        <v>0</v>
      </c>
      <c r="EZ36">
        <v>5</v>
      </c>
      <c r="FC36">
        <v>1</v>
      </c>
      <c r="FD36">
        <v>18</v>
      </c>
      <c r="FF36">
        <v>5225</v>
      </c>
      <c r="FQ36">
        <v>0</v>
      </c>
      <c r="FR36">
        <f t="shared" si="50"/>
        <v>0</v>
      </c>
      <c r="FS36">
        <v>0</v>
      </c>
      <c r="FX36">
        <v>105</v>
      </c>
      <c r="FY36">
        <v>65</v>
      </c>
      <c r="GA36" t="s">
        <v>48</v>
      </c>
      <c r="GD36">
        <v>1</v>
      </c>
      <c r="GF36">
        <v>-1565119468</v>
      </c>
      <c r="GG36">
        <v>2</v>
      </c>
      <c r="GH36">
        <v>3</v>
      </c>
      <c r="GI36">
        <v>-2</v>
      </c>
      <c r="GJ36">
        <v>0</v>
      </c>
      <c r="GK36">
        <v>0</v>
      </c>
      <c r="GL36">
        <f t="shared" si="51"/>
        <v>0</v>
      </c>
      <c r="GM36">
        <f t="shared" si="52"/>
        <v>13323.75</v>
      </c>
      <c r="GN36">
        <f t="shared" si="53"/>
        <v>13323.75</v>
      </c>
      <c r="GO36">
        <f t="shared" si="54"/>
        <v>0</v>
      </c>
      <c r="GP36">
        <f t="shared" si="55"/>
        <v>0</v>
      </c>
      <c r="GR36">
        <v>1</v>
      </c>
      <c r="GS36">
        <v>1</v>
      </c>
      <c r="GT36">
        <v>0</v>
      </c>
      <c r="GU36" t="s">
        <v>3</v>
      </c>
      <c r="GV36">
        <f t="shared" si="56"/>
        <v>0</v>
      </c>
      <c r="GW36">
        <v>1</v>
      </c>
      <c r="GX36">
        <f t="shared" si="57"/>
        <v>0</v>
      </c>
      <c r="HA36">
        <v>0</v>
      </c>
      <c r="HB36">
        <v>0</v>
      </c>
      <c r="HC36">
        <f t="shared" si="58"/>
        <v>0</v>
      </c>
      <c r="IK36">
        <v>0</v>
      </c>
    </row>
    <row r="37" spans="1:245" x14ac:dyDescent="0.2">
      <c r="A37">
        <v>17</v>
      </c>
      <c r="B37">
        <v>1</v>
      </c>
      <c r="C37">
        <f>ROW(SmtRes!A37)</f>
        <v>37</v>
      </c>
      <c r="D37">
        <f>ROW(EtalonRes!A35)</f>
        <v>35</v>
      </c>
      <c r="E37" t="s">
        <v>49</v>
      </c>
      <c r="F37" t="s">
        <v>50</v>
      </c>
      <c r="G37" t="s">
        <v>51</v>
      </c>
      <c r="H37" t="s">
        <v>52</v>
      </c>
      <c r="I37">
        <v>2</v>
      </c>
      <c r="J37">
        <v>0</v>
      </c>
      <c r="O37">
        <f t="shared" si="28"/>
        <v>15150.34</v>
      </c>
      <c r="P37">
        <f t="shared" si="29"/>
        <v>2705.37</v>
      </c>
      <c r="Q37">
        <f t="shared" si="30"/>
        <v>1098.3699999999999</v>
      </c>
      <c r="R37">
        <f t="shared" si="31"/>
        <v>239.52</v>
      </c>
      <c r="S37">
        <f t="shared" si="32"/>
        <v>11346.6</v>
      </c>
      <c r="T37">
        <f t="shared" si="33"/>
        <v>0</v>
      </c>
      <c r="U37">
        <f t="shared" si="34"/>
        <v>41.8</v>
      </c>
      <c r="V37">
        <f t="shared" si="35"/>
        <v>0.6</v>
      </c>
      <c r="W37">
        <f t="shared" si="36"/>
        <v>0</v>
      </c>
      <c r="X37">
        <f t="shared" si="37"/>
        <v>9268.9</v>
      </c>
      <c r="Y37">
        <f t="shared" si="37"/>
        <v>6951.67</v>
      </c>
      <c r="AA37">
        <v>59844155</v>
      </c>
      <c r="AB37">
        <f t="shared" si="38"/>
        <v>518.99</v>
      </c>
      <c r="AC37">
        <f t="shared" si="39"/>
        <v>246.84</v>
      </c>
      <c r="AD37">
        <f t="shared" si="59"/>
        <v>80.290000000000006</v>
      </c>
      <c r="AE37">
        <f t="shared" si="60"/>
        <v>4.05</v>
      </c>
      <c r="AF37">
        <f t="shared" si="60"/>
        <v>191.86</v>
      </c>
      <c r="AG37">
        <f t="shared" si="40"/>
        <v>0</v>
      </c>
      <c r="AH37">
        <f t="shared" si="61"/>
        <v>20.9</v>
      </c>
      <c r="AI37">
        <f t="shared" si="61"/>
        <v>0.3</v>
      </c>
      <c r="AJ37">
        <f t="shared" si="41"/>
        <v>0</v>
      </c>
      <c r="AK37">
        <v>518.99</v>
      </c>
      <c r="AL37">
        <v>246.84</v>
      </c>
      <c r="AM37">
        <v>80.290000000000006</v>
      </c>
      <c r="AN37">
        <v>4.05</v>
      </c>
      <c r="AO37">
        <v>191.86</v>
      </c>
      <c r="AP37">
        <v>0</v>
      </c>
      <c r="AQ37">
        <v>20.9</v>
      </c>
      <c r="AR37">
        <v>0.3</v>
      </c>
      <c r="AS37">
        <v>0</v>
      </c>
      <c r="AT37">
        <v>80</v>
      </c>
      <c r="AU37">
        <v>60</v>
      </c>
      <c r="AV37">
        <v>1</v>
      </c>
      <c r="AW37">
        <v>1</v>
      </c>
      <c r="AZ37">
        <v>1</v>
      </c>
      <c r="BA37">
        <v>29.57</v>
      </c>
      <c r="BB37">
        <v>6.84</v>
      </c>
      <c r="BC37">
        <v>5.48</v>
      </c>
      <c r="BD37" t="s">
        <v>3</v>
      </c>
      <c r="BE37" t="s">
        <v>3</v>
      </c>
      <c r="BF37" t="s">
        <v>3</v>
      </c>
      <c r="BG37" t="s">
        <v>3</v>
      </c>
      <c r="BH37">
        <v>0</v>
      </c>
      <c r="BI37">
        <v>2</v>
      </c>
      <c r="BJ37" t="s">
        <v>53</v>
      </c>
      <c r="BM37">
        <v>137001</v>
      </c>
      <c r="BN37">
        <v>0</v>
      </c>
      <c r="BO37" t="s">
        <v>50</v>
      </c>
      <c r="BP37">
        <v>1</v>
      </c>
      <c r="BQ37">
        <v>3</v>
      </c>
      <c r="BR37">
        <v>0</v>
      </c>
      <c r="BS37">
        <v>29.57</v>
      </c>
      <c r="BT37">
        <v>1</v>
      </c>
      <c r="BU37">
        <v>1</v>
      </c>
      <c r="BV37">
        <v>1</v>
      </c>
      <c r="BW37">
        <v>1</v>
      </c>
      <c r="BX37">
        <v>1</v>
      </c>
      <c r="BY37" t="s">
        <v>3</v>
      </c>
      <c r="BZ37">
        <v>80</v>
      </c>
      <c r="CA37">
        <v>60</v>
      </c>
      <c r="CE37">
        <v>0</v>
      </c>
      <c r="CF37">
        <v>0</v>
      </c>
      <c r="CG37">
        <v>0</v>
      </c>
      <c r="CM37">
        <v>1</v>
      </c>
      <c r="CN37" t="s">
        <v>3</v>
      </c>
      <c r="CO37">
        <v>0</v>
      </c>
      <c r="CP37">
        <f t="shared" si="42"/>
        <v>15150.34</v>
      </c>
      <c r="CQ37">
        <f t="shared" si="43"/>
        <v>1352.6832000000002</v>
      </c>
      <c r="CR37">
        <f t="shared" si="44"/>
        <v>549.18360000000007</v>
      </c>
      <c r="CS37">
        <f t="shared" si="45"/>
        <v>119.7585</v>
      </c>
      <c r="CT37">
        <f t="shared" si="46"/>
        <v>5673.3002000000006</v>
      </c>
      <c r="CU37">
        <f t="shared" si="47"/>
        <v>0</v>
      </c>
      <c r="CV37">
        <f t="shared" si="47"/>
        <v>20.9</v>
      </c>
      <c r="CW37">
        <f t="shared" si="47"/>
        <v>0.3</v>
      </c>
      <c r="CX37">
        <f t="shared" si="47"/>
        <v>0</v>
      </c>
      <c r="CY37">
        <f t="shared" si="48"/>
        <v>9268.8960000000006</v>
      </c>
      <c r="CZ37">
        <f t="shared" si="49"/>
        <v>6951.6720000000005</v>
      </c>
      <c r="DC37" t="s">
        <v>3</v>
      </c>
      <c r="DD37" t="s">
        <v>3</v>
      </c>
      <c r="DE37" t="s">
        <v>3</v>
      </c>
      <c r="DF37" t="s">
        <v>3</v>
      </c>
      <c r="DG37" t="s">
        <v>3</v>
      </c>
      <c r="DH37" t="s">
        <v>3</v>
      </c>
      <c r="DI37" t="s">
        <v>3</v>
      </c>
      <c r="DJ37" t="s">
        <v>3</v>
      </c>
      <c r="DK37" t="s">
        <v>3</v>
      </c>
      <c r="DL37" t="s">
        <v>3</v>
      </c>
      <c r="DM37" t="s">
        <v>3</v>
      </c>
      <c r="DN37">
        <v>0</v>
      </c>
      <c r="DO37">
        <v>0</v>
      </c>
      <c r="DP37">
        <v>1</v>
      </c>
      <c r="DQ37">
        <v>1</v>
      </c>
      <c r="DU37">
        <v>1013</v>
      </c>
      <c r="DV37" t="s">
        <v>52</v>
      </c>
      <c r="DW37" t="s">
        <v>52</v>
      </c>
      <c r="DX37">
        <v>1</v>
      </c>
      <c r="EE37">
        <v>57161734</v>
      </c>
      <c r="EF37">
        <v>3</v>
      </c>
      <c r="EG37" t="s">
        <v>54</v>
      </c>
      <c r="EH37">
        <v>0</v>
      </c>
      <c r="EI37" t="s">
        <v>3</v>
      </c>
      <c r="EJ37">
        <v>2</v>
      </c>
      <c r="EK37">
        <v>137001</v>
      </c>
      <c r="EL37" t="s">
        <v>55</v>
      </c>
      <c r="EM37" t="s">
        <v>56</v>
      </c>
      <c r="EO37" t="s">
        <v>3</v>
      </c>
      <c r="EQ37">
        <v>0</v>
      </c>
      <c r="ER37">
        <v>518.99</v>
      </c>
      <c r="ES37">
        <v>246.84</v>
      </c>
      <c r="ET37">
        <v>80.290000000000006</v>
      </c>
      <c r="EU37">
        <v>4.05</v>
      </c>
      <c r="EV37">
        <v>191.86</v>
      </c>
      <c r="EW37">
        <v>20.9</v>
      </c>
      <c r="EX37">
        <v>0.3</v>
      </c>
      <c r="EY37">
        <v>0</v>
      </c>
      <c r="FQ37">
        <v>0</v>
      </c>
      <c r="FR37">
        <f t="shared" si="50"/>
        <v>0</v>
      </c>
      <c r="FS37">
        <v>0</v>
      </c>
      <c r="FX37">
        <v>80</v>
      </c>
      <c r="FY37">
        <v>60</v>
      </c>
      <c r="GA37" t="s">
        <v>3</v>
      </c>
      <c r="GD37">
        <v>1</v>
      </c>
      <c r="GF37">
        <v>76812429</v>
      </c>
      <c r="GG37">
        <v>2</v>
      </c>
      <c r="GH37">
        <v>1</v>
      </c>
      <c r="GI37">
        <v>2</v>
      </c>
      <c r="GJ37">
        <v>0</v>
      </c>
      <c r="GK37">
        <v>0</v>
      </c>
      <c r="GL37">
        <f t="shared" si="51"/>
        <v>0</v>
      </c>
      <c r="GM37">
        <f t="shared" si="52"/>
        <v>31370.91</v>
      </c>
      <c r="GN37">
        <f t="shared" si="53"/>
        <v>0</v>
      </c>
      <c r="GO37">
        <f t="shared" si="54"/>
        <v>31370.91</v>
      </c>
      <c r="GP37">
        <f t="shared" si="55"/>
        <v>0</v>
      </c>
      <c r="GR37">
        <v>0</v>
      </c>
      <c r="GS37">
        <v>3</v>
      </c>
      <c r="GT37">
        <v>0</v>
      </c>
      <c r="GU37" t="s">
        <v>3</v>
      </c>
      <c r="GV37">
        <f t="shared" si="56"/>
        <v>0</v>
      </c>
      <c r="GW37">
        <v>1</v>
      </c>
      <c r="GX37">
        <f t="shared" si="57"/>
        <v>0</v>
      </c>
      <c r="HA37">
        <v>0</v>
      </c>
      <c r="HB37">
        <v>0</v>
      </c>
      <c r="HC37">
        <f t="shared" si="58"/>
        <v>0</v>
      </c>
      <c r="IK37">
        <v>0</v>
      </c>
    </row>
    <row r="38" spans="1:245" x14ac:dyDescent="0.2">
      <c r="A38">
        <v>17</v>
      </c>
      <c r="B38">
        <v>1</v>
      </c>
      <c r="E38" t="s">
        <v>57</v>
      </c>
      <c r="F38" t="s">
        <v>58</v>
      </c>
      <c r="G38" t="s">
        <v>59</v>
      </c>
      <c r="H38" t="s">
        <v>60</v>
      </c>
      <c r="I38">
        <v>2</v>
      </c>
      <c r="J38">
        <v>0</v>
      </c>
      <c r="O38">
        <f t="shared" si="28"/>
        <v>3487217.08</v>
      </c>
      <c r="P38">
        <f t="shared" si="29"/>
        <v>3487217.08</v>
      </c>
      <c r="Q38">
        <f t="shared" si="30"/>
        <v>0</v>
      </c>
      <c r="R38">
        <f t="shared" si="31"/>
        <v>0</v>
      </c>
      <c r="S38">
        <f t="shared" si="32"/>
        <v>0</v>
      </c>
      <c r="T38">
        <f t="shared" si="33"/>
        <v>0</v>
      </c>
      <c r="U38">
        <f t="shared" si="34"/>
        <v>0</v>
      </c>
      <c r="V38">
        <f t="shared" si="35"/>
        <v>0</v>
      </c>
      <c r="W38">
        <f t="shared" si="36"/>
        <v>0</v>
      </c>
      <c r="X38">
        <f t="shared" si="37"/>
        <v>0</v>
      </c>
      <c r="Y38">
        <f t="shared" si="37"/>
        <v>0</v>
      </c>
      <c r="AA38">
        <v>59844155</v>
      </c>
      <c r="AB38">
        <f t="shared" si="38"/>
        <v>1743608.54</v>
      </c>
      <c r="AC38">
        <f t="shared" si="39"/>
        <v>1743608.54</v>
      </c>
      <c r="AD38">
        <f t="shared" si="59"/>
        <v>0</v>
      </c>
      <c r="AE38">
        <f t="shared" si="60"/>
        <v>0</v>
      </c>
      <c r="AF38">
        <f t="shared" si="60"/>
        <v>0</v>
      </c>
      <c r="AG38">
        <f t="shared" si="40"/>
        <v>0</v>
      </c>
      <c r="AH38">
        <f t="shared" si="61"/>
        <v>0</v>
      </c>
      <c r="AI38">
        <f t="shared" si="61"/>
        <v>0</v>
      </c>
      <c r="AJ38">
        <f t="shared" si="41"/>
        <v>0</v>
      </c>
      <c r="AK38">
        <v>1743608.5399999998</v>
      </c>
      <c r="AL38">
        <v>1743608.5399999998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1</v>
      </c>
      <c r="AW38">
        <v>1</v>
      </c>
      <c r="AZ38">
        <v>1</v>
      </c>
      <c r="BA38">
        <v>1</v>
      </c>
      <c r="BB38">
        <v>1</v>
      </c>
      <c r="BC38">
        <v>1</v>
      </c>
      <c r="BD38" t="s">
        <v>3</v>
      </c>
      <c r="BE38" t="s">
        <v>3</v>
      </c>
      <c r="BF38" t="s">
        <v>3</v>
      </c>
      <c r="BG38" t="s">
        <v>3</v>
      </c>
      <c r="BH38">
        <v>3</v>
      </c>
      <c r="BI38">
        <v>3</v>
      </c>
      <c r="BJ38" t="s">
        <v>3</v>
      </c>
      <c r="BM38">
        <v>100</v>
      </c>
      <c r="BN38">
        <v>0</v>
      </c>
      <c r="BO38" t="s">
        <v>3</v>
      </c>
      <c r="BP38">
        <v>0</v>
      </c>
      <c r="BQ38">
        <v>5</v>
      </c>
      <c r="BR38">
        <v>0</v>
      </c>
      <c r="BS38">
        <v>1</v>
      </c>
      <c r="BT38">
        <v>1</v>
      </c>
      <c r="BU38">
        <v>1</v>
      </c>
      <c r="BV38">
        <v>1</v>
      </c>
      <c r="BW38">
        <v>1</v>
      </c>
      <c r="BX38">
        <v>1</v>
      </c>
      <c r="BY38" t="s">
        <v>3</v>
      </c>
      <c r="BZ38">
        <v>0</v>
      </c>
      <c r="CA38">
        <v>0</v>
      </c>
      <c r="CE38">
        <v>0</v>
      </c>
      <c r="CF38">
        <v>0</v>
      </c>
      <c r="CG38">
        <v>0</v>
      </c>
      <c r="CM38">
        <v>1</v>
      </c>
      <c r="CN38" t="s">
        <v>3</v>
      </c>
      <c r="CO38">
        <v>0</v>
      </c>
      <c r="CP38">
        <f t="shared" si="42"/>
        <v>3487217.08</v>
      </c>
      <c r="CQ38">
        <f t="shared" si="43"/>
        <v>1743608.54</v>
      </c>
      <c r="CR38">
        <f t="shared" si="44"/>
        <v>0</v>
      </c>
      <c r="CS38">
        <f t="shared" si="45"/>
        <v>0</v>
      </c>
      <c r="CT38">
        <f t="shared" si="46"/>
        <v>0</v>
      </c>
      <c r="CU38">
        <f t="shared" si="47"/>
        <v>0</v>
      </c>
      <c r="CV38">
        <f t="shared" si="47"/>
        <v>0</v>
      </c>
      <c r="CW38">
        <f t="shared" si="47"/>
        <v>0</v>
      </c>
      <c r="CX38">
        <f t="shared" si="47"/>
        <v>0</v>
      </c>
      <c r="CY38">
        <f>0</f>
        <v>0</v>
      </c>
      <c r="CZ38">
        <f>0</f>
        <v>0</v>
      </c>
      <c r="DC38" t="s">
        <v>3</v>
      </c>
      <c r="DD38" t="s">
        <v>3</v>
      </c>
      <c r="DE38" t="s">
        <v>3</v>
      </c>
      <c r="DF38" t="s">
        <v>3</v>
      </c>
      <c r="DG38" t="s">
        <v>3</v>
      </c>
      <c r="DH38" t="s">
        <v>3</v>
      </c>
      <c r="DI38" t="s">
        <v>3</v>
      </c>
      <c r="DJ38" t="s">
        <v>3</v>
      </c>
      <c r="DK38" t="s">
        <v>3</v>
      </c>
      <c r="DL38" t="s">
        <v>3</v>
      </c>
      <c r="DM38" t="s">
        <v>3</v>
      </c>
      <c r="DN38">
        <v>0</v>
      </c>
      <c r="DO38">
        <v>0</v>
      </c>
      <c r="DP38">
        <v>1</v>
      </c>
      <c r="DQ38">
        <v>1</v>
      </c>
      <c r="DU38">
        <v>1013</v>
      </c>
      <c r="DV38" t="s">
        <v>60</v>
      </c>
      <c r="DW38" t="s">
        <v>60</v>
      </c>
      <c r="DX38">
        <v>1</v>
      </c>
      <c r="EE38">
        <v>57161983</v>
      </c>
      <c r="EF38">
        <v>5</v>
      </c>
      <c r="EG38" t="s">
        <v>61</v>
      </c>
      <c r="EH38">
        <v>0</v>
      </c>
      <c r="EI38" t="s">
        <v>3</v>
      </c>
      <c r="EJ38">
        <v>3</v>
      </c>
      <c r="EK38">
        <v>100</v>
      </c>
      <c r="EL38" t="s">
        <v>62</v>
      </c>
      <c r="EM38" t="s">
        <v>63</v>
      </c>
      <c r="EO38" t="s">
        <v>3</v>
      </c>
      <c r="EQ38">
        <v>0</v>
      </c>
      <c r="ER38">
        <v>1743608.5399999998</v>
      </c>
      <c r="ES38">
        <v>1743608.5399999998</v>
      </c>
      <c r="ET38">
        <v>0</v>
      </c>
      <c r="EU38">
        <v>0</v>
      </c>
      <c r="EV38">
        <v>0</v>
      </c>
      <c r="EW38">
        <v>0</v>
      </c>
      <c r="EX38">
        <v>0</v>
      </c>
      <c r="EY38">
        <v>0</v>
      </c>
      <c r="EZ38">
        <v>5</v>
      </c>
      <c r="FC38">
        <v>1</v>
      </c>
      <c r="FD38">
        <v>18</v>
      </c>
      <c r="FF38">
        <v>1988000</v>
      </c>
      <c r="FQ38">
        <v>0</v>
      </c>
      <c r="FR38">
        <f t="shared" si="50"/>
        <v>3487217.08</v>
      </c>
      <c r="FS38">
        <v>0</v>
      </c>
      <c r="FX38">
        <v>0</v>
      </c>
      <c r="FY38">
        <v>0</v>
      </c>
      <c r="GA38" t="s">
        <v>64</v>
      </c>
      <c r="GD38">
        <v>1</v>
      </c>
      <c r="GF38">
        <v>-1476099311</v>
      </c>
      <c r="GG38">
        <v>2</v>
      </c>
      <c r="GH38">
        <v>3</v>
      </c>
      <c r="GI38">
        <v>-2</v>
      </c>
      <c r="GJ38">
        <v>0</v>
      </c>
      <c r="GK38">
        <v>0</v>
      </c>
      <c r="GL38">
        <f t="shared" si="51"/>
        <v>0</v>
      </c>
      <c r="GM38">
        <f t="shared" si="52"/>
        <v>3487217.08</v>
      </c>
      <c r="GN38">
        <f t="shared" si="53"/>
        <v>0</v>
      </c>
      <c r="GO38">
        <f t="shared" si="54"/>
        <v>0</v>
      </c>
      <c r="GP38">
        <f t="shared" si="55"/>
        <v>0</v>
      </c>
      <c r="GR38">
        <v>1</v>
      </c>
      <c r="GS38">
        <v>1</v>
      </c>
      <c r="GT38">
        <v>0</v>
      </c>
      <c r="GU38" t="s">
        <v>3</v>
      </c>
      <c r="GV38">
        <f t="shared" si="56"/>
        <v>0</v>
      </c>
      <c r="GW38">
        <v>1</v>
      </c>
      <c r="GX38">
        <f t="shared" si="57"/>
        <v>0</v>
      </c>
      <c r="HA38">
        <v>0</v>
      </c>
      <c r="HB38">
        <v>0</v>
      </c>
      <c r="HC38">
        <f t="shared" si="58"/>
        <v>0</v>
      </c>
      <c r="IK38">
        <v>0</v>
      </c>
    </row>
    <row r="39" spans="1:245" x14ac:dyDescent="0.2">
      <c r="A39">
        <v>17</v>
      </c>
      <c r="B39">
        <v>1</v>
      </c>
      <c r="E39" t="s">
        <v>65</v>
      </c>
      <c r="F39" t="s">
        <v>45</v>
      </c>
      <c r="G39" t="s">
        <v>66</v>
      </c>
      <c r="H39" t="s">
        <v>47</v>
      </c>
      <c r="I39">
        <v>1.2</v>
      </c>
      <c r="J39">
        <v>0</v>
      </c>
      <c r="O39">
        <f t="shared" si="28"/>
        <v>5329.5</v>
      </c>
      <c r="P39">
        <f t="shared" si="29"/>
        <v>5329.5</v>
      </c>
      <c r="Q39">
        <f t="shared" si="30"/>
        <v>0</v>
      </c>
      <c r="R39">
        <f t="shared" si="31"/>
        <v>0</v>
      </c>
      <c r="S39">
        <f t="shared" si="32"/>
        <v>0</v>
      </c>
      <c r="T39">
        <f t="shared" si="33"/>
        <v>0</v>
      </c>
      <c r="U39">
        <f t="shared" si="34"/>
        <v>0</v>
      </c>
      <c r="V39">
        <f t="shared" si="35"/>
        <v>0</v>
      </c>
      <c r="W39">
        <f t="shared" si="36"/>
        <v>0</v>
      </c>
      <c r="X39">
        <f t="shared" si="37"/>
        <v>0</v>
      </c>
      <c r="Y39">
        <f t="shared" si="37"/>
        <v>0</v>
      </c>
      <c r="AA39">
        <v>59844155</v>
      </c>
      <c r="AB39">
        <f t="shared" si="38"/>
        <v>4441.25</v>
      </c>
      <c r="AC39">
        <f t="shared" si="39"/>
        <v>4441.25</v>
      </c>
      <c r="AD39">
        <f t="shared" si="59"/>
        <v>0</v>
      </c>
      <c r="AE39">
        <f t="shared" si="60"/>
        <v>0</v>
      </c>
      <c r="AF39">
        <f t="shared" si="60"/>
        <v>0</v>
      </c>
      <c r="AG39">
        <f t="shared" si="40"/>
        <v>0</v>
      </c>
      <c r="AH39">
        <f t="shared" si="61"/>
        <v>0</v>
      </c>
      <c r="AI39">
        <f t="shared" si="61"/>
        <v>0</v>
      </c>
      <c r="AJ39">
        <f t="shared" si="41"/>
        <v>0</v>
      </c>
      <c r="AK39">
        <v>4441.25</v>
      </c>
      <c r="AL39">
        <v>4441.25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105</v>
      </c>
      <c r="AU39">
        <v>65</v>
      </c>
      <c r="AV39">
        <v>1</v>
      </c>
      <c r="AW39">
        <v>1</v>
      </c>
      <c r="AZ39">
        <v>1</v>
      </c>
      <c r="BA39">
        <v>1</v>
      </c>
      <c r="BB39">
        <v>1</v>
      </c>
      <c r="BC39">
        <v>1</v>
      </c>
      <c r="BD39" t="s">
        <v>3</v>
      </c>
      <c r="BE39" t="s">
        <v>3</v>
      </c>
      <c r="BF39" t="s">
        <v>3</v>
      </c>
      <c r="BG39" t="s">
        <v>3</v>
      </c>
      <c r="BH39">
        <v>3</v>
      </c>
      <c r="BI39">
        <v>1</v>
      </c>
      <c r="BJ39" t="s">
        <v>3</v>
      </c>
      <c r="BM39">
        <v>6001</v>
      </c>
      <c r="BN39">
        <v>0</v>
      </c>
      <c r="BO39" t="s">
        <v>3</v>
      </c>
      <c r="BP39">
        <v>0</v>
      </c>
      <c r="BQ39">
        <v>2</v>
      </c>
      <c r="BR39">
        <v>0</v>
      </c>
      <c r="BS39">
        <v>1</v>
      </c>
      <c r="BT39">
        <v>1</v>
      </c>
      <c r="BU39">
        <v>1</v>
      </c>
      <c r="BV39">
        <v>1</v>
      </c>
      <c r="BW39">
        <v>1</v>
      </c>
      <c r="BX39">
        <v>1</v>
      </c>
      <c r="BY39" t="s">
        <v>3</v>
      </c>
      <c r="BZ39">
        <v>105</v>
      </c>
      <c r="CA39">
        <v>65</v>
      </c>
      <c r="CE39">
        <v>0</v>
      </c>
      <c r="CF39">
        <v>0</v>
      </c>
      <c r="CG39">
        <v>0</v>
      </c>
      <c r="CM39">
        <v>1</v>
      </c>
      <c r="CN39" t="s">
        <v>3</v>
      </c>
      <c r="CO39">
        <v>0</v>
      </c>
      <c r="CP39">
        <f t="shared" si="42"/>
        <v>5329.5</v>
      </c>
      <c r="CQ39">
        <f t="shared" si="43"/>
        <v>4441.25</v>
      </c>
      <c r="CR39">
        <f t="shared" si="44"/>
        <v>0</v>
      </c>
      <c r="CS39">
        <f t="shared" si="45"/>
        <v>0</v>
      </c>
      <c r="CT39">
        <f t="shared" si="46"/>
        <v>0</v>
      </c>
      <c r="CU39">
        <f t="shared" si="47"/>
        <v>0</v>
      </c>
      <c r="CV39">
        <f t="shared" si="47"/>
        <v>0</v>
      </c>
      <c r="CW39">
        <f t="shared" si="47"/>
        <v>0</v>
      </c>
      <c r="CX39">
        <f t="shared" si="47"/>
        <v>0</v>
      </c>
      <c r="CY39">
        <f>(((S39+R39)*AT39)/100)</f>
        <v>0</v>
      </c>
      <c r="CZ39">
        <f>(((S39+R39)*AU39)/100)</f>
        <v>0</v>
      </c>
      <c r="DC39" t="s">
        <v>3</v>
      </c>
      <c r="DD39" t="s">
        <v>3</v>
      </c>
      <c r="DE39" t="s">
        <v>3</v>
      </c>
      <c r="DF39" t="s">
        <v>3</v>
      </c>
      <c r="DG39" t="s">
        <v>3</v>
      </c>
      <c r="DH39" t="s">
        <v>3</v>
      </c>
      <c r="DI39" t="s">
        <v>3</v>
      </c>
      <c r="DJ39" t="s">
        <v>3</v>
      </c>
      <c r="DK39" t="s">
        <v>3</v>
      </c>
      <c r="DL39" t="s">
        <v>3</v>
      </c>
      <c r="DM39" t="s">
        <v>3</v>
      </c>
      <c r="DN39">
        <v>0</v>
      </c>
      <c r="DO39">
        <v>0</v>
      </c>
      <c r="DP39">
        <v>1</v>
      </c>
      <c r="DQ39">
        <v>1</v>
      </c>
      <c r="DU39">
        <v>1013</v>
      </c>
      <c r="DV39" t="s">
        <v>47</v>
      </c>
      <c r="DW39" t="s">
        <v>47</v>
      </c>
      <c r="DX39">
        <v>1</v>
      </c>
      <c r="EE39">
        <v>57161802</v>
      </c>
      <c r="EF39">
        <v>2</v>
      </c>
      <c r="EG39" t="s">
        <v>25</v>
      </c>
      <c r="EH39">
        <v>0</v>
      </c>
      <c r="EI39" t="s">
        <v>3</v>
      </c>
      <c r="EJ39">
        <v>1</v>
      </c>
      <c r="EK39">
        <v>6001</v>
      </c>
      <c r="EL39" t="s">
        <v>26</v>
      </c>
      <c r="EM39" t="s">
        <v>27</v>
      </c>
      <c r="EO39" t="s">
        <v>3</v>
      </c>
      <c r="EQ39">
        <v>0</v>
      </c>
      <c r="ER39">
        <v>4441.25</v>
      </c>
      <c r="ES39">
        <v>4441.25</v>
      </c>
      <c r="ET39">
        <v>0</v>
      </c>
      <c r="EU39">
        <v>0</v>
      </c>
      <c r="EV39">
        <v>0</v>
      </c>
      <c r="EW39">
        <v>0</v>
      </c>
      <c r="EX39">
        <v>0</v>
      </c>
      <c r="EY39">
        <v>0</v>
      </c>
      <c r="EZ39">
        <v>5</v>
      </c>
      <c r="FC39">
        <v>1</v>
      </c>
      <c r="FD39">
        <v>18</v>
      </c>
      <c r="FF39">
        <v>5225</v>
      </c>
      <c r="FQ39">
        <v>0</v>
      </c>
      <c r="FR39">
        <f t="shared" si="50"/>
        <v>0</v>
      </c>
      <c r="FS39">
        <v>0</v>
      </c>
      <c r="FX39">
        <v>105</v>
      </c>
      <c r="FY39">
        <v>65</v>
      </c>
      <c r="GA39" t="s">
        <v>48</v>
      </c>
      <c r="GD39">
        <v>1</v>
      </c>
      <c r="GF39">
        <v>1914384334</v>
      </c>
      <c r="GG39">
        <v>2</v>
      </c>
      <c r="GH39">
        <v>3</v>
      </c>
      <c r="GI39">
        <v>-2</v>
      </c>
      <c r="GJ39">
        <v>0</v>
      </c>
      <c r="GK39">
        <v>0</v>
      </c>
      <c r="GL39">
        <f t="shared" si="51"/>
        <v>0</v>
      </c>
      <c r="GM39">
        <f t="shared" si="52"/>
        <v>5329.5</v>
      </c>
      <c r="GN39">
        <f t="shared" si="53"/>
        <v>5329.5</v>
      </c>
      <c r="GO39">
        <f t="shared" si="54"/>
        <v>0</v>
      </c>
      <c r="GP39">
        <f t="shared" si="55"/>
        <v>0</v>
      </c>
      <c r="GR39">
        <v>1</v>
      </c>
      <c r="GS39">
        <v>1</v>
      </c>
      <c r="GT39">
        <v>0</v>
      </c>
      <c r="GU39" t="s">
        <v>3</v>
      </c>
      <c r="GV39">
        <f t="shared" si="56"/>
        <v>0</v>
      </c>
      <c r="GW39">
        <v>1</v>
      </c>
      <c r="GX39">
        <f t="shared" si="57"/>
        <v>0</v>
      </c>
      <c r="HA39">
        <v>0</v>
      </c>
      <c r="HB39">
        <v>0</v>
      </c>
      <c r="HC39">
        <f t="shared" si="58"/>
        <v>0</v>
      </c>
      <c r="IK39">
        <v>0</v>
      </c>
    </row>
    <row r="41" spans="1:245" x14ac:dyDescent="0.2">
      <c r="A41" s="2">
        <v>51</v>
      </c>
      <c r="B41" s="2">
        <f>B28</f>
        <v>1</v>
      </c>
      <c r="C41" s="2">
        <f>A28</f>
        <v>5</v>
      </c>
      <c r="D41" s="2">
        <f>ROW(A28)</f>
        <v>28</v>
      </c>
      <c r="E41" s="2"/>
      <c r="F41" s="2" t="str">
        <f>IF(F28&lt;&gt;"",F28,"")</f>
        <v>Новый подраздел</v>
      </c>
      <c r="G41" s="2" t="str">
        <f>IF(G28&lt;&gt;"",G28,"")</f>
        <v>Пусковая часть 2</v>
      </c>
      <c r="H41" s="2">
        <v>0</v>
      </c>
      <c r="I41" s="2"/>
      <c r="J41" s="2"/>
      <c r="K41" s="2"/>
      <c r="L41" s="2"/>
      <c r="M41" s="2"/>
      <c r="N41" s="2"/>
      <c r="O41" s="2">
        <f t="shared" ref="O41:T41" si="62">ROUND(AB41,2)</f>
        <v>3527006.18</v>
      </c>
      <c r="P41" s="2">
        <f t="shared" si="62"/>
        <v>3509853.7</v>
      </c>
      <c r="Q41" s="2">
        <f t="shared" si="62"/>
        <v>1956.28</v>
      </c>
      <c r="R41" s="2">
        <f t="shared" si="62"/>
        <v>591.16999999999996</v>
      </c>
      <c r="S41" s="2">
        <f t="shared" si="62"/>
        <v>15196.2</v>
      </c>
      <c r="T41" s="2">
        <f t="shared" si="62"/>
        <v>0</v>
      </c>
      <c r="U41" s="2">
        <f>AH41</f>
        <v>57.188379999999995</v>
      </c>
      <c r="V41" s="2">
        <f>AI41</f>
        <v>1.483525</v>
      </c>
      <c r="W41" s="2">
        <f>ROUND(AJ41,2)</f>
        <v>0.75</v>
      </c>
      <c r="X41" s="2">
        <f>ROUND(AK41,2)</f>
        <v>13680.21</v>
      </c>
      <c r="Y41" s="2">
        <f>ROUND(AL41,2)</f>
        <v>9682.48</v>
      </c>
      <c r="Z41" s="2"/>
      <c r="AA41" s="2"/>
      <c r="AB41" s="2">
        <f>ROUND(SUMIF(AA32:AA39,"=59844155",O32:O39),2)</f>
        <v>3527006.18</v>
      </c>
      <c r="AC41" s="2">
        <f>ROUND(SUMIF(AA32:AA39,"=59844155",P32:P39),2)</f>
        <v>3509853.7</v>
      </c>
      <c r="AD41" s="2">
        <f>ROUND(SUMIF(AA32:AA39,"=59844155",Q32:Q39),2)</f>
        <v>1956.28</v>
      </c>
      <c r="AE41" s="2">
        <f>ROUND(SUMIF(AA32:AA39,"=59844155",R32:R39),2)</f>
        <v>591.16999999999996</v>
      </c>
      <c r="AF41" s="2">
        <f>ROUND(SUMIF(AA32:AA39,"=59844155",S32:S39),2)</f>
        <v>15196.2</v>
      </c>
      <c r="AG41" s="2">
        <f>ROUND(SUMIF(AA32:AA39,"=59844155",T32:T39),2)</f>
        <v>0</v>
      </c>
      <c r="AH41" s="2">
        <f>SUMIF(AA32:AA39,"=59844155",U32:U39)</f>
        <v>57.188379999999995</v>
      </c>
      <c r="AI41" s="2">
        <f>SUMIF(AA32:AA39,"=59844155",V32:V39)</f>
        <v>1.483525</v>
      </c>
      <c r="AJ41" s="2">
        <f>ROUND(SUMIF(AA32:AA39,"=59844155",W32:W39),2)</f>
        <v>0.75</v>
      </c>
      <c r="AK41" s="2">
        <f>ROUND(SUMIF(AA32:AA39,"=59844155",X32:X39),2)</f>
        <v>13680.21</v>
      </c>
      <c r="AL41" s="2">
        <f>ROUND(SUMIF(AA32:AA39,"=59844155",Y32:Y39),2)</f>
        <v>9682.48</v>
      </c>
      <c r="AM41" s="2"/>
      <c r="AN41" s="2"/>
      <c r="AO41" s="2">
        <f t="shared" ref="AO41:BD41" si="63">ROUND(BX41,2)</f>
        <v>0</v>
      </c>
      <c r="AP41" s="2">
        <f t="shared" si="63"/>
        <v>3487217.08</v>
      </c>
      <c r="AQ41" s="2">
        <f t="shared" si="63"/>
        <v>0</v>
      </c>
      <c r="AR41" s="2">
        <f t="shared" si="63"/>
        <v>3550368.87</v>
      </c>
      <c r="AS41" s="2">
        <f t="shared" si="63"/>
        <v>31780.880000000001</v>
      </c>
      <c r="AT41" s="2">
        <f t="shared" si="63"/>
        <v>31370.91</v>
      </c>
      <c r="AU41" s="2">
        <f t="shared" si="63"/>
        <v>0</v>
      </c>
      <c r="AV41" s="2">
        <f t="shared" si="63"/>
        <v>3509853.7</v>
      </c>
      <c r="AW41" s="2">
        <f t="shared" si="63"/>
        <v>22636.62</v>
      </c>
      <c r="AX41" s="2">
        <f t="shared" si="63"/>
        <v>0</v>
      </c>
      <c r="AY41" s="2">
        <f t="shared" si="63"/>
        <v>22636.62</v>
      </c>
      <c r="AZ41" s="2">
        <f t="shared" si="63"/>
        <v>3487217.08</v>
      </c>
      <c r="BA41" s="2">
        <f t="shared" si="63"/>
        <v>0</v>
      </c>
      <c r="BB41" s="2">
        <f t="shared" si="63"/>
        <v>0</v>
      </c>
      <c r="BC41" s="2">
        <f t="shared" si="63"/>
        <v>0</v>
      </c>
      <c r="BD41" s="2">
        <f t="shared" si="63"/>
        <v>0</v>
      </c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>
        <f>ROUND(SUMIF(AA32:AA39,"=59844155",FQ32:FQ39),2)</f>
        <v>0</v>
      </c>
      <c r="BY41" s="2">
        <f>ROUND(SUMIF(AA32:AA39,"=59844155",FR32:FR39),2)</f>
        <v>3487217.08</v>
      </c>
      <c r="BZ41" s="2">
        <f>ROUND(SUMIF(AA32:AA39,"=59844155",GL32:GL39),2)</f>
        <v>0</v>
      </c>
      <c r="CA41" s="2">
        <f>ROUND(SUMIF(AA32:AA39,"=59844155",GM32:GM39),2)</f>
        <v>3550368.87</v>
      </c>
      <c r="CB41" s="2">
        <f>ROUND(SUMIF(AA32:AA39,"=59844155",GN32:GN39),2)</f>
        <v>31780.880000000001</v>
      </c>
      <c r="CC41" s="2">
        <f>ROUND(SUMIF(AA32:AA39,"=59844155",GO32:GO39),2)</f>
        <v>31370.91</v>
      </c>
      <c r="CD41" s="2">
        <f>ROUND(SUMIF(AA32:AA39,"=59844155",GP32:GP39),2)</f>
        <v>0</v>
      </c>
      <c r="CE41" s="2">
        <f>AC41-BX41</f>
        <v>3509853.7</v>
      </c>
      <c r="CF41" s="2">
        <f>AC41-BY41</f>
        <v>22636.620000000112</v>
      </c>
      <c r="CG41" s="2">
        <f>BX41-BZ41</f>
        <v>0</v>
      </c>
      <c r="CH41" s="2">
        <f>AC41-BX41-BY41+BZ41</f>
        <v>22636.620000000112</v>
      </c>
      <c r="CI41" s="2">
        <f>BY41-BZ41</f>
        <v>3487217.08</v>
      </c>
      <c r="CJ41" s="2">
        <f>ROUND(SUMIF(AA32:AA39,"=59844155",GX32:GX39),2)</f>
        <v>0</v>
      </c>
      <c r="CK41" s="2">
        <f>ROUND(SUMIF(AA32:AA39,"=59844155",GY32:GY39),2)</f>
        <v>0</v>
      </c>
      <c r="CL41" s="2">
        <f>ROUND(SUMIF(AA32:AA39,"=59844155",GZ32:GZ39),2)</f>
        <v>0</v>
      </c>
      <c r="CM41" s="2">
        <f>ROUND(SUMIF(AA32:AA39,"=59844155",HD32:HD39),2)</f>
        <v>0</v>
      </c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3"/>
      <c r="DH41" s="3"/>
      <c r="DI41" s="3"/>
      <c r="DJ41" s="3"/>
      <c r="DK41" s="3"/>
      <c r="DL41" s="3"/>
      <c r="DM41" s="3"/>
      <c r="DN41" s="3"/>
      <c r="DO41" s="3"/>
      <c r="DP41" s="3"/>
      <c r="DQ41" s="3"/>
      <c r="DR41" s="3"/>
      <c r="DS41" s="3"/>
      <c r="DT41" s="3"/>
      <c r="DU41" s="3"/>
      <c r="DV41" s="3"/>
      <c r="DW41" s="3"/>
      <c r="DX41" s="3"/>
      <c r="DY41" s="3"/>
      <c r="DZ41" s="3"/>
      <c r="EA41" s="3"/>
      <c r="EB41" s="3"/>
      <c r="EC41" s="3"/>
      <c r="ED41" s="3"/>
      <c r="EE41" s="3"/>
      <c r="EF41" s="3"/>
      <c r="EG41" s="3"/>
      <c r="EH41" s="3"/>
      <c r="EI41" s="3"/>
      <c r="EJ41" s="3"/>
      <c r="EK41" s="3"/>
      <c r="EL41" s="3"/>
      <c r="EM41" s="3"/>
      <c r="EN41" s="3"/>
      <c r="EO41" s="3"/>
      <c r="EP41" s="3"/>
      <c r="EQ41" s="3"/>
      <c r="ER41" s="3"/>
      <c r="ES41" s="3"/>
      <c r="ET41" s="3"/>
      <c r="EU41" s="3"/>
      <c r="EV41" s="3"/>
      <c r="EW41" s="3"/>
      <c r="EX41" s="3"/>
      <c r="EY41" s="3"/>
      <c r="EZ41" s="3"/>
      <c r="FA41" s="3"/>
      <c r="FB41" s="3"/>
      <c r="FC41" s="3"/>
      <c r="FD41" s="3"/>
      <c r="FE41" s="3"/>
      <c r="FF41" s="3"/>
      <c r="FG41" s="3"/>
      <c r="FH41" s="3"/>
      <c r="FI41" s="3"/>
      <c r="FJ41" s="3"/>
      <c r="FK41" s="3"/>
      <c r="FL41" s="3"/>
      <c r="FM41" s="3"/>
      <c r="FN41" s="3"/>
      <c r="FO41" s="3"/>
      <c r="FP41" s="3"/>
      <c r="FQ41" s="3"/>
      <c r="FR41" s="3"/>
      <c r="FS41" s="3"/>
      <c r="FT41" s="3"/>
      <c r="FU41" s="3"/>
      <c r="FV41" s="3"/>
      <c r="FW41" s="3"/>
      <c r="FX41" s="3"/>
      <c r="FY41" s="3"/>
      <c r="FZ41" s="3"/>
      <c r="GA41" s="3"/>
      <c r="GB41" s="3"/>
      <c r="GC41" s="3"/>
      <c r="GD41" s="3"/>
      <c r="GE41" s="3"/>
      <c r="GF41" s="3"/>
      <c r="GG41" s="3"/>
      <c r="GH41" s="3"/>
      <c r="GI41" s="3"/>
      <c r="GJ41" s="3"/>
      <c r="GK41" s="3"/>
      <c r="GL41" s="3"/>
      <c r="GM41" s="3"/>
      <c r="GN41" s="3"/>
      <c r="GO41" s="3"/>
      <c r="GP41" s="3"/>
      <c r="GQ41" s="3"/>
      <c r="GR41" s="3"/>
      <c r="GS41" s="3"/>
      <c r="GT41" s="3"/>
      <c r="GU41" s="3"/>
      <c r="GV41" s="3"/>
      <c r="GW41" s="3"/>
      <c r="GX41" s="3">
        <v>0</v>
      </c>
    </row>
    <row r="43" spans="1:245" x14ac:dyDescent="0.2">
      <c r="A43" s="4">
        <v>50</v>
      </c>
      <c r="B43" s="4">
        <v>0</v>
      </c>
      <c r="C43" s="4">
        <v>0</v>
      </c>
      <c r="D43" s="4">
        <v>1</v>
      </c>
      <c r="E43" s="4">
        <v>201</v>
      </c>
      <c r="F43" s="4">
        <f>ROUND(Source!O41,O43)</f>
        <v>3527006.18</v>
      </c>
      <c r="G43" s="4" t="s">
        <v>67</v>
      </c>
      <c r="H43" s="4" t="s">
        <v>68</v>
      </c>
      <c r="I43" s="4"/>
      <c r="J43" s="4"/>
      <c r="K43" s="4">
        <v>201</v>
      </c>
      <c r="L43" s="4">
        <v>1</v>
      </c>
      <c r="M43" s="4">
        <v>3</v>
      </c>
      <c r="N43" s="4" t="s">
        <v>3</v>
      </c>
      <c r="O43" s="4">
        <v>2</v>
      </c>
      <c r="P43" s="4"/>
      <c r="Q43" s="4"/>
      <c r="R43" s="4"/>
      <c r="S43" s="4"/>
      <c r="T43" s="4"/>
      <c r="U43" s="4"/>
      <c r="V43" s="4"/>
      <c r="W43" s="4"/>
    </row>
    <row r="44" spans="1:245" x14ac:dyDescent="0.2">
      <c r="A44" s="4">
        <v>50</v>
      </c>
      <c r="B44" s="4">
        <v>0</v>
      </c>
      <c r="C44" s="4">
        <v>0</v>
      </c>
      <c r="D44" s="4">
        <v>1</v>
      </c>
      <c r="E44" s="4">
        <v>202</v>
      </c>
      <c r="F44" s="4">
        <f>ROUND(Source!P41,O44)</f>
        <v>3509853.7</v>
      </c>
      <c r="G44" s="4" t="s">
        <v>69</v>
      </c>
      <c r="H44" s="4" t="s">
        <v>70</v>
      </c>
      <c r="I44" s="4"/>
      <c r="J44" s="4"/>
      <c r="K44" s="4">
        <v>202</v>
      </c>
      <c r="L44" s="4">
        <v>2</v>
      </c>
      <c r="M44" s="4">
        <v>3</v>
      </c>
      <c r="N44" s="4" t="s">
        <v>3</v>
      </c>
      <c r="O44" s="4">
        <v>2</v>
      </c>
      <c r="P44" s="4"/>
      <c r="Q44" s="4"/>
      <c r="R44" s="4"/>
      <c r="S44" s="4"/>
      <c r="T44" s="4"/>
      <c r="U44" s="4"/>
      <c r="V44" s="4"/>
      <c r="W44" s="4"/>
    </row>
    <row r="45" spans="1:245" x14ac:dyDescent="0.2">
      <c r="A45" s="4">
        <v>50</v>
      </c>
      <c r="B45" s="4">
        <v>0</v>
      </c>
      <c r="C45" s="4">
        <v>0</v>
      </c>
      <c r="D45" s="4">
        <v>1</v>
      </c>
      <c r="E45" s="4">
        <v>222</v>
      </c>
      <c r="F45" s="4">
        <f>ROUND(Source!AO41,O45)</f>
        <v>0</v>
      </c>
      <c r="G45" s="4" t="s">
        <v>71</v>
      </c>
      <c r="H45" s="4" t="s">
        <v>72</v>
      </c>
      <c r="I45" s="4"/>
      <c r="J45" s="4"/>
      <c r="K45" s="4">
        <v>222</v>
      </c>
      <c r="L45" s="4">
        <v>3</v>
      </c>
      <c r="M45" s="4">
        <v>3</v>
      </c>
      <c r="N45" s="4" t="s">
        <v>3</v>
      </c>
      <c r="O45" s="4">
        <v>2</v>
      </c>
      <c r="P45" s="4"/>
      <c r="Q45" s="4"/>
      <c r="R45" s="4"/>
      <c r="S45" s="4"/>
      <c r="T45" s="4"/>
      <c r="U45" s="4"/>
      <c r="V45" s="4"/>
      <c r="W45" s="4"/>
    </row>
    <row r="46" spans="1:245" x14ac:dyDescent="0.2">
      <c r="A46" s="4">
        <v>50</v>
      </c>
      <c r="B46" s="4">
        <v>0</v>
      </c>
      <c r="C46" s="4">
        <v>0</v>
      </c>
      <c r="D46" s="4">
        <v>1</v>
      </c>
      <c r="E46" s="4">
        <v>225</v>
      </c>
      <c r="F46" s="4">
        <f>ROUND(Source!AV41,O46)</f>
        <v>3509853.7</v>
      </c>
      <c r="G46" s="4" t="s">
        <v>73</v>
      </c>
      <c r="H46" s="4" t="s">
        <v>74</v>
      </c>
      <c r="I46" s="4"/>
      <c r="J46" s="4"/>
      <c r="K46" s="4">
        <v>225</v>
      </c>
      <c r="L46" s="4">
        <v>4</v>
      </c>
      <c r="M46" s="4">
        <v>3</v>
      </c>
      <c r="N46" s="4" t="s">
        <v>3</v>
      </c>
      <c r="O46" s="4">
        <v>2</v>
      </c>
      <c r="P46" s="4"/>
      <c r="Q46" s="4"/>
      <c r="R46" s="4"/>
      <c r="S46" s="4"/>
      <c r="T46" s="4"/>
      <c r="U46" s="4"/>
      <c r="V46" s="4"/>
      <c r="W46" s="4"/>
    </row>
    <row r="47" spans="1:245" x14ac:dyDescent="0.2">
      <c r="A47" s="4">
        <v>50</v>
      </c>
      <c r="B47" s="4">
        <v>0</v>
      </c>
      <c r="C47" s="4">
        <v>0</v>
      </c>
      <c r="D47" s="4">
        <v>1</v>
      </c>
      <c r="E47" s="4">
        <v>226</v>
      </c>
      <c r="F47" s="4">
        <f>ROUND(Source!AW41,O47)</f>
        <v>22636.62</v>
      </c>
      <c r="G47" s="4" t="s">
        <v>75</v>
      </c>
      <c r="H47" s="4" t="s">
        <v>76</v>
      </c>
      <c r="I47" s="4"/>
      <c r="J47" s="4"/>
      <c r="K47" s="4">
        <v>226</v>
      </c>
      <c r="L47" s="4">
        <v>5</v>
      </c>
      <c r="M47" s="4">
        <v>3</v>
      </c>
      <c r="N47" s="4" t="s">
        <v>3</v>
      </c>
      <c r="O47" s="4">
        <v>2</v>
      </c>
      <c r="P47" s="4"/>
      <c r="Q47" s="4"/>
      <c r="R47" s="4"/>
      <c r="S47" s="4"/>
      <c r="T47" s="4"/>
      <c r="U47" s="4"/>
      <c r="V47" s="4"/>
      <c r="W47" s="4"/>
    </row>
    <row r="48" spans="1:245" x14ac:dyDescent="0.2">
      <c r="A48" s="4">
        <v>50</v>
      </c>
      <c r="B48" s="4">
        <v>0</v>
      </c>
      <c r="C48" s="4">
        <v>0</v>
      </c>
      <c r="D48" s="4">
        <v>1</v>
      </c>
      <c r="E48" s="4">
        <v>227</v>
      </c>
      <c r="F48" s="4">
        <f>ROUND(Source!AX41,O48)</f>
        <v>0</v>
      </c>
      <c r="G48" s="4" t="s">
        <v>77</v>
      </c>
      <c r="H48" s="4" t="s">
        <v>78</v>
      </c>
      <c r="I48" s="4"/>
      <c r="J48" s="4"/>
      <c r="K48" s="4">
        <v>227</v>
      </c>
      <c r="L48" s="4">
        <v>6</v>
      </c>
      <c r="M48" s="4">
        <v>3</v>
      </c>
      <c r="N48" s="4" t="s">
        <v>3</v>
      </c>
      <c r="O48" s="4">
        <v>2</v>
      </c>
      <c r="P48" s="4"/>
      <c r="Q48" s="4"/>
      <c r="R48" s="4"/>
      <c r="S48" s="4"/>
      <c r="T48" s="4"/>
      <c r="U48" s="4"/>
      <c r="V48" s="4"/>
      <c r="W48" s="4"/>
    </row>
    <row r="49" spans="1:23" x14ac:dyDescent="0.2">
      <c r="A49" s="4">
        <v>50</v>
      </c>
      <c r="B49" s="4">
        <v>0</v>
      </c>
      <c r="C49" s="4">
        <v>0</v>
      </c>
      <c r="D49" s="4">
        <v>1</v>
      </c>
      <c r="E49" s="4">
        <v>228</v>
      </c>
      <c r="F49" s="4">
        <f>ROUND(Source!AY41,O49)</f>
        <v>22636.62</v>
      </c>
      <c r="G49" s="4" t="s">
        <v>79</v>
      </c>
      <c r="H49" s="4" t="s">
        <v>80</v>
      </c>
      <c r="I49" s="4"/>
      <c r="J49" s="4"/>
      <c r="K49" s="4">
        <v>228</v>
      </c>
      <c r="L49" s="4">
        <v>7</v>
      </c>
      <c r="M49" s="4">
        <v>3</v>
      </c>
      <c r="N49" s="4" t="s">
        <v>3</v>
      </c>
      <c r="O49" s="4">
        <v>2</v>
      </c>
      <c r="P49" s="4"/>
      <c r="Q49" s="4"/>
      <c r="R49" s="4"/>
      <c r="S49" s="4"/>
      <c r="T49" s="4"/>
      <c r="U49" s="4"/>
      <c r="V49" s="4"/>
      <c r="W49" s="4"/>
    </row>
    <row r="50" spans="1:23" x14ac:dyDescent="0.2">
      <c r="A50" s="4">
        <v>50</v>
      </c>
      <c r="B50" s="4">
        <v>0</v>
      </c>
      <c r="C50" s="4">
        <v>0</v>
      </c>
      <c r="D50" s="4">
        <v>1</v>
      </c>
      <c r="E50" s="4">
        <v>216</v>
      </c>
      <c r="F50" s="4">
        <f>ROUND(Source!AP41,O50)</f>
        <v>3487217.08</v>
      </c>
      <c r="G50" s="4" t="s">
        <v>81</v>
      </c>
      <c r="H50" s="4" t="s">
        <v>82</v>
      </c>
      <c r="I50" s="4"/>
      <c r="J50" s="4"/>
      <c r="K50" s="4">
        <v>216</v>
      </c>
      <c r="L50" s="4">
        <v>8</v>
      </c>
      <c r="M50" s="4">
        <v>3</v>
      </c>
      <c r="N50" s="4" t="s">
        <v>3</v>
      </c>
      <c r="O50" s="4">
        <v>2</v>
      </c>
      <c r="P50" s="4"/>
      <c r="Q50" s="4"/>
      <c r="R50" s="4"/>
      <c r="S50" s="4"/>
      <c r="T50" s="4"/>
      <c r="U50" s="4"/>
      <c r="V50" s="4"/>
      <c r="W50" s="4"/>
    </row>
    <row r="51" spans="1:23" x14ac:dyDescent="0.2">
      <c r="A51" s="4">
        <v>50</v>
      </c>
      <c r="B51" s="4">
        <v>0</v>
      </c>
      <c r="C51" s="4">
        <v>0</v>
      </c>
      <c r="D51" s="4">
        <v>1</v>
      </c>
      <c r="E51" s="4">
        <v>223</v>
      </c>
      <c r="F51" s="4">
        <f>ROUND(Source!AQ41,O51)</f>
        <v>0</v>
      </c>
      <c r="G51" s="4" t="s">
        <v>83</v>
      </c>
      <c r="H51" s="4" t="s">
        <v>84</v>
      </c>
      <c r="I51" s="4"/>
      <c r="J51" s="4"/>
      <c r="K51" s="4">
        <v>223</v>
      </c>
      <c r="L51" s="4">
        <v>9</v>
      </c>
      <c r="M51" s="4">
        <v>3</v>
      </c>
      <c r="N51" s="4" t="s">
        <v>3</v>
      </c>
      <c r="O51" s="4">
        <v>2</v>
      </c>
      <c r="P51" s="4"/>
      <c r="Q51" s="4"/>
      <c r="R51" s="4"/>
      <c r="S51" s="4"/>
      <c r="T51" s="4"/>
      <c r="U51" s="4"/>
      <c r="V51" s="4"/>
      <c r="W51" s="4"/>
    </row>
    <row r="52" spans="1:23" x14ac:dyDescent="0.2">
      <c r="A52" s="4">
        <v>50</v>
      </c>
      <c r="B52" s="4">
        <v>0</v>
      </c>
      <c r="C52" s="4">
        <v>0</v>
      </c>
      <c r="D52" s="4">
        <v>1</v>
      </c>
      <c r="E52" s="4">
        <v>229</v>
      </c>
      <c r="F52" s="4">
        <f>ROUND(Source!AZ41,O52)</f>
        <v>3487217.08</v>
      </c>
      <c r="G52" s="4" t="s">
        <v>85</v>
      </c>
      <c r="H52" s="4" t="s">
        <v>86</v>
      </c>
      <c r="I52" s="4"/>
      <c r="J52" s="4"/>
      <c r="K52" s="4">
        <v>229</v>
      </c>
      <c r="L52" s="4">
        <v>10</v>
      </c>
      <c r="M52" s="4">
        <v>3</v>
      </c>
      <c r="N52" s="4" t="s">
        <v>3</v>
      </c>
      <c r="O52" s="4">
        <v>2</v>
      </c>
      <c r="P52" s="4"/>
      <c r="Q52" s="4"/>
      <c r="R52" s="4"/>
      <c r="S52" s="4"/>
      <c r="T52" s="4"/>
      <c r="U52" s="4"/>
      <c r="V52" s="4"/>
      <c r="W52" s="4"/>
    </row>
    <row r="53" spans="1:23" x14ac:dyDescent="0.2">
      <c r="A53" s="4">
        <v>50</v>
      </c>
      <c r="B53" s="4">
        <v>0</v>
      </c>
      <c r="C53" s="4">
        <v>0</v>
      </c>
      <c r="D53" s="4">
        <v>1</v>
      </c>
      <c r="E53" s="4">
        <v>203</v>
      </c>
      <c r="F53" s="4">
        <f>ROUND(Source!Q41,O53)</f>
        <v>1956.28</v>
      </c>
      <c r="G53" s="4" t="s">
        <v>87</v>
      </c>
      <c r="H53" s="4" t="s">
        <v>88</v>
      </c>
      <c r="I53" s="4"/>
      <c r="J53" s="4"/>
      <c r="K53" s="4">
        <v>203</v>
      </c>
      <c r="L53" s="4">
        <v>11</v>
      </c>
      <c r="M53" s="4">
        <v>3</v>
      </c>
      <c r="N53" s="4" t="s">
        <v>3</v>
      </c>
      <c r="O53" s="4">
        <v>2</v>
      </c>
      <c r="P53" s="4"/>
      <c r="Q53" s="4"/>
      <c r="R53" s="4"/>
      <c r="S53" s="4"/>
      <c r="T53" s="4"/>
      <c r="U53" s="4"/>
      <c r="V53" s="4"/>
      <c r="W53" s="4"/>
    </row>
    <row r="54" spans="1:23" x14ac:dyDescent="0.2">
      <c r="A54" s="4">
        <v>50</v>
      </c>
      <c r="B54" s="4">
        <v>0</v>
      </c>
      <c r="C54" s="4">
        <v>0</v>
      </c>
      <c r="D54" s="4">
        <v>1</v>
      </c>
      <c r="E54" s="4">
        <v>231</v>
      </c>
      <c r="F54" s="4">
        <f>ROUND(Source!BB41,O54)</f>
        <v>0</v>
      </c>
      <c r="G54" s="4" t="s">
        <v>89</v>
      </c>
      <c r="H54" s="4" t="s">
        <v>90</v>
      </c>
      <c r="I54" s="4"/>
      <c r="J54" s="4"/>
      <c r="K54" s="4">
        <v>231</v>
      </c>
      <c r="L54" s="4">
        <v>12</v>
      </c>
      <c r="M54" s="4">
        <v>3</v>
      </c>
      <c r="N54" s="4" t="s">
        <v>3</v>
      </c>
      <c r="O54" s="4">
        <v>2</v>
      </c>
      <c r="P54" s="4"/>
      <c r="Q54" s="4"/>
      <c r="R54" s="4"/>
      <c r="S54" s="4"/>
      <c r="T54" s="4"/>
      <c r="U54" s="4"/>
      <c r="V54" s="4"/>
      <c r="W54" s="4"/>
    </row>
    <row r="55" spans="1:23" x14ac:dyDescent="0.2">
      <c r="A55" s="4">
        <v>50</v>
      </c>
      <c r="B55" s="4">
        <v>0</v>
      </c>
      <c r="C55" s="4">
        <v>0</v>
      </c>
      <c r="D55" s="4">
        <v>1</v>
      </c>
      <c r="E55" s="4">
        <v>204</v>
      </c>
      <c r="F55" s="4">
        <f>ROUND(Source!R41,O55)</f>
        <v>591.16999999999996</v>
      </c>
      <c r="G55" s="4" t="s">
        <v>91</v>
      </c>
      <c r="H55" s="4" t="s">
        <v>92</v>
      </c>
      <c r="I55" s="4"/>
      <c r="J55" s="4"/>
      <c r="K55" s="4">
        <v>204</v>
      </c>
      <c r="L55" s="4">
        <v>13</v>
      </c>
      <c r="M55" s="4">
        <v>3</v>
      </c>
      <c r="N55" s="4" t="s">
        <v>3</v>
      </c>
      <c r="O55" s="4">
        <v>2</v>
      </c>
      <c r="P55" s="4"/>
      <c r="Q55" s="4"/>
      <c r="R55" s="4"/>
      <c r="S55" s="4"/>
      <c r="T55" s="4"/>
      <c r="U55" s="4"/>
      <c r="V55" s="4"/>
      <c r="W55" s="4"/>
    </row>
    <row r="56" spans="1:23" x14ac:dyDescent="0.2">
      <c r="A56" s="4">
        <v>50</v>
      </c>
      <c r="B56" s="4">
        <v>0</v>
      </c>
      <c r="C56" s="4">
        <v>0</v>
      </c>
      <c r="D56" s="4">
        <v>1</v>
      </c>
      <c r="E56" s="4">
        <v>205</v>
      </c>
      <c r="F56" s="4">
        <f>ROUND(Source!S41,O56)</f>
        <v>15196.2</v>
      </c>
      <c r="G56" s="4" t="s">
        <v>93</v>
      </c>
      <c r="H56" s="4" t="s">
        <v>94</v>
      </c>
      <c r="I56" s="4"/>
      <c r="J56" s="4"/>
      <c r="K56" s="4">
        <v>205</v>
      </c>
      <c r="L56" s="4">
        <v>14</v>
      </c>
      <c r="M56" s="4">
        <v>3</v>
      </c>
      <c r="N56" s="4" t="s">
        <v>3</v>
      </c>
      <c r="O56" s="4">
        <v>2</v>
      </c>
      <c r="P56" s="4"/>
      <c r="Q56" s="4"/>
      <c r="R56" s="4"/>
      <c r="S56" s="4"/>
      <c r="T56" s="4"/>
      <c r="U56" s="4"/>
      <c r="V56" s="4"/>
      <c r="W56" s="4"/>
    </row>
    <row r="57" spans="1:23" x14ac:dyDescent="0.2">
      <c r="A57" s="4">
        <v>50</v>
      </c>
      <c r="B57" s="4">
        <v>0</v>
      </c>
      <c r="C57" s="4">
        <v>0</v>
      </c>
      <c r="D57" s="4">
        <v>1</v>
      </c>
      <c r="E57" s="4">
        <v>232</v>
      </c>
      <c r="F57" s="4">
        <f>ROUND(Source!BC41,O57)</f>
        <v>0</v>
      </c>
      <c r="G57" s="4" t="s">
        <v>95</v>
      </c>
      <c r="H57" s="4" t="s">
        <v>96</v>
      </c>
      <c r="I57" s="4"/>
      <c r="J57" s="4"/>
      <c r="K57" s="4">
        <v>232</v>
      </c>
      <c r="L57" s="4">
        <v>15</v>
      </c>
      <c r="M57" s="4">
        <v>3</v>
      </c>
      <c r="N57" s="4" t="s">
        <v>3</v>
      </c>
      <c r="O57" s="4">
        <v>2</v>
      </c>
      <c r="P57" s="4"/>
      <c r="Q57" s="4"/>
      <c r="R57" s="4"/>
      <c r="S57" s="4"/>
      <c r="T57" s="4"/>
      <c r="U57" s="4"/>
      <c r="V57" s="4"/>
      <c r="W57" s="4"/>
    </row>
    <row r="58" spans="1:23" x14ac:dyDescent="0.2">
      <c r="A58" s="4">
        <v>50</v>
      </c>
      <c r="B58" s="4">
        <v>0</v>
      </c>
      <c r="C58" s="4">
        <v>0</v>
      </c>
      <c r="D58" s="4">
        <v>1</v>
      </c>
      <c r="E58" s="4">
        <v>214</v>
      </c>
      <c r="F58" s="4">
        <f>ROUND(Source!AS41,O58)</f>
        <v>31780.880000000001</v>
      </c>
      <c r="G58" s="4" t="s">
        <v>97</v>
      </c>
      <c r="H58" s="4" t="s">
        <v>98</v>
      </c>
      <c r="I58" s="4"/>
      <c r="J58" s="4"/>
      <c r="K58" s="4">
        <v>214</v>
      </c>
      <c r="L58" s="4">
        <v>16</v>
      </c>
      <c r="M58" s="4">
        <v>3</v>
      </c>
      <c r="N58" s="4" t="s">
        <v>3</v>
      </c>
      <c r="O58" s="4">
        <v>2</v>
      </c>
      <c r="P58" s="4"/>
      <c r="Q58" s="4"/>
      <c r="R58" s="4"/>
      <c r="S58" s="4"/>
      <c r="T58" s="4"/>
      <c r="U58" s="4"/>
      <c r="V58" s="4"/>
      <c r="W58" s="4"/>
    </row>
    <row r="59" spans="1:23" x14ac:dyDescent="0.2">
      <c r="A59" s="4">
        <v>50</v>
      </c>
      <c r="B59" s="4">
        <v>0</v>
      </c>
      <c r="C59" s="4">
        <v>0</v>
      </c>
      <c r="D59" s="4">
        <v>1</v>
      </c>
      <c r="E59" s="4">
        <v>215</v>
      </c>
      <c r="F59" s="4">
        <f>ROUND(Source!AT41,O59)</f>
        <v>31370.91</v>
      </c>
      <c r="G59" s="4" t="s">
        <v>99</v>
      </c>
      <c r="H59" s="4" t="s">
        <v>100</v>
      </c>
      <c r="I59" s="4"/>
      <c r="J59" s="4"/>
      <c r="K59" s="4">
        <v>215</v>
      </c>
      <c r="L59" s="4">
        <v>17</v>
      </c>
      <c r="M59" s="4">
        <v>3</v>
      </c>
      <c r="N59" s="4" t="s">
        <v>3</v>
      </c>
      <c r="O59" s="4">
        <v>2</v>
      </c>
      <c r="P59" s="4"/>
      <c r="Q59" s="4"/>
      <c r="R59" s="4"/>
      <c r="S59" s="4"/>
      <c r="T59" s="4"/>
      <c r="U59" s="4"/>
      <c r="V59" s="4"/>
      <c r="W59" s="4"/>
    </row>
    <row r="60" spans="1:23" x14ac:dyDescent="0.2">
      <c r="A60" s="4">
        <v>50</v>
      </c>
      <c r="B60" s="4">
        <v>0</v>
      </c>
      <c r="C60" s="4">
        <v>0</v>
      </c>
      <c r="D60" s="4">
        <v>1</v>
      </c>
      <c r="E60" s="4">
        <v>217</v>
      </c>
      <c r="F60" s="4">
        <f>ROUND(Source!AU41,O60)</f>
        <v>0</v>
      </c>
      <c r="G60" s="4" t="s">
        <v>101</v>
      </c>
      <c r="H60" s="4" t="s">
        <v>102</v>
      </c>
      <c r="I60" s="4"/>
      <c r="J60" s="4"/>
      <c r="K60" s="4">
        <v>217</v>
      </c>
      <c r="L60" s="4">
        <v>18</v>
      </c>
      <c r="M60" s="4">
        <v>3</v>
      </c>
      <c r="N60" s="4" t="s">
        <v>3</v>
      </c>
      <c r="O60" s="4">
        <v>2</v>
      </c>
      <c r="P60" s="4"/>
      <c r="Q60" s="4"/>
      <c r="R60" s="4"/>
      <c r="S60" s="4"/>
      <c r="T60" s="4"/>
      <c r="U60" s="4"/>
      <c r="V60" s="4"/>
      <c r="W60" s="4"/>
    </row>
    <row r="61" spans="1:23" x14ac:dyDescent="0.2">
      <c r="A61" s="4">
        <v>50</v>
      </c>
      <c r="B61" s="4">
        <v>0</v>
      </c>
      <c r="C61" s="4">
        <v>0</v>
      </c>
      <c r="D61" s="4">
        <v>1</v>
      </c>
      <c r="E61" s="4">
        <v>230</v>
      </c>
      <c r="F61" s="4">
        <f>ROUND(Source!BA41,O61)</f>
        <v>0</v>
      </c>
      <c r="G61" s="4" t="s">
        <v>103</v>
      </c>
      <c r="H61" s="4" t="s">
        <v>104</v>
      </c>
      <c r="I61" s="4"/>
      <c r="J61" s="4"/>
      <c r="K61" s="4">
        <v>230</v>
      </c>
      <c r="L61" s="4">
        <v>19</v>
      </c>
      <c r="M61" s="4">
        <v>3</v>
      </c>
      <c r="N61" s="4" t="s">
        <v>3</v>
      </c>
      <c r="O61" s="4">
        <v>2</v>
      </c>
      <c r="P61" s="4"/>
      <c r="Q61" s="4"/>
      <c r="R61" s="4"/>
      <c r="S61" s="4"/>
      <c r="T61" s="4"/>
      <c r="U61" s="4"/>
      <c r="V61" s="4"/>
      <c r="W61" s="4"/>
    </row>
    <row r="62" spans="1:23" x14ac:dyDescent="0.2">
      <c r="A62" s="4">
        <v>50</v>
      </c>
      <c r="B62" s="4">
        <v>0</v>
      </c>
      <c r="C62" s="4">
        <v>0</v>
      </c>
      <c r="D62" s="4">
        <v>1</v>
      </c>
      <c r="E62" s="4">
        <v>206</v>
      </c>
      <c r="F62" s="4">
        <f>ROUND(Source!T41,O62)</f>
        <v>0</v>
      </c>
      <c r="G62" s="4" t="s">
        <v>105</v>
      </c>
      <c r="H62" s="4" t="s">
        <v>106</v>
      </c>
      <c r="I62" s="4"/>
      <c r="J62" s="4"/>
      <c r="K62" s="4">
        <v>206</v>
      </c>
      <c r="L62" s="4">
        <v>20</v>
      </c>
      <c r="M62" s="4">
        <v>3</v>
      </c>
      <c r="N62" s="4" t="s">
        <v>3</v>
      </c>
      <c r="O62" s="4">
        <v>2</v>
      </c>
      <c r="P62" s="4"/>
      <c r="Q62" s="4"/>
      <c r="R62" s="4"/>
      <c r="S62" s="4"/>
      <c r="T62" s="4"/>
      <c r="U62" s="4"/>
      <c r="V62" s="4"/>
      <c r="W62" s="4"/>
    </row>
    <row r="63" spans="1:23" x14ac:dyDescent="0.2">
      <c r="A63" s="4">
        <v>50</v>
      </c>
      <c r="B63" s="4">
        <v>0</v>
      </c>
      <c r="C63" s="4">
        <v>0</v>
      </c>
      <c r="D63" s="4">
        <v>1</v>
      </c>
      <c r="E63" s="4">
        <v>207</v>
      </c>
      <c r="F63" s="4">
        <f>Source!U41</f>
        <v>57.188379999999995</v>
      </c>
      <c r="G63" s="4" t="s">
        <v>107</v>
      </c>
      <c r="H63" s="4" t="s">
        <v>108</v>
      </c>
      <c r="I63" s="4"/>
      <c r="J63" s="4"/>
      <c r="K63" s="4">
        <v>207</v>
      </c>
      <c r="L63" s="4">
        <v>21</v>
      </c>
      <c r="M63" s="4">
        <v>3</v>
      </c>
      <c r="N63" s="4" t="s">
        <v>3</v>
      </c>
      <c r="O63" s="4">
        <v>-1</v>
      </c>
      <c r="P63" s="4"/>
      <c r="Q63" s="4"/>
      <c r="R63" s="4"/>
      <c r="S63" s="4"/>
      <c r="T63" s="4"/>
      <c r="U63" s="4"/>
      <c r="V63" s="4"/>
      <c r="W63" s="4"/>
    </row>
    <row r="64" spans="1:23" x14ac:dyDescent="0.2">
      <c r="A64" s="4">
        <v>50</v>
      </c>
      <c r="B64" s="4">
        <v>0</v>
      </c>
      <c r="C64" s="4">
        <v>0</v>
      </c>
      <c r="D64" s="4">
        <v>1</v>
      </c>
      <c r="E64" s="4">
        <v>208</v>
      </c>
      <c r="F64" s="4">
        <f>Source!V41</f>
        <v>1.483525</v>
      </c>
      <c r="G64" s="4" t="s">
        <v>109</v>
      </c>
      <c r="H64" s="4" t="s">
        <v>110</v>
      </c>
      <c r="I64" s="4"/>
      <c r="J64" s="4"/>
      <c r="K64" s="4">
        <v>208</v>
      </c>
      <c r="L64" s="4">
        <v>22</v>
      </c>
      <c r="M64" s="4">
        <v>3</v>
      </c>
      <c r="N64" s="4" t="s">
        <v>3</v>
      </c>
      <c r="O64" s="4">
        <v>-1</v>
      </c>
      <c r="P64" s="4"/>
      <c r="Q64" s="4"/>
      <c r="R64" s="4"/>
      <c r="S64" s="4"/>
      <c r="T64" s="4"/>
      <c r="U64" s="4"/>
      <c r="V64" s="4"/>
      <c r="W64" s="4"/>
    </row>
    <row r="65" spans="1:206" x14ac:dyDescent="0.2">
      <c r="A65" s="4">
        <v>50</v>
      </c>
      <c r="B65" s="4">
        <v>0</v>
      </c>
      <c r="C65" s="4">
        <v>0</v>
      </c>
      <c r="D65" s="4">
        <v>1</v>
      </c>
      <c r="E65" s="4">
        <v>209</v>
      </c>
      <c r="F65" s="4">
        <f>ROUND(Source!W41,O65)</f>
        <v>0.75</v>
      </c>
      <c r="G65" s="4" t="s">
        <v>111</v>
      </c>
      <c r="H65" s="4" t="s">
        <v>112</v>
      </c>
      <c r="I65" s="4"/>
      <c r="J65" s="4"/>
      <c r="K65" s="4">
        <v>209</v>
      </c>
      <c r="L65" s="4">
        <v>23</v>
      </c>
      <c r="M65" s="4">
        <v>3</v>
      </c>
      <c r="N65" s="4" t="s">
        <v>3</v>
      </c>
      <c r="O65" s="4">
        <v>2</v>
      </c>
      <c r="P65" s="4"/>
      <c r="Q65" s="4"/>
      <c r="R65" s="4"/>
      <c r="S65" s="4"/>
      <c r="T65" s="4"/>
      <c r="U65" s="4"/>
      <c r="V65" s="4"/>
      <c r="W65" s="4"/>
    </row>
    <row r="66" spans="1:206" x14ac:dyDescent="0.2">
      <c r="A66" s="4">
        <v>50</v>
      </c>
      <c r="B66" s="4">
        <v>0</v>
      </c>
      <c r="C66" s="4">
        <v>0</v>
      </c>
      <c r="D66" s="4">
        <v>1</v>
      </c>
      <c r="E66" s="4">
        <v>233</v>
      </c>
      <c r="F66" s="4">
        <f>ROUND(Source!BD41,O66)</f>
        <v>0</v>
      </c>
      <c r="G66" s="4" t="s">
        <v>113</v>
      </c>
      <c r="H66" s="4" t="s">
        <v>114</v>
      </c>
      <c r="I66" s="4"/>
      <c r="J66" s="4"/>
      <c r="K66" s="4">
        <v>233</v>
      </c>
      <c r="L66" s="4">
        <v>24</v>
      </c>
      <c r="M66" s="4">
        <v>3</v>
      </c>
      <c r="N66" s="4" t="s">
        <v>3</v>
      </c>
      <c r="O66" s="4">
        <v>2</v>
      </c>
      <c r="P66" s="4"/>
      <c r="Q66" s="4"/>
      <c r="R66" s="4"/>
      <c r="S66" s="4"/>
      <c r="T66" s="4"/>
      <c r="U66" s="4"/>
      <c r="V66" s="4"/>
      <c r="W66" s="4"/>
    </row>
    <row r="67" spans="1:206" x14ac:dyDescent="0.2">
      <c r="A67" s="4">
        <v>50</v>
      </c>
      <c r="B67" s="4">
        <v>0</v>
      </c>
      <c r="C67" s="4">
        <v>0</v>
      </c>
      <c r="D67" s="4">
        <v>1</v>
      </c>
      <c r="E67" s="4">
        <v>210</v>
      </c>
      <c r="F67" s="4">
        <f>ROUND(Source!X41,O67)</f>
        <v>13680.21</v>
      </c>
      <c r="G67" s="4" t="s">
        <v>115</v>
      </c>
      <c r="H67" s="4" t="s">
        <v>116</v>
      </c>
      <c r="I67" s="4"/>
      <c r="J67" s="4"/>
      <c r="K67" s="4">
        <v>210</v>
      </c>
      <c r="L67" s="4">
        <v>25</v>
      </c>
      <c r="M67" s="4">
        <v>3</v>
      </c>
      <c r="N67" s="4" t="s">
        <v>3</v>
      </c>
      <c r="O67" s="4">
        <v>2</v>
      </c>
      <c r="P67" s="4"/>
      <c r="Q67" s="4"/>
      <c r="R67" s="4"/>
      <c r="S67" s="4"/>
      <c r="T67" s="4"/>
      <c r="U67" s="4"/>
      <c r="V67" s="4"/>
      <c r="W67" s="4"/>
    </row>
    <row r="68" spans="1:206" x14ac:dyDescent="0.2">
      <c r="A68" s="4">
        <v>50</v>
      </c>
      <c r="B68" s="4">
        <v>0</v>
      </c>
      <c r="C68" s="4">
        <v>0</v>
      </c>
      <c r="D68" s="4">
        <v>1</v>
      </c>
      <c r="E68" s="4">
        <v>211</v>
      </c>
      <c r="F68" s="4">
        <f>ROUND(Source!Y41,O68)</f>
        <v>9682.48</v>
      </c>
      <c r="G68" s="4" t="s">
        <v>117</v>
      </c>
      <c r="H68" s="4" t="s">
        <v>118</v>
      </c>
      <c r="I68" s="4"/>
      <c r="J68" s="4"/>
      <c r="K68" s="4">
        <v>211</v>
      </c>
      <c r="L68" s="4">
        <v>26</v>
      </c>
      <c r="M68" s="4">
        <v>3</v>
      </c>
      <c r="N68" s="4" t="s">
        <v>3</v>
      </c>
      <c r="O68" s="4">
        <v>2</v>
      </c>
      <c r="P68" s="4"/>
      <c r="Q68" s="4"/>
      <c r="R68" s="4"/>
      <c r="S68" s="4"/>
      <c r="T68" s="4"/>
      <c r="U68" s="4"/>
      <c r="V68" s="4"/>
      <c r="W68" s="4"/>
    </row>
    <row r="69" spans="1:206" x14ac:dyDescent="0.2">
      <c r="A69" s="4">
        <v>50</v>
      </c>
      <c r="B69" s="4">
        <v>0</v>
      </c>
      <c r="C69" s="4">
        <v>0</v>
      </c>
      <c r="D69" s="4">
        <v>1</v>
      </c>
      <c r="E69" s="4">
        <v>224</v>
      </c>
      <c r="F69" s="4">
        <f>ROUND(Source!AR41,O69)</f>
        <v>3550368.87</v>
      </c>
      <c r="G69" s="4" t="s">
        <v>119</v>
      </c>
      <c r="H69" s="4" t="s">
        <v>120</v>
      </c>
      <c r="I69" s="4"/>
      <c r="J69" s="4"/>
      <c r="K69" s="4">
        <v>224</v>
      </c>
      <c r="L69" s="4">
        <v>27</v>
      </c>
      <c r="M69" s="4">
        <v>3</v>
      </c>
      <c r="N69" s="4" t="s">
        <v>3</v>
      </c>
      <c r="O69" s="4">
        <v>2</v>
      </c>
      <c r="P69" s="4"/>
      <c r="Q69" s="4"/>
      <c r="R69" s="4"/>
      <c r="S69" s="4"/>
      <c r="T69" s="4"/>
      <c r="U69" s="4"/>
      <c r="V69" s="4"/>
      <c r="W69" s="4"/>
    </row>
    <row r="71" spans="1:206" x14ac:dyDescent="0.2">
      <c r="A71" s="2">
        <v>51</v>
      </c>
      <c r="B71" s="2">
        <f>B24</f>
        <v>1</v>
      </c>
      <c r="C71" s="2">
        <f>A24</f>
        <v>4</v>
      </c>
      <c r="D71" s="2">
        <f>ROW(A24)</f>
        <v>24</v>
      </c>
      <c r="E71" s="2"/>
      <c r="F71" s="2" t="str">
        <f>IF(F24&lt;&gt;"",F24,"")</f>
        <v>Новый раздел</v>
      </c>
      <c r="G71" s="2" t="str">
        <f>IF(G24&lt;&gt;"",G24,"")</f>
        <v>Строение 1</v>
      </c>
      <c r="H71" s="2">
        <v>0</v>
      </c>
      <c r="I71" s="2"/>
      <c r="J71" s="2"/>
      <c r="K71" s="2"/>
      <c r="L71" s="2"/>
      <c r="M71" s="2"/>
      <c r="N71" s="2"/>
      <c r="O71" s="2">
        <f t="shared" ref="O71:T71" si="64">ROUND(O41+AB71,2)</f>
        <v>3527006.18</v>
      </c>
      <c r="P71" s="2">
        <f t="shared" si="64"/>
        <v>3509853.7</v>
      </c>
      <c r="Q71" s="2">
        <f t="shared" si="64"/>
        <v>1956.28</v>
      </c>
      <c r="R71" s="2">
        <f t="shared" si="64"/>
        <v>591.16999999999996</v>
      </c>
      <c r="S71" s="2">
        <f t="shared" si="64"/>
        <v>15196.2</v>
      </c>
      <c r="T71" s="2">
        <f t="shared" si="64"/>
        <v>0</v>
      </c>
      <c r="U71" s="2">
        <f>U41+AH71</f>
        <v>57.188379999999995</v>
      </c>
      <c r="V71" s="2">
        <f>V41+AI71</f>
        <v>1.483525</v>
      </c>
      <c r="W71" s="2">
        <f>ROUND(W41+AJ71,2)</f>
        <v>0.75</v>
      </c>
      <c r="X71" s="2">
        <f>ROUND(X41+AK71,2)</f>
        <v>13680.21</v>
      </c>
      <c r="Y71" s="2">
        <f>ROUND(Y41+AL71,2)</f>
        <v>9682.48</v>
      </c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>
        <f t="shared" ref="AO71:BD71" si="65">ROUND(AO41+BX71,2)</f>
        <v>0</v>
      </c>
      <c r="AP71" s="2">
        <f t="shared" si="65"/>
        <v>3487217.08</v>
      </c>
      <c r="AQ71" s="2">
        <f t="shared" si="65"/>
        <v>0</v>
      </c>
      <c r="AR71" s="2">
        <f t="shared" si="65"/>
        <v>3550368.87</v>
      </c>
      <c r="AS71" s="2">
        <f t="shared" si="65"/>
        <v>31780.880000000001</v>
      </c>
      <c r="AT71" s="2">
        <f t="shared" si="65"/>
        <v>31370.91</v>
      </c>
      <c r="AU71" s="2">
        <f t="shared" si="65"/>
        <v>0</v>
      </c>
      <c r="AV71" s="2">
        <f t="shared" si="65"/>
        <v>3509853.7</v>
      </c>
      <c r="AW71" s="2">
        <f t="shared" si="65"/>
        <v>22636.62</v>
      </c>
      <c r="AX71" s="2">
        <f t="shared" si="65"/>
        <v>0</v>
      </c>
      <c r="AY71" s="2">
        <f t="shared" si="65"/>
        <v>22636.62</v>
      </c>
      <c r="AZ71" s="2">
        <f t="shared" si="65"/>
        <v>3487217.08</v>
      </c>
      <c r="BA71" s="2">
        <f t="shared" si="65"/>
        <v>0</v>
      </c>
      <c r="BB71" s="2">
        <f t="shared" si="65"/>
        <v>0</v>
      </c>
      <c r="BC71" s="2">
        <f t="shared" si="65"/>
        <v>0</v>
      </c>
      <c r="BD71" s="2">
        <f t="shared" si="65"/>
        <v>0</v>
      </c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B71" s="2"/>
      <c r="DC71" s="2"/>
      <c r="DD71" s="2"/>
      <c r="DE71" s="2"/>
      <c r="DF71" s="2"/>
      <c r="DG71" s="3"/>
      <c r="DH71" s="3"/>
      <c r="DI71" s="3"/>
      <c r="DJ71" s="3"/>
      <c r="DK71" s="3"/>
      <c r="DL71" s="3"/>
      <c r="DM71" s="3"/>
      <c r="DN71" s="3"/>
      <c r="DO71" s="3"/>
      <c r="DP71" s="3"/>
      <c r="DQ71" s="3"/>
      <c r="DR71" s="3"/>
      <c r="DS71" s="3"/>
      <c r="DT71" s="3"/>
      <c r="DU71" s="3"/>
      <c r="DV71" s="3"/>
      <c r="DW71" s="3"/>
      <c r="DX71" s="3"/>
      <c r="DY71" s="3"/>
      <c r="DZ71" s="3"/>
      <c r="EA71" s="3"/>
      <c r="EB71" s="3"/>
      <c r="EC71" s="3"/>
      <c r="ED71" s="3"/>
      <c r="EE71" s="3"/>
      <c r="EF71" s="3"/>
      <c r="EG71" s="3"/>
      <c r="EH71" s="3"/>
      <c r="EI71" s="3"/>
      <c r="EJ71" s="3"/>
      <c r="EK71" s="3"/>
      <c r="EL71" s="3"/>
      <c r="EM71" s="3"/>
      <c r="EN71" s="3"/>
      <c r="EO71" s="3"/>
      <c r="EP71" s="3"/>
      <c r="EQ71" s="3"/>
      <c r="ER71" s="3"/>
      <c r="ES71" s="3"/>
      <c r="ET71" s="3"/>
      <c r="EU71" s="3"/>
      <c r="EV71" s="3"/>
      <c r="EW71" s="3"/>
      <c r="EX71" s="3"/>
      <c r="EY71" s="3"/>
      <c r="EZ71" s="3"/>
      <c r="FA71" s="3"/>
      <c r="FB71" s="3"/>
      <c r="FC71" s="3"/>
      <c r="FD71" s="3"/>
      <c r="FE71" s="3"/>
      <c r="FF71" s="3"/>
      <c r="FG71" s="3"/>
      <c r="FH71" s="3"/>
      <c r="FI71" s="3"/>
      <c r="FJ71" s="3"/>
      <c r="FK71" s="3"/>
      <c r="FL71" s="3"/>
      <c r="FM71" s="3"/>
      <c r="FN71" s="3"/>
      <c r="FO71" s="3"/>
      <c r="FP71" s="3"/>
      <c r="FQ71" s="3"/>
      <c r="FR71" s="3"/>
      <c r="FS71" s="3"/>
      <c r="FT71" s="3"/>
      <c r="FU71" s="3"/>
      <c r="FV71" s="3"/>
      <c r="FW71" s="3"/>
      <c r="FX71" s="3"/>
      <c r="FY71" s="3"/>
      <c r="FZ71" s="3"/>
      <c r="GA71" s="3"/>
      <c r="GB71" s="3"/>
      <c r="GC71" s="3"/>
      <c r="GD71" s="3"/>
      <c r="GE71" s="3"/>
      <c r="GF71" s="3"/>
      <c r="GG71" s="3"/>
      <c r="GH71" s="3"/>
      <c r="GI71" s="3"/>
      <c r="GJ71" s="3"/>
      <c r="GK71" s="3"/>
      <c r="GL71" s="3"/>
      <c r="GM71" s="3"/>
      <c r="GN71" s="3"/>
      <c r="GO71" s="3"/>
      <c r="GP71" s="3"/>
      <c r="GQ71" s="3"/>
      <c r="GR71" s="3"/>
      <c r="GS71" s="3"/>
      <c r="GT71" s="3"/>
      <c r="GU71" s="3"/>
      <c r="GV71" s="3"/>
      <c r="GW71" s="3"/>
      <c r="GX71" s="3">
        <v>0</v>
      </c>
    </row>
    <row r="73" spans="1:206" x14ac:dyDescent="0.2">
      <c r="A73" s="4">
        <v>50</v>
      </c>
      <c r="B73" s="4">
        <v>0</v>
      </c>
      <c r="C73" s="4">
        <v>0</v>
      </c>
      <c r="D73" s="4">
        <v>1</v>
      </c>
      <c r="E73" s="4">
        <v>201</v>
      </c>
      <c r="F73" s="4">
        <f>ROUND(Source!O71,O73)</f>
        <v>3527006.18</v>
      </c>
      <c r="G73" s="4" t="s">
        <v>67</v>
      </c>
      <c r="H73" s="4" t="s">
        <v>68</v>
      </c>
      <c r="I73" s="4"/>
      <c r="J73" s="4"/>
      <c r="K73" s="4">
        <v>201</v>
      </c>
      <c r="L73" s="4">
        <v>1</v>
      </c>
      <c r="M73" s="4">
        <v>3</v>
      </c>
      <c r="N73" s="4" t="s">
        <v>3</v>
      </c>
      <c r="O73" s="4">
        <v>2</v>
      </c>
      <c r="P73" s="4"/>
      <c r="Q73" s="4"/>
      <c r="R73" s="4"/>
      <c r="S73" s="4"/>
      <c r="T73" s="4"/>
      <c r="U73" s="4"/>
      <c r="V73" s="4"/>
      <c r="W73" s="4"/>
    </row>
    <row r="74" spans="1:206" x14ac:dyDescent="0.2">
      <c r="A74" s="4">
        <v>50</v>
      </c>
      <c r="B74" s="4">
        <v>0</v>
      </c>
      <c r="C74" s="4">
        <v>0</v>
      </c>
      <c r="D74" s="4">
        <v>1</v>
      </c>
      <c r="E74" s="4">
        <v>202</v>
      </c>
      <c r="F74" s="4">
        <f>ROUND(Source!P71,O74)</f>
        <v>3509853.7</v>
      </c>
      <c r="G74" s="4" t="s">
        <v>69</v>
      </c>
      <c r="H74" s="4" t="s">
        <v>70</v>
      </c>
      <c r="I74" s="4"/>
      <c r="J74" s="4"/>
      <c r="K74" s="4">
        <v>202</v>
      </c>
      <c r="L74" s="4">
        <v>2</v>
      </c>
      <c r="M74" s="4">
        <v>3</v>
      </c>
      <c r="N74" s="4" t="s">
        <v>3</v>
      </c>
      <c r="O74" s="4">
        <v>2</v>
      </c>
      <c r="P74" s="4"/>
      <c r="Q74" s="4"/>
      <c r="R74" s="4"/>
      <c r="S74" s="4"/>
      <c r="T74" s="4"/>
      <c r="U74" s="4"/>
      <c r="V74" s="4"/>
      <c r="W74" s="4"/>
    </row>
    <row r="75" spans="1:206" x14ac:dyDescent="0.2">
      <c r="A75" s="4">
        <v>50</v>
      </c>
      <c r="B75" s="4">
        <v>0</v>
      </c>
      <c r="C75" s="4">
        <v>0</v>
      </c>
      <c r="D75" s="4">
        <v>1</v>
      </c>
      <c r="E75" s="4">
        <v>222</v>
      </c>
      <c r="F75" s="4">
        <f>ROUND(Source!AO71,O75)</f>
        <v>0</v>
      </c>
      <c r="G75" s="4" t="s">
        <v>71</v>
      </c>
      <c r="H75" s="4" t="s">
        <v>72</v>
      </c>
      <c r="I75" s="4"/>
      <c r="J75" s="4"/>
      <c r="K75" s="4">
        <v>222</v>
      </c>
      <c r="L75" s="4">
        <v>3</v>
      </c>
      <c r="M75" s="4">
        <v>3</v>
      </c>
      <c r="N75" s="4" t="s">
        <v>3</v>
      </c>
      <c r="O75" s="4">
        <v>2</v>
      </c>
      <c r="P75" s="4"/>
      <c r="Q75" s="4"/>
      <c r="R75" s="4"/>
      <c r="S75" s="4"/>
      <c r="T75" s="4"/>
      <c r="U75" s="4"/>
      <c r="V75" s="4"/>
      <c r="W75" s="4"/>
    </row>
    <row r="76" spans="1:206" x14ac:dyDescent="0.2">
      <c r="A76" s="4">
        <v>50</v>
      </c>
      <c r="B76" s="4">
        <v>0</v>
      </c>
      <c r="C76" s="4">
        <v>0</v>
      </c>
      <c r="D76" s="4">
        <v>1</v>
      </c>
      <c r="E76" s="4">
        <v>225</v>
      </c>
      <c r="F76" s="4">
        <f>ROUND(Source!AV71,O76)</f>
        <v>3509853.7</v>
      </c>
      <c r="G76" s="4" t="s">
        <v>73</v>
      </c>
      <c r="H76" s="4" t="s">
        <v>74</v>
      </c>
      <c r="I76" s="4"/>
      <c r="J76" s="4"/>
      <c r="K76" s="4">
        <v>225</v>
      </c>
      <c r="L76" s="4">
        <v>4</v>
      </c>
      <c r="M76" s="4">
        <v>3</v>
      </c>
      <c r="N76" s="4" t="s">
        <v>3</v>
      </c>
      <c r="O76" s="4">
        <v>2</v>
      </c>
      <c r="P76" s="4"/>
      <c r="Q76" s="4"/>
      <c r="R76" s="4"/>
      <c r="S76" s="4"/>
      <c r="T76" s="4"/>
      <c r="U76" s="4"/>
      <c r="V76" s="4"/>
      <c r="W76" s="4"/>
    </row>
    <row r="77" spans="1:206" x14ac:dyDescent="0.2">
      <c r="A77" s="4">
        <v>50</v>
      </c>
      <c r="B77" s="4">
        <v>0</v>
      </c>
      <c r="C77" s="4">
        <v>0</v>
      </c>
      <c r="D77" s="4">
        <v>1</v>
      </c>
      <c r="E77" s="4">
        <v>226</v>
      </c>
      <c r="F77" s="4">
        <f>ROUND(Source!AW71,O77)</f>
        <v>22636.62</v>
      </c>
      <c r="G77" s="4" t="s">
        <v>75</v>
      </c>
      <c r="H77" s="4" t="s">
        <v>76</v>
      </c>
      <c r="I77" s="4"/>
      <c r="J77" s="4"/>
      <c r="K77" s="4">
        <v>226</v>
      </c>
      <c r="L77" s="4">
        <v>5</v>
      </c>
      <c r="M77" s="4">
        <v>3</v>
      </c>
      <c r="N77" s="4" t="s">
        <v>3</v>
      </c>
      <c r="O77" s="4">
        <v>2</v>
      </c>
      <c r="P77" s="4"/>
      <c r="Q77" s="4"/>
      <c r="R77" s="4"/>
      <c r="S77" s="4"/>
      <c r="T77" s="4"/>
      <c r="U77" s="4"/>
      <c r="V77" s="4"/>
      <c r="W77" s="4"/>
    </row>
    <row r="78" spans="1:206" x14ac:dyDescent="0.2">
      <c r="A78" s="4">
        <v>50</v>
      </c>
      <c r="B78" s="4">
        <v>0</v>
      </c>
      <c r="C78" s="4">
        <v>0</v>
      </c>
      <c r="D78" s="4">
        <v>1</v>
      </c>
      <c r="E78" s="4">
        <v>227</v>
      </c>
      <c r="F78" s="4">
        <f>ROUND(Source!AX71,O78)</f>
        <v>0</v>
      </c>
      <c r="G78" s="4" t="s">
        <v>77</v>
      </c>
      <c r="H78" s="4" t="s">
        <v>78</v>
      </c>
      <c r="I78" s="4"/>
      <c r="J78" s="4"/>
      <c r="K78" s="4">
        <v>227</v>
      </c>
      <c r="L78" s="4">
        <v>6</v>
      </c>
      <c r="M78" s="4">
        <v>3</v>
      </c>
      <c r="N78" s="4" t="s">
        <v>3</v>
      </c>
      <c r="O78" s="4">
        <v>2</v>
      </c>
      <c r="P78" s="4"/>
      <c r="Q78" s="4"/>
      <c r="R78" s="4"/>
      <c r="S78" s="4"/>
      <c r="T78" s="4"/>
      <c r="U78" s="4"/>
      <c r="V78" s="4"/>
      <c r="W78" s="4"/>
    </row>
    <row r="79" spans="1:206" x14ac:dyDescent="0.2">
      <c r="A79" s="4">
        <v>50</v>
      </c>
      <c r="B79" s="4">
        <v>0</v>
      </c>
      <c r="C79" s="4">
        <v>0</v>
      </c>
      <c r="D79" s="4">
        <v>1</v>
      </c>
      <c r="E79" s="4">
        <v>228</v>
      </c>
      <c r="F79" s="4">
        <f>ROUND(Source!AY71,O79)</f>
        <v>22636.62</v>
      </c>
      <c r="G79" s="4" t="s">
        <v>79</v>
      </c>
      <c r="H79" s="4" t="s">
        <v>80</v>
      </c>
      <c r="I79" s="4"/>
      <c r="J79" s="4"/>
      <c r="K79" s="4">
        <v>228</v>
      </c>
      <c r="L79" s="4">
        <v>7</v>
      </c>
      <c r="M79" s="4">
        <v>3</v>
      </c>
      <c r="N79" s="4" t="s">
        <v>3</v>
      </c>
      <c r="O79" s="4">
        <v>2</v>
      </c>
      <c r="P79" s="4"/>
      <c r="Q79" s="4"/>
      <c r="R79" s="4"/>
      <c r="S79" s="4"/>
      <c r="T79" s="4"/>
      <c r="U79" s="4"/>
      <c r="V79" s="4"/>
      <c r="W79" s="4"/>
    </row>
    <row r="80" spans="1:206" x14ac:dyDescent="0.2">
      <c r="A80" s="4">
        <v>50</v>
      </c>
      <c r="B80" s="4">
        <v>0</v>
      </c>
      <c r="C80" s="4">
        <v>0</v>
      </c>
      <c r="D80" s="4">
        <v>1</v>
      </c>
      <c r="E80" s="4">
        <v>216</v>
      </c>
      <c r="F80" s="4">
        <f>ROUND(Source!AP71,O80)</f>
        <v>3487217.08</v>
      </c>
      <c r="G80" s="4" t="s">
        <v>81</v>
      </c>
      <c r="H80" s="4" t="s">
        <v>82</v>
      </c>
      <c r="I80" s="4"/>
      <c r="J80" s="4"/>
      <c r="K80" s="4">
        <v>216</v>
      </c>
      <c r="L80" s="4">
        <v>8</v>
      </c>
      <c r="M80" s="4">
        <v>3</v>
      </c>
      <c r="N80" s="4" t="s">
        <v>3</v>
      </c>
      <c r="O80" s="4">
        <v>2</v>
      </c>
      <c r="P80" s="4"/>
      <c r="Q80" s="4"/>
      <c r="R80" s="4"/>
      <c r="S80" s="4"/>
      <c r="T80" s="4"/>
      <c r="U80" s="4"/>
      <c r="V80" s="4"/>
      <c r="W80" s="4"/>
    </row>
    <row r="81" spans="1:23" x14ac:dyDescent="0.2">
      <c r="A81" s="4">
        <v>50</v>
      </c>
      <c r="B81" s="4">
        <v>0</v>
      </c>
      <c r="C81" s="4">
        <v>0</v>
      </c>
      <c r="D81" s="4">
        <v>1</v>
      </c>
      <c r="E81" s="4">
        <v>223</v>
      </c>
      <c r="F81" s="4">
        <f>ROUND(Source!AQ71,O81)</f>
        <v>0</v>
      </c>
      <c r="G81" s="4" t="s">
        <v>83</v>
      </c>
      <c r="H81" s="4" t="s">
        <v>84</v>
      </c>
      <c r="I81" s="4"/>
      <c r="J81" s="4"/>
      <c r="K81" s="4">
        <v>223</v>
      </c>
      <c r="L81" s="4">
        <v>9</v>
      </c>
      <c r="M81" s="4">
        <v>3</v>
      </c>
      <c r="N81" s="4" t="s">
        <v>3</v>
      </c>
      <c r="O81" s="4">
        <v>2</v>
      </c>
      <c r="P81" s="4"/>
      <c r="Q81" s="4"/>
      <c r="R81" s="4"/>
      <c r="S81" s="4"/>
      <c r="T81" s="4"/>
      <c r="U81" s="4"/>
      <c r="V81" s="4"/>
      <c r="W81" s="4"/>
    </row>
    <row r="82" spans="1:23" x14ac:dyDescent="0.2">
      <c r="A82" s="4">
        <v>50</v>
      </c>
      <c r="B82" s="4">
        <v>0</v>
      </c>
      <c r="C82" s="4">
        <v>0</v>
      </c>
      <c r="D82" s="4">
        <v>1</v>
      </c>
      <c r="E82" s="4">
        <v>229</v>
      </c>
      <c r="F82" s="4">
        <f>ROUND(Source!AZ71,O82)</f>
        <v>3487217.08</v>
      </c>
      <c r="G82" s="4" t="s">
        <v>85</v>
      </c>
      <c r="H82" s="4" t="s">
        <v>86</v>
      </c>
      <c r="I82" s="4"/>
      <c r="J82" s="4"/>
      <c r="K82" s="4">
        <v>229</v>
      </c>
      <c r="L82" s="4">
        <v>10</v>
      </c>
      <c r="M82" s="4">
        <v>3</v>
      </c>
      <c r="N82" s="4" t="s">
        <v>3</v>
      </c>
      <c r="O82" s="4">
        <v>2</v>
      </c>
      <c r="P82" s="4"/>
      <c r="Q82" s="4"/>
      <c r="R82" s="4"/>
      <c r="S82" s="4"/>
      <c r="T82" s="4"/>
      <c r="U82" s="4"/>
      <c r="V82" s="4"/>
      <c r="W82" s="4"/>
    </row>
    <row r="83" spans="1:23" x14ac:dyDescent="0.2">
      <c r="A83" s="4">
        <v>50</v>
      </c>
      <c r="B83" s="4">
        <v>0</v>
      </c>
      <c r="C83" s="4">
        <v>0</v>
      </c>
      <c r="D83" s="4">
        <v>1</v>
      </c>
      <c r="E83" s="4">
        <v>203</v>
      </c>
      <c r="F83" s="4">
        <f>ROUND(Source!Q71,O83)</f>
        <v>1956.28</v>
      </c>
      <c r="G83" s="4" t="s">
        <v>87</v>
      </c>
      <c r="H83" s="4" t="s">
        <v>88</v>
      </c>
      <c r="I83" s="4"/>
      <c r="J83" s="4"/>
      <c r="K83" s="4">
        <v>203</v>
      </c>
      <c r="L83" s="4">
        <v>11</v>
      </c>
      <c r="M83" s="4">
        <v>3</v>
      </c>
      <c r="N83" s="4" t="s">
        <v>3</v>
      </c>
      <c r="O83" s="4">
        <v>2</v>
      </c>
      <c r="P83" s="4"/>
      <c r="Q83" s="4"/>
      <c r="R83" s="4"/>
      <c r="S83" s="4"/>
      <c r="T83" s="4"/>
      <c r="U83" s="4"/>
      <c r="V83" s="4"/>
      <c r="W83" s="4"/>
    </row>
    <row r="84" spans="1:23" x14ac:dyDescent="0.2">
      <c r="A84" s="4">
        <v>50</v>
      </c>
      <c r="B84" s="4">
        <v>0</v>
      </c>
      <c r="C84" s="4">
        <v>0</v>
      </c>
      <c r="D84" s="4">
        <v>1</v>
      </c>
      <c r="E84" s="4">
        <v>231</v>
      </c>
      <c r="F84" s="4">
        <f>ROUND(Source!BB71,O84)</f>
        <v>0</v>
      </c>
      <c r="G84" s="4" t="s">
        <v>89</v>
      </c>
      <c r="H84" s="4" t="s">
        <v>90</v>
      </c>
      <c r="I84" s="4"/>
      <c r="J84" s="4"/>
      <c r="K84" s="4">
        <v>231</v>
      </c>
      <c r="L84" s="4">
        <v>12</v>
      </c>
      <c r="M84" s="4">
        <v>3</v>
      </c>
      <c r="N84" s="4" t="s">
        <v>3</v>
      </c>
      <c r="O84" s="4">
        <v>2</v>
      </c>
      <c r="P84" s="4"/>
      <c r="Q84" s="4"/>
      <c r="R84" s="4"/>
      <c r="S84" s="4"/>
      <c r="T84" s="4"/>
      <c r="U84" s="4"/>
      <c r="V84" s="4"/>
      <c r="W84" s="4"/>
    </row>
    <row r="85" spans="1:23" x14ac:dyDescent="0.2">
      <c r="A85" s="4">
        <v>50</v>
      </c>
      <c r="B85" s="4">
        <v>0</v>
      </c>
      <c r="C85" s="4">
        <v>0</v>
      </c>
      <c r="D85" s="4">
        <v>1</v>
      </c>
      <c r="E85" s="4">
        <v>204</v>
      </c>
      <c r="F85" s="4">
        <f>ROUND(Source!R71,O85)</f>
        <v>591.16999999999996</v>
      </c>
      <c r="G85" s="4" t="s">
        <v>91</v>
      </c>
      <c r="H85" s="4" t="s">
        <v>92</v>
      </c>
      <c r="I85" s="4"/>
      <c r="J85" s="4"/>
      <c r="K85" s="4">
        <v>204</v>
      </c>
      <c r="L85" s="4">
        <v>13</v>
      </c>
      <c r="M85" s="4">
        <v>3</v>
      </c>
      <c r="N85" s="4" t="s">
        <v>3</v>
      </c>
      <c r="O85" s="4">
        <v>2</v>
      </c>
      <c r="P85" s="4"/>
      <c r="Q85" s="4"/>
      <c r="R85" s="4"/>
      <c r="S85" s="4"/>
      <c r="T85" s="4"/>
      <c r="U85" s="4"/>
      <c r="V85" s="4"/>
      <c r="W85" s="4"/>
    </row>
    <row r="86" spans="1:23" x14ac:dyDescent="0.2">
      <c r="A86" s="4">
        <v>50</v>
      </c>
      <c r="B86" s="4">
        <v>0</v>
      </c>
      <c r="C86" s="4">
        <v>0</v>
      </c>
      <c r="D86" s="4">
        <v>1</v>
      </c>
      <c r="E86" s="4">
        <v>205</v>
      </c>
      <c r="F86" s="4">
        <f>ROUND(Source!S71,O86)</f>
        <v>15196.2</v>
      </c>
      <c r="G86" s="4" t="s">
        <v>93</v>
      </c>
      <c r="H86" s="4" t="s">
        <v>94</v>
      </c>
      <c r="I86" s="4"/>
      <c r="J86" s="4"/>
      <c r="K86" s="4">
        <v>205</v>
      </c>
      <c r="L86" s="4">
        <v>14</v>
      </c>
      <c r="M86" s="4">
        <v>3</v>
      </c>
      <c r="N86" s="4" t="s">
        <v>3</v>
      </c>
      <c r="O86" s="4">
        <v>2</v>
      </c>
      <c r="P86" s="4"/>
      <c r="Q86" s="4"/>
      <c r="R86" s="4"/>
      <c r="S86" s="4"/>
      <c r="T86" s="4"/>
      <c r="U86" s="4"/>
      <c r="V86" s="4"/>
      <c r="W86" s="4"/>
    </row>
    <row r="87" spans="1:23" x14ac:dyDescent="0.2">
      <c r="A87" s="4">
        <v>50</v>
      </c>
      <c r="B87" s="4">
        <v>0</v>
      </c>
      <c r="C87" s="4">
        <v>0</v>
      </c>
      <c r="D87" s="4">
        <v>1</v>
      </c>
      <c r="E87" s="4">
        <v>232</v>
      </c>
      <c r="F87" s="4">
        <f>ROUND(Source!BC71,O87)</f>
        <v>0</v>
      </c>
      <c r="G87" s="4" t="s">
        <v>95</v>
      </c>
      <c r="H87" s="4" t="s">
        <v>96</v>
      </c>
      <c r="I87" s="4"/>
      <c r="J87" s="4"/>
      <c r="K87" s="4">
        <v>232</v>
      </c>
      <c r="L87" s="4">
        <v>15</v>
      </c>
      <c r="M87" s="4">
        <v>3</v>
      </c>
      <c r="N87" s="4" t="s">
        <v>3</v>
      </c>
      <c r="O87" s="4">
        <v>2</v>
      </c>
      <c r="P87" s="4"/>
      <c r="Q87" s="4"/>
      <c r="R87" s="4"/>
      <c r="S87" s="4"/>
      <c r="T87" s="4"/>
      <c r="U87" s="4"/>
      <c r="V87" s="4"/>
      <c r="W87" s="4"/>
    </row>
    <row r="88" spans="1:23" x14ac:dyDescent="0.2">
      <c r="A88" s="4">
        <v>50</v>
      </c>
      <c r="B88" s="4">
        <v>0</v>
      </c>
      <c r="C88" s="4">
        <v>0</v>
      </c>
      <c r="D88" s="4">
        <v>1</v>
      </c>
      <c r="E88" s="4">
        <v>214</v>
      </c>
      <c r="F88" s="4">
        <f>ROUND(Source!AS71,O88)</f>
        <v>31780.880000000001</v>
      </c>
      <c r="G88" s="4" t="s">
        <v>97</v>
      </c>
      <c r="H88" s="4" t="s">
        <v>98</v>
      </c>
      <c r="I88" s="4"/>
      <c r="J88" s="4"/>
      <c r="K88" s="4">
        <v>214</v>
      </c>
      <c r="L88" s="4">
        <v>16</v>
      </c>
      <c r="M88" s="4">
        <v>3</v>
      </c>
      <c r="N88" s="4" t="s">
        <v>3</v>
      </c>
      <c r="O88" s="4">
        <v>2</v>
      </c>
      <c r="P88" s="4"/>
      <c r="Q88" s="4"/>
      <c r="R88" s="4"/>
      <c r="S88" s="4"/>
      <c r="T88" s="4"/>
      <c r="U88" s="4"/>
      <c r="V88" s="4"/>
      <c r="W88" s="4"/>
    </row>
    <row r="89" spans="1:23" x14ac:dyDescent="0.2">
      <c r="A89" s="4">
        <v>50</v>
      </c>
      <c r="B89" s="4">
        <v>0</v>
      </c>
      <c r="C89" s="4">
        <v>0</v>
      </c>
      <c r="D89" s="4">
        <v>1</v>
      </c>
      <c r="E89" s="4">
        <v>215</v>
      </c>
      <c r="F89" s="4">
        <f>ROUND(Source!AT71,O89)</f>
        <v>31370.91</v>
      </c>
      <c r="G89" s="4" t="s">
        <v>99</v>
      </c>
      <c r="H89" s="4" t="s">
        <v>100</v>
      </c>
      <c r="I89" s="4"/>
      <c r="J89" s="4"/>
      <c r="K89" s="4">
        <v>215</v>
      </c>
      <c r="L89" s="4">
        <v>17</v>
      </c>
      <c r="M89" s="4">
        <v>3</v>
      </c>
      <c r="N89" s="4" t="s">
        <v>3</v>
      </c>
      <c r="O89" s="4">
        <v>2</v>
      </c>
      <c r="P89" s="4"/>
      <c r="Q89" s="4"/>
      <c r="R89" s="4"/>
      <c r="S89" s="4"/>
      <c r="T89" s="4"/>
      <c r="U89" s="4"/>
      <c r="V89" s="4"/>
      <c r="W89" s="4"/>
    </row>
    <row r="90" spans="1:23" x14ac:dyDescent="0.2">
      <c r="A90" s="4">
        <v>50</v>
      </c>
      <c r="B90" s="4">
        <v>0</v>
      </c>
      <c r="C90" s="4">
        <v>0</v>
      </c>
      <c r="D90" s="4">
        <v>1</v>
      </c>
      <c r="E90" s="4">
        <v>217</v>
      </c>
      <c r="F90" s="4">
        <f>ROUND(Source!AU71,O90)</f>
        <v>0</v>
      </c>
      <c r="G90" s="4" t="s">
        <v>101</v>
      </c>
      <c r="H90" s="4" t="s">
        <v>102</v>
      </c>
      <c r="I90" s="4"/>
      <c r="J90" s="4"/>
      <c r="K90" s="4">
        <v>217</v>
      </c>
      <c r="L90" s="4">
        <v>18</v>
      </c>
      <c r="M90" s="4">
        <v>3</v>
      </c>
      <c r="N90" s="4" t="s">
        <v>3</v>
      </c>
      <c r="O90" s="4">
        <v>2</v>
      </c>
      <c r="P90" s="4"/>
      <c r="Q90" s="4"/>
      <c r="R90" s="4"/>
      <c r="S90" s="4"/>
      <c r="T90" s="4"/>
      <c r="U90" s="4"/>
      <c r="V90" s="4"/>
      <c r="W90" s="4"/>
    </row>
    <row r="91" spans="1:23" x14ac:dyDescent="0.2">
      <c r="A91" s="4">
        <v>50</v>
      </c>
      <c r="B91" s="4">
        <v>0</v>
      </c>
      <c r="C91" s="4">
        <v>0</v>
      </c>
      <c r="D91" s="4">
        <v>1</v>
      </c>
      <c r="E91" s="4">
        <v>230</v>
      </c>
      <c r="F91" s="4">
        <f>ROUND(Source!BA71,O91)</f>
        <v>0</v>
      </c>
      <c r="G91" s="4" t="s">
        <v>103</v>
      </c>
      <c r="H91" s="4" t="s">
        <v>104</v>
      </c>
      <c r="I91" s="4"/>
      <c r="J91" s="4"/>
      <c r="K91" s="4">
        <v>230</v>
      </c>
      <c r="L91" s="4">
        <v>19</v>
      </c>
      <c r="M91" s="4">
        <v>3</v>
      </c>
      <c r="N91" s="4" t="s">
        <v>3</v>
      </c>
      <c r="O91" s="4">
        <v>2</v>
      </c>
      <c r="P91" s="4"/>
      <c r="Q91" s="4"/>
      <c r="R91" s="4"/>
      <c r="S91" s="4"/>
      <c r="T91" s="4"/>
      <c r="U91" s="4"/>
      <c r="V91" s="4"/>
      <c r="W91" s="4"/>
    </row>
    <row r="92" spans="1:23" x14ac:dyDescent="0.2">
      <c r="A92" s="4">
        <v>50</v>
      </c>
      <c r="B92" s="4">
        <v>0</v>
      </c>
      <c r="C92" s="4">
        <v>0</v>
      </c>
      <c r="D92" s="4">
        <v>1</v>
      </c>
      <c r="E92" s="4">
        <v>206</v>
      </c>
      <c r="F92" s="4">
        <f>ROUND(Source!T71,O92)</f>
        <v>0</v>
      </c>
      <c r="G92" s="4" t="s">
        <v>105</v>
      </c>
      <c r="H92" s="4" t="s">
        <v>106</v>
      </c>
      <c r="I92" s="4"/>
      <c r="J92" s="4"/>
      <c r="K92" s="4">
        <v>206</v>
      </c>
      <c r="L92" s="4">
        <v>20</v>
      </c>
      <c r="M92" s="4">
        <v>3</v>
      </c>
      <c r="N92" s="4" t="s">
        <v>3</v>
      </c>
      <c r="O92" s="4">
        <v>2</v>
      </c>
      <c r="P92" s="4"/>
      <c r="Q92" s="4"/>
      <c r="R92" s="4"/>
      <c r="S92" s="4"/>
      <c r="T92" s="4"/>
      <c r="U92" s="4"/>
      <c r="V92" s="4"/>
      <c r="W92" s="4"/>
    </row>
    <row r="93" spans="1:23" x14ac:dyDescent="0.2">
      <c r="A93" s="4">
        <v>50</v>
      </c>
      <c r="B93" s="4">
        <v>0</v>
      </c>
      <c r="C93" s="4">
        <v>0</v>
      </c>
      <c r="D93" s="4">
        <v>1</v>
      </c>
      <c r="E93" s="4">
        <v>207</v>
      </c>
      <c r="F93" s="4">
        <f>Source!U71</f>
        <v>57.188379999999995</v>
      </c>
      <c r="G93" s="4" t="s">
        <v>107</v>
      </c>
      <c r="H93" s="4" t="s">
        <v>108</v>
      </c>
      <c r="I93" s="4"/>
      <c r="J93" s="4"/>
      <c r="K93" s="4">
        <v>207</v>
      </c>
      <c r="L93" s="4">
        <v>21</v>
      </c>
      <c r="M93" s="4">
        <v>3</v>
      </c>
      <c r="N93" s="4" t="s">
        <v>3</v>
      </c>
      <c r="O93" s="4">
        <v>-1</v>
      </c>
      <c r="P93" s="4"/>
      <c r="Q93" s="4"/>
      <c r="R93" s="4"/>
      <c r="S93" s="4"/>
      <c r="T93" s="4"/>
      <c r="U93" s="4"/>
      <c r="V93" s="4"/>
      <c r="W93" s="4"/>
    </row>
    <row r="94" spans="1:23" x14ac:dyDescent="0.2">
      <c r="A94" s="4">
        <v>50</v>
      </c>
      <c r="B94" s="4">
        <v>0</v>
      </c>
      <c r="C94" s="4">
        <v>0</v>
      </c>
      <c r="D94" s="4">
        <v>1</v>
      </c>
      <c r="E94" s="4">
        <v>208</v>
      </c>
      <c r="F94" s="4">
        <f>Source!V71</f>
        <v>1.483525</v>
      </c>
      <c r="G94" s="4" t="s">
        <v>109</v>
      </c>
      <c r="H94" s="4" t="s">
        <v>110</v>
      </c>
      <c r="I94" s="4"/>
      <c r="J94" s="4"/>
      <c r="K94" s="4">
        <v>208</v>
      </c>
      <c r="L94" s="4">
        <v>22</v>
      </c>
      <c r="M94" s="4">
        <v>3</v>
      </c>
      <c r="N94" s="4" t="s">
        <v>3</v>
      </c>
      <c r="O94" s="4">
        <v>-1</v>
      </c>
      <c r="P94" s="4"/>
      <c r="Q94" s="4"/>
      <c r="R94" s="4"/>
      <c r="S94" s="4"/>
      <c r="T94" s="4"/>
      <c r="U94" s="4"/>
      <c r="V94" s="4"/>
      <c r="W94" s="4"/>
    </row>
    <row r="95" spans="1:23" x14ac:dyDescent="0.2">
      <c r="A95" s="4">
        <v>50</v>
      </c>
      <c r="B95" s="4">
        <v>0</v>
      </c>
      <c r="C95" s="4">
        <v>0</v>
      </c>
      <c r="D95" s="4">
        <v>1</v>
      </c>
      <c r="E95" s="4">
        <v>209</v>
      </c>
      <c r="F95" s="4">
        <f>ROUND(Source!W71,O95)</f>
        <v>0.75</v>
      </c>
      <c r="G95" s="4" t="s">
        <v>111</v>
      </c>
      <c r="H95" s="4" t="s">
        <v>112</v>
      </c>
      <c r="I95" s="4"/>
      <c r="J95" s="4"/>
      <c r="K95" s="4">
        <v>209</v>
      </c>
      <c r="L95" s="4">
        <v>23</v>
      </c>
      <c r="M95" s="4">
        <v>3</v>
      </c>
      <c r="N95" s="4" t="s">
        <v>3</v>
      </c>
      <c r="O95" s="4">
        <v>2</v>
      </c>
      <c r="P95" s="4"/>
      <c r="Q95" s="4"/>
      <c r="R95" s="4"/>
      <c r="S95" s="4"/>
      <c r="T95" s="4"/>
      <c r="U95" s="4"/>
      <c r="V95" s="4"/>
      <c r="W95" s="4"/>
    </row>
    <row r="96" spans="1:23" x14ac:dyDescent="0.2">
      <c r="A96" s="4">
        <v>50</v>
      </c>
      <c r="B96" s="4">
        <v>0</v>
      </c>
      <c r="C96" s="4">
        <v>0</v>
      </c>
      <c r="D96" s="4">
        <v>1</v>
      </c>
      <c r="E96" s="4">
        <v>233</v>
      </c>
      <c r="F96" s="4">
        <f>ROUND(Source!BD71,O96)</f>
        <v>0</v>
      </c>
      <c r="G96" s="4" t="s">
        <v>113</v>
      </c>
      <c r="H96" s="4" t="s">
        <v>114</v>
      </c>
      <c r="I96" s="4"/>
      <c r="J96" s="4"/>
      <c r="K96" s="4">
        <v>233</v>
      </c>
      <c r="L96" s="4">
        <v>24</v>
      </c>
      <c r="M96" s="4">
        <v>3</v>
      </c>
      <c r="N96" s="4" t="s">
        <v>3</v>
      </c>
      <c r="O96" s="4">
        <v>2</v>
      </c>
      <c r="P96" s="4"/>
      <c r="Q96" s="4"/>
      <c r="R96" s="4"/>
      <c r="S96" s="4"/>
      <c r="T96" s="4"/>
      <c r="U96" s="4"/>
      <c r="V96" s="4"/>
      <c r="W96" s="4"/>
    </row>
    <row r="97" spans="1:206" x14ac:dyDescent="0.2">
      <c r="A97" s="4">
        <v>50</v>
      </c>
      <c r="B97" s="4">
        <v>0</v>
      </c>
      <c r="C97" s="4">
        <v>0</v>
      </c>
      <c r="D97" s="4">
        <v>1</v>
      </c>
      <c r="E97" s="4">
        <v>210</v>
      </c>
      <c r="F97" s="4">
        <f>ROUND(Source!X71,O97)</f>
        <v>13680.21</v>
      </c>
      <c r="G97" s="4" t="s">
        <v>115</v>
      </c>
      <c r="H97" s="4" t="s">
        <v>116</v>
      </c>
      <c r="I97" s="4"/>
      <c r="J97" s="4"/>
      <c r="K97" s="4">
        <v>210</v>
      </c>
      <c r="L97" s="4">
        <v>25</v>
      </c>
      <c r="M97" s="4">
        <v>3</v>
      </c>
      <c r="N97" s="4" t="s">
        <v>3</v>
      </c>
      <c r="O97" s="4">
        <v>2</v>
      </c>
      <c r="P97" s="4"/>
      <c r="Q97" s="4"/>
      <c r="R97" s="4"/>
      <c r="S97" s="4"/>
      <c r="T97" s="4"/>
      <c r="U97" s="4"/>
      <c r="V97" s="4"/>
      <c r="W97" s="4"/>
    </row>
    <row r="98" spans="1:206" x14ac:dyDescent="0.2">
      <c r="A98" s="4">
        <v>50</v>
      </c>
      <c r="B98" s="4">
        <v>0</v>
      </c>
      <c r="C98" s="4">
        <v>0</v>
      </c>
      <c r="D98" s="4">
        <v>1</v>
      </c>
      <c r="E98" s="4">
        <v>211</v>
      </c>
      <c r="F98" s="4">
        <f>ROUND(Source!Y71,O98)</f>
        <v>9682.48</v>
      </c>
      <c r="G98" s="4" t="s">
        <v>117</v>
      </c>
      <c r="H98" s="4" t="s">
        <v>118</v>
      </c>
      <c r="I98" s="4"/>
      <c r="J98" s="4"/>
      <c r="K98" s="4">
        <v>211</v>
      </c>
      <c r="L98" s="4">
        <v>26</v>
      </c>
      <c r="M98" s="4">
        <v>3</v>
      </c>
      <c r="N98" s="4" t="s">
        <v>3</v>
      </c>
      <c r="O98" s="4">
        <v>2</v>
      </c>
      <c r="P98" s="4"/>
      <c r="Q98" s="4"/>
      <c r="R98" s="4"/>
      <c r="S98" s="4"/>
      <c r="T98" s="4"/>
      <c r="U98" s="4"/>
      <c r="V98" s="4"/>
      <c r="W98" s="4"/>
    </row>
    <row r="99" spans="1:206" x14ac:dyDescent="0.2">
      <c r="A99" s="4">
        <v>50</v>
      </c>
      <c r="B99" s="4">
        <v>0</v>
      </c>
      <c r="C99" s="4">
        <v>0</v>
      </c>
      <c r="D99" s="4">
        <v>1</v>
      </c>
      <c r="E99" s="4">
        <v>224</v>
      </c>
      <c r="F99" s="4">
        <f>ROUND(Source!AR71,O99)</f>
        <v>3550368.87</v>
      </c>
      <c r="G99" s="4" t="s">
        <v>119</v>
      </c>
      <c r="H99" s="4" t="s">
        <v>120</v>
      </c>
      <c r="I99" s="4"/>
      <c r="J99" s="4"/>
      <c r="K99" s="4">
        <v>224</v>
      </c>
      <c r="L99" s="4">
        <v>27</v>
      </c>
      <c r="M99" s="4">
        <v>3</v>
      </c>
      <c r="N99" s="4" t="s">
        <v>3</v>
      </c>
      <c r="O99" s="4">
        <v>2</v>
      </c>
      <c r="P99" s="4"/>
      <c r="Q99" s="4"/>
      <c r="R99" s="4"/>
      <c r="S99" s="4"/>
      <c r="T99" s="4"/>
      <c r="U99" s="4"/>
      <c r="V99" s="4"/>
      <c r="W99" s="4"/>
    </row>
    <row r="101" spans="1:206" x14ac:dyDescent="0.2">
      <c r="A101" s="2">
        <v>51</v>
      </c>
      <c r="B101" s="2">
        <f>B20</f>
        <v>1</v>
      </c>
      <c r="C101" s="2">
        <f>A20</f>
        <v>3</v>
      </c>
      <c r="D101" s="2">
        <f>ROW(A20)</f>
        <v>20</v>
      </c>
      <c r="E101" s="2"/>
      <c r="F101" s="2" t="str">
        <f>IF(F20&lt;&gt;"",F20,"")</f>
        <v>Новая локальная смета</v>
      </c>
      <c r="G101" s="2" t="str">
        <f>IF(G20&lt;&gt;"",G20,"")</f>
        <v>Монтаж оборудования</v>
      </c>
      <c r="H101" s="2">
        <v>0</v>
      </c>
      <c r="I101" s="2"/>
      <c r="J101" s="2"/>
      <c r="K101" s="2"/>
      <c r="L101" s="2"/>
      <c r="M101" s="2"/>
      <c r="N101" s="2"/>
      <c r="O101" s="2">
        <f t="shared" ref="O101:T101" si="66">ROUND(O71+AB101,2)</f>
        <v>3527006.18</v>
      </c>
      <c r="P101" s="2">
        <f t="shared" si="66"/>
        <v>3509853.7</v>
      </c>
      <c r="Q101" s="2">
        <f t="shared" si="66"/>
        <v>1956.28</v>
      </c>
      <c r="R101" s="2">
        <f t="shared" si="66"/>
        <v>591.16999999999996</v>
      </c>
      <c r="S101" s="2">
        <f t="shared" si="66"/>
        <v>15196.2</v>
      </c>
      <c r="T101" s="2">
        <f t="shared" si="66"/>
        <v>0</v>
      </c>
      <c r="U101" s="2">
        <f>U71+AH101</f>
        <v>57.188379999999995</v>
      </c>
      <c r="V101" s="2">
        <f>V71+AI101</f>
        <v>1.483525</v>
      </c>
      <c r="W101" s="2">
        <f>ROUND(W71+AJ101,2)</f>
        <v>0.75</v>
      </c>
      <c r="X101" s="2">
        <f>ROUND(X71+AK101,2)</f>
        <v>13680.21</v>
      </c>
      <c r="Y101" s="2">
        <f>ROUND(Y71+AL101,2)</f>
        <v>9682.48</v>
      </c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>
        <f t="shared" ref="AO101:BD101" si="67">ROUND(AO71+BX101,2)</f>
        <v>0</v>
      </c>
      <c r="AP101" s="2">
        <f t="shared" si="67"/>
        <v>3487217.08</v>
      </c>
      <c r="AQ101" s="2">
        <f t="shared" si="67"/>
        <v>0</v>
      </c>
      <c r="AR101" s="2">
        <f t="shared" si="67"/>
        <v>3550368.87</v>
      </c>
      <c r="AS101" s="2">
        <f t="shared" si="67"/>
        <v>31780.880000000001</v>
      </c>
      <c r="AT101" s="2">
        <f t="shared" si="67"/>
        <v>31370.91</v>
      </c>
      <c r="AU101" s="2">
        <f t="shared" si="67"/>
        <v>0</v>
      </c>
      <c r="AV101" s="2">
        <f t="shared" si="67"/>
        <v>3509853.7</v>
      </c>
      <c r="AW101" s="2">
        <f t="shared" si="67"/>
        <v>22636.62</v>
      </c>
      <c r="AX101" s="2">
        <f t="shared" si="67"/>
        <v>0</v>
      </c>
      <c r="AY101" s="2">
        <f t="shared" si="67"/>
        <v>22636.62</v>
      </c>
      <c r="AZ101" s="2">
        <f t="shared" si="67"/>
        <v>3487217.08</v>
      </c>
      <c r="BA101" s="2">
        <f t="shared" si="67"/>
        <v>0</v>
      </c>
      <c r="BB101" s="2">
        <f t="shared" si="67"/>
        <v>0</v>
      </c>
      <c r="BC101" s="2">
        <f t="shared" si="67"/>
        <v>0</v>
      </c>
      <c r="BD101" s="2">
        <f t="shared" si="67"/>
        <v>0</v>
      </c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  <c r="CA101" s="2"/>
      <c r="CB101" s="2"/>
      <c r="CC101" s="2"/>
      <c r="CD101" s="2"/>
      <c r="CE101" s="2"/>
      <c r="CF101" s="2"/>
      <c r="CG101" s="2"/>
      <c r="CH101" s="2"/>
      <c r="CI101" s="2"/>
      <c r="CJ101" s="2"/>
      <c r="CK101" s="2"/>
      <c r="CL101" s="2"/>
      <c r="CM101" s="2"/>
      <c r="CN101" s="2"/>
      <c r="CO101" s="2"/>
      <c r="CP101" s="2"/>
      <c r="CQ101" s="2"/>
      <c r="CR101" s="2"/>
      <c r="CS101" s="2"/>
      <c r="CT101" s="2"/>
      <c r="CU101" s="2"/>
      <c r="CV101" s="2"/>
      <c r="CW101" s="2"/>
      <c r="CX101" s="2"/>
      <c r="CY101" s="2"/>
      <c r="CZ101" s="2"/>
      <c r="DA101" s="2"/>
      <c r="DB101" s="2"/>
      <c r="DC101" s="2"/>
      <c r="DD101" s="2"/>
      <c r="DE101" s="2"/>
      <c r="DF101" s="2"/>
      <c r="DG101" s="3"/>
      <c r="DH101" s="3"/>
      <c r="DI101" s="3"/>
      <c r="DJ101" s="3"/>
      <c r="DK101" s="3"/>
      <c r="DL101" s="3"/>
      <c r="DM101" s="3"/>
      <c r="DN101" s="3"/>
      <c r="DO101" s="3"/>
      <c r="DP101" s="3"/>
      <c r="DQ101" s="3"/>
      <c r="DR101" s="3"/>
      <c r="DS101" s="3"/>
      <c r="DT101" s="3"/>
      <c r="DU101" s="3"/>
      <c r="DV101" s="3"/>
      <c r="DW101" s="3"/>
      <c r="DX101" s="3"/>
      <c r="DY101" s="3"/>
      <c r="DZ101" s="3"/>
      <c r="EA101" s="3"/>
      <c r="EB101" s="3"/>
      <c r="EC101" s="3"/>
      <c r="ED101" s="3"/>
      <c r="EE101" s="3"/>
      <c r="EF101" s="3"/>
      <c r="EG101" s="3"/>
      <c r="EH101" s="3"/>
      <c r="EI101" s="3"/>
      <c r="EJ101" s="3"/>
      <c r="EK101" s="3"/>
      <c r="EL101" s="3"/>
      <c r="EM101" s="3"/>
      <c r="EN101" s="3"/>
      <c r="EO101" s="3"/>
      <c r="EP101" s="3"/>
      <c r="EQ101" s="3"/>
      <c r="ER101" s="3"/>
      <c r="ES101" s="3"/>
      <c r="ET101" s="3"/>
      <c r="EU101" s="3"/>
      <c r="EV101" s="3"/>
      <c r="EW101" s="3"/>
      <c r="EX101" s="3"/>
      <c r="EY101" s="3"/>
      <c r="EZ101" s="3"/>
      <c r="FA101" s="3"/>
      <c r="FB101" s="3"/>
      <c r="FC101" s="3"/>
      <c r="FD101" s="3"/>
      <c r="FE101" s="3"/>
      <c r="FF101" s="3"/>
      <c r="FG101" s="3"/>
      <c r="FH101" s="3"/>
      <c r="FI101" s="3"/>
      <c r="FJ101" s="3"/>
      <c r="FK101" s="3"/>
      <c r="FL101" s="3"/>
      <c r="FM101" s="3"/>
      <c r="FN101" s="3"/>
      <c r="FO101" s="3"/>
      <c r="FP101" s="3"/>
      <c r="FQ101" s="3"/>
      <c r="FR101" s="3"/>
      <c r="FS101" s="3"/>
      <c r="FT101" s="3"/>
      <c r="FU101" s="3"/>
      <c r="FV101" s="3"/>
      <c r="FW101" s="3"/>
      <c r="FX101" s="3"/>
      <c r="FY101" s="3"/>
      <c r="FZ101" s="3"/>
      <c r="GA101" s="3"/>
      <c r="GB101" s="3"/>
      <c r="GC101" s="3"/>
      <c r="GD101" s="3"/>
      <c r="GE101" s="3"/>
      <c r="GF101" s="3"/>
      <c r="GG101" s="3"/>
      <c r="GH101" s="3"/>
      <c r="GI101" s="3"/>
      <c r="GJ101" s="3"/>
      <c r="GK101" s="3"/>
      <c r="GL101" s="3"/>
      <c r="GM101" s="3"/>
      <c r="GN101" s="3"/>
      <c r="GO101" s="3"/>
      <c r="GP101" s="3"/>
      <c r="GQ101" s="3"/>
      <c r="GR101" s="3"/>
      <c r="GS101" s="3"/>
      <c r="GT101" s="3"/>
      <c r="GU101" s="3"/>
      <c r="GV101" s="3"/>
      <c r="GW101" s="3"/>
      <c r="GX101" s="3">
        <v>0</v>
      </c>
    </row>
    <row r="103" spans="1:206" x14ac:dyDescent="0.2">
      <c r="A103" s="4">
        <v>50</v>
      </c>
      <c r="B103" s="4">
        <v>0</v>
      </c>
      <c r="C103" s="4">
        <v>0</v>
      </c>
      <c r="D103" s="4">
        <v>1</v>
      </c>
      <c r="E103" s="4">
        <v>201</v>
      </c>
      <c r="F103" s="4">
        <f>ROUND(Source!O101,O103)</f>
        <v>3527006.18</v>
      </c>
      <c r="G103" s="4" t="s">
        <v>67</v>
      </c>
      <c r="H103" s="4" t="s">
        <v>68</v>
      </c>
      <c r="I103" s="4"/>
      <c r="J103" s="4"/>
      <c r="K103" s="4">
        <v>201</v>
      </c>
      <c r="L103" s="4">
        <v>1</v>
      </c>
      <c r="M103" s="4">
        <v>3</v>
      </c>
      <c r="N103" s="4" t="s">
        <v>3</v>
      </c>
      <c r="O103" s="4">
        <v>2</v>
      </c>
      <c r="P103" s="4"/>
      <c r="Q103" s="4"/>
      <c r="R103" s="4"/>
      <c r="S103" s="4"/>
      <c r="T103" s="4"/>
      <c r="U103" s="4"/>
      <c r="V103" s="4"/>
      <c r="W103" s="4"/>
    </row>
    <row r="104" spans="1:206" x14ac:dyDescent="0.2">
      <c r="A104" s="4">
        <v>50</v>
      </c>
      <c r="B104" s="4">
        <v>0</v>
      </c>
      <c r="C104" s="4">
        <v>0</v>
      </c>
      <c r="D104" s="4">
        <v>1</v>
      </c>
      <c r="E104" s="4">
        <v>202</v>
      </c>
      <c r="F104" s="4">
        <f>ROUND(Source!P101,O104)</f>
        <v>3509853.7</v>
      </c>
      <c r="G104" s="4" t="s">
        <v>69</v>
      </c>
      <c r="H104" s="4" t="s">
        <v>70</v>
      </c>
      <c r="I104" s="4"/>
      <c r="J104" s="4"/>
      <c r="K104" s="4">
        <v>202</v>
      </c>
      <c r="L104" s="4">
        <v>2</v>
      </c>
      <c r="M104" s="4">
        <v>3</v>
      </c>
      <c r="N104" s="4" t="s">
        <v>3</v>
      </c>
      <c r="O104" s="4">
        <v>2</v>
      </c>
      <c r="P104" s="4"/>
      <c r="Q104" s="4"/>
      <c r="R104" s="4"/>
      <c r="S104" s="4"/>
      <c r="T104" s="4"/>
      <c r="U104" s="4"/>
      <c r="V104" s="4"/>
      <c r="W104" s="4"/>
    </row>
    <row r="105" spans="1:206" x14ac:dyDescent="0.2">
      <c r="A105" s="4">
        <v>50</v>
      </c>
      <c r="B105" s="4">
        <v>0</v>
      </c>
      <c r="C105" s="4">
        <v>0</v>
      </c>
      <c r="D105" s="4">
        <v>1</v>
      </c>
      <c r="E105" s="4">
        <v>222</v>
      </c>
      <c r="F105" s="4">
        <f>ROUND(Source!AO101,O105)</f>
        <v>0</v>
      </c>
      <c r="G105" s="4" t="s">
        <v>71</v>
      </c>
      <c r="H105" s="4" t="s">
        <v>72</v>
      </c>
      <c r="I105" s="4"/>
      <c r="J105" s="4"/>
      <c r="K105" s="4">
        <v>222</v>
      </c>
      <c r="L105" s="4">
        <v>3</v>
      </c>
      <c r="M105" s="4">
        <v>3</v>
      </c>
      <c r="N105" s="4" t="s">
        <v>3</v>
      </c>
      <c r="O105" s="4">
        <v>2</v>
      </c>
      <c r="P105" s="4"/>
      <c r="Q105" s="4"/>
      <c r="R105" s="4"/>
      <c r="S105" s="4"/>
      <c r="T105" s="4"/>
      <c r="U105" s="4"/>
      <c r="V105" s="4"/>
      <c r="W105" s="4"/>
    </row>
    <row r="106" spans="1:206" x14ac:dyDescent="0.2">
      <c r="A106" s="4">
        <v>50</v>
      </c>
      <c r="B106" s="4">
        <v>0</v>
      </c>
      <c r="C106" s="4">
        <v>0</v>
      </c>
      <c r="D106" s="4">
        <v>1</v>
      </c>
      <c r="E106" s="4">
        <v>225</v>
      </c>
      <c r="F106" s="4">
        <f>ROUND(Source!AV101,O106)</f>
        <v>3509853.7</v>
      </c>
      <c r="G106" s="4" t="s">
        <v>73</v>
      </c>
      <c r="H106" s="4" t="s">
        <v>74</v>
      </c>
      <c r="I106" s="4"/>
      <c r="J106" s="4"/>
      <c r="K106" s="4">
        <v>225</v>
      </c>
      <c r="L106" s="4">
        <v>4</v>
      </c>
      <c r="M106" s="4">
        <v>3</v>
      </c>
      <c r="N106" s="4" t="s">
        <v>3</v>
      </c>
      <c r="O106" s="4">
        <v>2</v>
      </c>
      <c r="P106" s="4"/>
      <c r="Q106" s="4"/>
      <c r="R106" s="4"/>
      <c r="S106" s="4"/>
      <c r="T106" s="4"/>
      <c r="U106" s="4"/>
      <c r="V106" s="4"/>
      <c r="W106" s="4"/>
    </row>
    <row r="107" spans="1:206" x14ac:dyDescent="0.2">
      <c r="A107" s="4">
        <v>50</v>
      </c>
      <c r="B107" s="4">
        <v>0</v>
      </c>
      <c r="C107" s="4">
        <v>0</v>
      </c>
      <c r="D107" s="4">
        <v>1</v>
      </c>
      <c r="E107" s="4">
        <v>226</v>
      </c>
      <c r="F107" s="4">
        <f>ROUND(Source!AW101,O107)</f>
        <v>22636.62</v>
      </c>
      <c r="G107" s="4" t="s">
        <v>75</v>
      </c>
      <c r="H107" s="4" t="s">
        <v>76</v>
      </c>
      <c r="I107" s="4"/>
      <c r="J107" s="4"/>
      <c r="K107" s="4">
        <v>226</v>
      </c>
      <c r="L107" s="4">
        <v>5</v>
      </c>
      <c r="M107" s="4">
        <v>3</v>
      </c>
      <c r="N107" s="4" t="s">
        <v>3</v>
      </c>
      <c r="O107" s="4">
        <v>2</v>
      </c>
      <c r="P107" s="4"/>
      <c r="Q107" s="4"/>
      <c r="R107" s="4"/>
      <c r="S107" s="4"/>
      <c r="T107" s="4"/>
      <c r="U107" s="4"/>
      <c r="V107" s="4"/>
      <c r="W107" s="4"/>
    </row>
    <row r="108" spans="1:206" x14ac:dyDescent="0.2">
      <c r="A108" s="4">
        <v>50</v>
      </c>
      <c r="B108" s="4">
        <v>0</v>
      </c>
      <c r="C108" s="4">
        <v>0</v>
      </c>
      <c r="D108" s="4">
        <v>1</v>
      </c>
      <c r="E108" s="4">
        <v>227</v>
      </c>
      <c r="F108" s="4">
        <f>ROUND(Source!AX101,O108)</f>
        <v>0</v>
      </c>
      <c r="G108" s="4" t="s">
        <v>77</v>
      </c>
      <c r="H108" s="4" t="s">
        <v>78</v>
      </c>
      <c r="I108" s="4"/>
      <c r="J108" s="4"/>
      <c r="K108" s="4">
        <v>227</v>
      </c>
      <c r="L108" s="4">
        <v>6</v>
      </c>
      <c r="M108" s="4">
        <v>3</v>
      </c>
      <c r="N108" s="4" t="s">
        <v>3</v>
      </c>
      <c r="O108" s="4">
        <v>2</v>
      </c>
      <c r="P108" s="4"/>
      <c r="Q108" s="4"/>
      <c r="R108" s="4"/>
      <c r="S108" s="4"/>
      <c r="T108" s="4"/>
      <c r="U108" s="4"/>
      <c r="V108" s="4"/>
      <c r="W108" s="4"/>
    </row>
    <row r="109" spans="1:206" x14ac:dyDescent="0.2">
      <c r="A109" s="4">
        <v>50</v>
      </c>
      <c r="B109" s="4">
        <v>0</v>
      </c>
      <c r="C109" s="4">
        <v>0</v>
      </c>
      <c r="D109" s="4">
        <v>1</v>
      </c>
      <c r="E109" s="4">
        <v>228</v>
      </c>
      <c r="F109" s="4">
        <f>ROUND(Source!AY101,O109)</f>
        <v>22636.62</v>
      </c>
      <c r="G109" s="4" t="s">
        <v>79</v>
      </c>
      <c r="H109" s="4" t="s">
        <v>80</v>
      </c>
      <c r="I109" s="4"/>
      <c r="J109" s="4"/>
      <c r="K109" s="4">
        <v>228</v>
      </c>
      <c r="L109" s="4">
        <v>7</v>
      </c>
      <c r="M109" s="4">
        <v>3</v>
      </c>
      <c r="N109" s="4" t="s">
        <v>3</v>
      </c>
      <c r="O109" s="4">
        <v>2</v>
      </c>
      <c r="P109" s="4"/>
      <c r="Q109" s="4"/>
      <c r="R109" s="4"/>
      <c r="S109" s="4"/>
      <c r="T109" s="4"/>
      <c r="U109" s="4"/>
      <c r="V109" s="4"/>
      <c r="W109" s="4"/>
    </row>
    <row r="110" spans="1:206" x14ac:dyDescent="0.2">
      <c r="A110" s="4">
        <v>50</v>
      </c>
      <c r="B110" s="4">
        <v>0</v>
      </c>
      <c r="C110" s="4">
        <v>0</v>
      </c>
      <c r="D110" s="4">
        <v>1</v>
      </c>
      <c r="E110" s="4">
        <v>216</v>
      </c>
      <c r="F110" s="4">
        <f>ROUND(Source!AP101,O110)</f>
        <v>3487217.08</v>
      </c>
      <c r="G110" s="4" t="s">
        <v>81</v>
      </c>
      <c r="H110" s="4" t="s">
        <v>82</v>
      </c>
      <c r="I110" s="4"/>
      <c r="J110" s="4"/>
      <c r="K110" s="4">
        <v>216</v>
      </c>
      <c r="L110" s="4">
        <v>8</v>
      </c>
      <c r="M110" s="4">
        <v>3</v>
      </c>
      <c r="N110" s="4" t="s">
        <v>3</v>
      </c>
      <c r="O110" s="4">
        <v>2</v>
      </c>
      <c r="P110" s="4"/>
      <c r="Q110" s="4"/>
      <c r="R110" s="4"/>
      <c r="S110" s="4"/>
      <c r="T110" s="4"/>
      <c r="U110" s="4"/>
      <c r="V110" s="4"/>
      <c r="W110" s="4"/>
    </row>
    <row r="111" spans="1:206" x14ac:dyDescent="0.2">
      <c r="A111" s="4">
        <v>50</v>
      </c>
      <c r="B111" s="4">
        <v>0</v>
      </c>
      <c r="C111" s="4">
        <v>0</v>
      </c>
      <c r="D111" s="4">
        <v>1</v>
      </c>
      <c r="E111" s="4">
        <v>223</v>
      </c>
      <c r="F111" s="4">
        <f>ROUND(Source!AQ101,O111)</f>
        <v>0</v>
      </c>
      <c r="G111" s="4" t="s">
        <v>83</v>
      </c>
      <c r="H111" s="4" t="s">
        <v>84</v>
      </c>
      <c r="I111" s="4"/>
      <c r="J111" s="4"/>
      <c r="K111" s="4">
        <v>223</v>
      </c>
      <c r="L111" s="4">
        <v>9</v>
      </c>
      <c r="M111" s="4">
        <v>3</v>
      </c>
      <c r="N111" s="4" t="s">
        <v>3</v>
      </c>
      <c r="O111" s="4">
        <v>2</v>
      </c>
      <c r="P111" s="4"/>
      <c r="Q111" s="4"/>
      <c r="R111" s="4"/>
      <c r="S111" s="4"/>
      <c r="T111" s="4"/>
      <c r="U111" s="4"/>
      <c r="V111" s="4"/>
      <c r="W111" s="4"/>
    </row>
    <row r="112" spans="1:206" x14ac:dyDescent="0.2">
      <c r="A112" s="4">
        <v>50</v>
      </c>
      <c r="B112" s="4">
        <v>0</v>
      </c>
      <c r="C112" s="4">
        <v>0</v>
      </c>
      <c r="D112" s="4">
        <v>1</v>
      </c>
      <c r="E112" s="4">
        <v>229</v>
      </c>
      <c r="F112" s="4">
        <f>ROUND(Source!AZ101,O112)</f>
        <v>3487217.08</v>
      </c>
      <c r="G112" s="4" t="s">
        <v>85</v>
      </c>
      <c r="H112" s="4" t="s">
        <v>86</v>
      </c>
      <c r="I112" s="4"/>
      <c r="J112" s="4"/>
      <c r="K112" s="4">
        <v>229</v>
      </c>
      <c r="L112" s="4">
        <v>10</v>
      </c>
      <c r="M112" s="4">
        <v>3</v>
      </c>
      <c r="N112" s="4" t="s">
        <v>3</v>
      </c>
      <c r="O112" s="4">
        <v>2</v>
      </c>
      <c r="P112" s="4"/>
      <c r="Q112" s="4"/>
      <c r="R112" s="4"/>
      <c r="S112" s="4"/>
      <c r="T112" s="4"/>
      <c r="U112" s="4"/>
      <c r="V112" s="4"/>
      <c r="W112" s="4"/>
    </row>
    <row r="113" spans="1:23" x14ac:dyDescent="0.2">
      <c r="A113" s="4">
        <v>50</v>
      </c>
      <c r="B113" s="4">
        <v>0</v>
      </c>
      <c r="C113" s="4">
        <v>0</v>
      </c>
      <c r="D113" s="4">
        <v>1</v>
      </c>
      <c r="E113" s="4">
        <v>203</v>
      </c>
      <c r="F113" s="4">
        <f>ROUND(Source!Q101,O113)</f>
        <v>1956.28</v>
      </c>
      <c r="G113" s="4" t="s">
        <v>87</v>
      </c>
      <c r="H113" s="4" t="s">
        <v>88</v>
      </c>
      <c r="I113" s="4"/>
      <c r="J113" s="4"/>
      <c r="K113" s="4">
        <v>203</v>
      </c>
      <c r="L113" s="4">
        <v>11</v>
      </c>
      <c r="M113" s="4">
        <v>3</v>
      </c>
      <c r="N113" s="4" t="s">
        <v>3</v>
      </c>
      <c r="O113" s="4">
        <v>2</v>
      </c>
      <c r="P113" s="4"/>
      <c r="Q113" s="4"/>
      <c r="R113" s="4"/>
      <c r="S113" s="4"/>
      <c r="T113" s="4"/>
      <c r="U113" s="4"/>
      <c r="V113" s="4"/>
      <c r="W113" s="4"/>
    </row>
    <row r="114" spans="1:23" x14ac:dyDescent="0.2">
      <c r="A114" s="4">
        <v>50</v>
      </c>
      <c r="B114" s="4">
        <v>0</v>
      </c>
      <c r="C114" s="4">
        <v>0</v>
      </c>
      <c r="D114" s="4">
        <v>1</v>
      </c>
      <c r="E114" s="4">
        <v>231</v>
      </c>
      <c r="F114" s="4">
        <f>ROUND(Source!BB101,O114)</f>
        <v>0</v>
      </c>
      <c r="G114" s="4" t="s">
        <v>89</v>
      </c>
      <c r="H114" s="4" t="s">
        <v>90</v>
      </c>
      <c r="I114" s="4"/>
      <c r="J114" s="4"/>
      <c r="K114" s="4">
        <v>231</v>
      </c>
      <c r="L114" s="4">
        <v>12</v>
      </c>
      <c r="M114" s="4">
        <v>3</v>
      </c>
      <c r="N114" s="4" t="s">
        <v>3</v>
      </c>
      <c r="O114" s="4">
        <v>2</v>
      </c>
      <c r="P114" s="4"/>
      <c r="Q114" s="4"/>
      <c r="R114" s="4"/>
      <c r="S114" s="4"/>
      <c r="T114" s="4"/>
      <c r="U114" s="4"/>
      <c r="V114" s="4"/>
      <c r="W114" s="4"/>
    </row>
    <row r="115" spans="1:23" x14ac:dyDescent="0.2">
      <c r="A115" s="4">
        <v>50</v>
      </c>
      <c r="B115" s="4">
        <v>0</v>
      </c>
      <c r="C115" s="4">
        <v>0</v>
      </c>
      <c r="D115" s="4">
        <v>1</v>
      </c>
      <c r="E115" s="4">
        <v>204</v>
      </c>
      <c r="F115" s="4">
        <f>ROUND(Source!R101,O115)</f>
        <v>591.16999999999996</v>
      </c>
      <c r="G115" s="4" t="s">
        <v>91</v>
      </c>
      <c r="H115" s="4" t="s">
        <v>92</v>
      </c>
      <c r="I115" s="4"/>
      <c r="J115" s="4"/>
      <c r="K115" s="4">
        <v>204</v>
      </c>
      <c r="L115" s="4">
        <v>13</v>
      </c>
      <c r="M115" s="4">
        <v>3</v>
      </c>
      <c r="N115" s="4" t="s">
        <v>3</v>
      </c>
      <c r="O115" s="4">
        <v>2</v>
      </c>
      <c r="P115" s="4"/>
      <c r="Q115" s="4"/>
      <c r="R115" s="4"/>
      <c r="S115" s="4"/>
      <c r="T115" s="4"/>
      <c r="U115" s="4"/>
      <c r="V115" s="4"/>
      <c r="W115" s="4"/>
    </row>
    <row r="116" spans="1:23" x14ac:dyDescent="0.2">
      <c r="A116" s="4">
        <v>50</v>
      </c>
      <c r="B116" s="4">
        <v>0</v>
      </c>
      <c r="C116" s="4">
        <v>0</v>
      </c>
      <c r="D116" s="4">
        <v>1</v>
      </c>
      <c r="E116" s="4">
        <v>205</v>
      </c>
      <c r="F116" s="4">
        <f>ROUND(Source!S101,O116)</f>
        <v>15196.2</v>
      </c>
      <c r="G116" s="4" t="s">
        <v>93</v>
      </c>
      <c r="H116" s="4" t="s">
        <v>94</v>
      </c>
      <c r="I116" s="4"/>
      <c r="J116" s="4"/>
      <c r="K116" s="4">
        <v>205</v>
      </c>
      <c r="L116" s="4">
        <v>14</v>
      </c>
      <c r="M116" s="4">
        <v>3</v>
      </c>
      <c r="N116" s="4" t="s">
        <v>3</v>
      </c>
      <c r="O116" s="4">
        <v>2</v>
      </c>
      <c r="P116" s="4"/>
      <c r="Q116" s="4"/>
      <c r="R116" s="4"/>
      <c r="S116" s="4"/>
      <c r="T116" s="4"/>
      <c r="U116" s="4"/>
      <c r="V116" s="4"/>
      <c r="W116" s="4"/>
    </row>
    <row r="117" spans="1:23" x14ac:dyDescent="0.2">
      <c r="A117" s="4">
        <v>50</v>
      </c>
      <c r="B117" s="4">
        <v>0</v>
      </c>
      <c r="C117" s="4">
        <v>0</v>
      </c>
      <c r="D117" s="4">
        <v>1</v>
      </c>
      <c r="E117" s="4">
        <v>232</v>
      </c>
      <c r="F117" s="4">
        <f>ROUND(Source!BC101,O117)</f>
        <v>0</v>
      </c>
      <c r="G117" s="4" t="s">
        <v>95</v>
      </c>
      <c r="H117" s="4" t="s">
        <v>96</v>
      </c>
      <c r="I117" s="4"/>
      <c r="J117" s="4"/>
      <c r="K117" s="4">
        <v>232</v>
      </c>
      <c r="L117" s="4">
        <v>15</v>
      </c>
      <c r="M117" s="4">
        <v>3</v>
      </c>
      <c r="N117" s="4" t="s">
        <v>3</v>
      </c>
      <c r="O117" s="4">
        <v>2</v>
      </c>
      <c r="P117" s="4"/>
      <c r="Q117" s="4"/>
      <c r="R117" s="4"/>
      <c r="S117" s="4"/>
      <c r="T117" s="4"/>
      <c r="U117" s="4"/>
      <c r="V117" s="4"/>
      <c r="W117" s="4"/>
    </row>
    <row r="118" spans="1:23" x14ac:dyDescent="0.2">
      <c r="A118" s="4">
        <v>50</v>
      </c>
      <c r="B118" s="4">
        <v>0</v>
      </c>
      <c r="C118" s="4">
        <v>0</v>
      </c>
      <c r="D118" s="4">
        <v>1</v>
      </c>
      <c r="E118" s="4">
        <v>214</v>
      </c>
      <c r="F118" s="4">
        <f>ROUND(Source!AS101,O118)</f>
        <v>31780.880000000001</v>
      </c>
      <c r="G118" s="4" t="s">
        <v>97</v>
      </c>
      <c r="H118" s="4" t="s">
        <v>98</v>
      </c>
      <c r="I118" s="4"/>
      <c r="J118" s="4"/>
      <c r="K118" s="4">
        <v>214</v>
      </c>
      <c r="L118" s="4">
        <v>16</v>
      </c>
      <c r="M118" s="4">
        <v>3</v>
      </c>
      <c r="N118" s="4" t="s">
        <v>3</v>
      </c>
      <c r="O118" s="4">
        <v>2</v>
      </c>
      <c r="P118" s="4"/>
      <c r="Q118" s="4"/>
      <c r="R118" s="4"/>
      <c r="S118" s="4"/>
      <c r="T118" s="4"/>
      <c r="U118" s="4"/>
      <c r="V118" s="4"/>
      <c r="W118" s="4"/>
    </row>
    <row r="119" spans="1:23" x14ac:dyDescent="0.2">
      <c r="A119" s="4">
        <v>50</v>
      </c>
      <c r="B119" s="4">
        <v>0</v>
      </c>
      <c r="C119" s="4">
        <v>0</v>
      </c>
      <c r="D119" s="4">
        <v>1</v>
      </c>
      <c r="E119" s="4">
        <v>215</v>
      </c>
      <c r="F119" s="4">
        <f>ROUND(Source!AT101,O119)</f>
        <v>31370.91</v>
      </c>
      <c r="G119" s="4" t="s">
        <v>99</v>
      </c>
      <c r="H119" s="4" t="s">
        <v>100</v>
      </c>
      <c r="I119" s="4"/>
      <c r="J119" s="4"/>
      <c r="K119" s="4">
        <v>215</v>
      </c>
      <c r="L119" s="4">
        <v>17</v>
      </c>
      <c r="M119" s="4">
        <v>3</v>
      </c>
      <c r="N119" s="4" t="s">
        <v>3</v>
      </c>
      <c r="O119" s="4">
        <v>2</v>
      </c>
      <c r="P119" s="4"/>
      <c r="Q119" s="4"/>
      <c r="R119" s="4"/>
      <c r="S119" s="4"/>
      <c r="T119" s="4"/>
      <c r="U119" s="4"/>
      <c r="V119" s="4"/>
      <c r="W119" s="4"/>
    </row>
    <row r="120" spans="1:23" x14ac:dyDescent="0.2">
      <c r="A120" s="4">
        <v>50</v>
      </c>
      <c r="B120" s="4">
        <v>0</v>
      </c>
      <c r="C120" s="4">
        <v>0</v>
      </c>
      <c r="D120" s="4">
        <v>1</v>
      </c>
      <c r="E120" s="4">
        <v>217</v>
      </c>
      <c r="F120" s="4">
        <f>ROUND(Source!AU101,O120)</f>
        <v>0</v>
      </c>
      <c r="G120" s="4" t="s">
        <v>101</v>
      </c>
      <c r="H120" s="4" t="s">
        <v>102</v>
      </c>
      <c r="I120" s="4"/>
      <c r="J120" s="4"/>
      <c r="K120" s="4">
        <v>217</v>
      </c>
      <c r="L120" s="4">
        <v>18</v>
      </c>
      <c r="M120" s="4">
        <v>3</v>
      </c>
      <c r="N120" s="4" t="s">
        <v>3</v>
      </c>
      <c r="O120" s="4">
        <v>2</v>
      </c>
      <c r="P120" s="4"/>
      <c r="Q120" s="4"/>
      <c r="R120" s="4"/>
      <c r="S120" s="4"/>
      <c r="T120" s="4"/>
      <c r="U120" s="4"/>
      <c r="V120" s="4"/>
      <c r="W120" s="4"/>
    </row>
    <row r="121" spans="1:23" x14ac:dyDescent="0.2">
      <c r="A121" s="4">
        <v>50</v>
      </c>
      <c r="B121" s="4">
        <v>0</v>
      </c>
      <c r="C121" s="4">
        <v>0</v>
      </c>
      <c r="D121" s="4">
        <v>1</v>
      </c>
      <c r="E121" s="4">
        <v>230</v>
      </c>
      <c r="F121" s="4">
        <f>ROUND(Source!BA101,O121)</f>
        <v>0</v>
      </c>
      <c r="G121" s="4" t="s">
        <v>103</v>
      </c>
      <c r="H121" s="4" t="s">
        <v>104</v>
      </c>
      <c r="I121" s="4"/>
      <c r="J121" s="4"/>
      <c r="K121" s="4">
        <v>230</v>
      </c>
      <c r="L121" s="4">
        <v>19</v>
      </c>
      <c r="M121" s="4">
        <v>3</v>
      </c>
      <c r="N121" s="4" t="s">
        <v>3</v>
      </c>
      <c r="O121" s="4">
        <v>2</v>
      </c>
      <c r="P121" s="4"/>
      <c r="Q121" s="4"/>
      <c r="R121" s="4"/>
      <c r="S121" s="4"/>
      <c r="T121" s="4"/>
      <c r="U121" s="4"/>
      <c r="V121" s="4"/>
      <c r="W121" s="4"/>
    </row>
    <row r="122" spans="1:23" x14ac:dyDescent="0.2">
      <c r="A122" s="4">
        <v>50</v>
      </c>
      <c r="B122" s="4">
        <v>0</v>
      </c>
      <c r="C122" s="4">
        <v>0</v>
      </c>
      <c r="D122" s="4">
        <v>1</v>
      </c>
      <c r="E122" s="4">
        <v>206</v>
      </c>
      <c r="F122" s="4">
        <f>ROUND(Source!T101,O122)</f>
        <v>0</v>
      </c>
      <c r="G122" s="4" t="s">
        <v>105</v>
      </c>
      <c r="H122" s="4" t="s">
        <v>106</v>
      </c>
      <c r="I122" s="4"/>
      <c r="J122" s="4"/>
      <c r="K122" s="4">
        <v>206</v>
      </c>
      <c r="L122" s="4">
        <v>20</v>
      </c>
      <c r="M122" s="4">
        <v>3</v>
      </c>
      <c r="N122" s="4" t="s">
        <v>3</v>
      </c>
      <c r="O122" s="4">
        <v>2</v>
      </c>
      <c r="P122" s="4"/>
      <c r="Q122" s="4"/>
      <c r="R122" s="4"/>
      <c r="S122" s="4"/>
      <c r="T122" s="4"/>
      <c r="U122" s="4"/>
      <c r="V122" s="4"/>
      <c r="W122" s="4"/>
    </row>
    <row r="123" spans="1:23" x14ac:dyDescent="0.2">
      <c r="A123" s="4">
        <v>50</v>
      </c>
      <c r="B123" s="4">
        <v>0</v>
      </c>
      <c r="C123" s="4">
        <v>0</v>
      </c>
      <c r="D123" s="4">
        <v>1</v>
      </c>
      <c r="E123" s="4">
        <v>207</v>
      </c>
      <c r="F123" s="4">
        <f>Source!U101</f>
        <v>57.188379999999995</v>
      </c>
      <c r="G123" s="4" t="s">
        <v>107</v>
      </c>
      <c r="H123" s="4" t="s">
        <v>108</v>
      </c>
      <c r="I123" s="4"/>
      <c r="J123" s="4"/>
      <c r="K123" s="4">
        <v>207</v>
      </c>
      <c r="L123" s="4">
        <v>21</v>
      </c>
      <c r="M123" s="4">
        <v>3</v>
      </c>
      <c r="N123" s="4" t="s">
        <v>3</v>
      </c>
      <c r="O123" s="4">
        <v>-1</v>
      </c>
      <c r="P123" s="4"/>
      <c r="Q123" s="4"/>
      <c r="R123" s="4"/>
      <c r="S123" s="4"/>
      <c r="T123" s="4"/>
      <c r="U123" s="4"/>
      <c r="V123" s="4"/>
      <c r="W123" s="4"/>
    </row>
    <row r="124" spans="1:23" x14ac:dyDescent="0.2">
      <c r="A124" s="4">
        <v>50</v>
      </c>
      <c r="B124" s="4">
        <v>0</v>
      </c>
      <c r="C124" s="4">
        <v>0</v>
      </c>
      <c r="D124" s="4">
        <v>1</v>
      </c>
      <c r="E124" s="4">
        <v>208</v>
      </c>
      <c r="F124" s="4">
        <f>Source!V101</f>
        <v>1.483525</v>
      </c>
      <c r="G124" s="4" t="s">
        <v>109</v>
      </c>
      <c r="H124" s="4" t="s">
        <v>110</v>
      </c>
      <c r="I124" s="4"/>
      <c r="J124" s="4"/>
      <c r="K124" s="4">
        <v>208</v>
      </c>
      <c r="L124" s="4">
        <v>22</v>
      </c>
      <c r="M124" s="4">
        <v>3</v>
      </c>
      <c r="N124" s="4" t="s">
        <v>3</v>
      </c>
      <c r="O124" s="4">
        <v>-1</v>
      </c>
      <c r="P124" s="4"/>
      <c r="Q124" s="4"/>
      <c r="R124" s="4"/>
      <c r="S124" s="4"/>
      <c r="T124" s="4"/>
      <c r="U124" s="4"/>
      <c r="V124" s="4"/>
      <c r="W124" s="4"/>
    </row>
    <row r="125" spans="1:23" x14ac:dyDescent="0.2">
      <c r="A125" s="4">
        <v>50</v>
      </c>
      <c r="B125" s="4">
        <v>0</v>
      </c>
      <c r="C125" s="4">
        <v>0</v>
      </c>
      <c r="D125" s="4">
        <v>1</v>
      </c>
      <c r="E125" s="4">
        <v>209</v>
      </c>
      <c r="F125" s="4">
        <f>ROUND(Source!W101,O125)</f>
        <v>0.75</v>
      </c>
      <c r="G125" s="4" t="s">
        <v>111</v>
      </c>
      <c r="H125" s="4" t="s">
        <v>112</v>
      </c>
      <c r="I125" s="4"/>
      <c r="J125" s="4"/>
      <c r="K125" s="4">
        <v>209</v>
      </c>
      <c r="L125" s="4">
        <v>23</v>
      </c>
      <c r="M125" s="4">
        <v>3</v>
      </c>
      <c r="N125" s="4" t="s">
        <v>3</v>
      </c>
      <c r="O125" s="4">
        <v>2</v>
      </c>
      <c r="P125" s="4"/>
      <c r="Q125" s="4"/>
      <c r="R125" s="4"/>
      <c r="S125" s="4"/>
      <c r="T125" s="4"/>
      <c r="U125" s="4"/>
      <c r="V125" s="4"/>
      <c r="W125" s="4"/>
    </row>
    <row r="126" spans="1:23" x14ac:dyDescent="0.2">
      <c r="A126" s="4">
        <v>50</v>
      </c>
      <c r="B126" s="4">
        <v>0</v>
      </c>
      <c r="C126" s="4">
        <v>0</v>
      </c>
      <c r="D126" s="4">
        <v>1</v>
      </c>
      <c r="E126" s="4">
        <v>233</v>
      </c>
      <c r="F126" s="4">
        <f>ROUND(Source!BD101,O126)</f>
        <v>0</v>
      </c>
      <c r="G126" s="4" t="s">
        <v>113</v>
      </c>
      <c r="H126" s="4" t="s">
        <v>114</v>
      </c>
      <c r="I126" s="4"/>
      <c r="J126" s="4"/>
      <c r="K126" s="4">
        <v>233</v>
      </c>
      <c r="L126" s="4">
        <v>24</v>
      </c>
      <c r="M126" s="4">
        <v>3</v>
      </c>
      <c r="N126" s="4" t="s">
        <v>3</v>
      </c>
      <c r="O126" s="4">
        <v>2</v>
      </c>
      <c r="P126" s="4"/>
      <c r="Q126" s="4"/>
      <c r="R126" s="4"/>
      <c r="S126" s="4"/>
      <c r="T126" s="4"/>
      <c r="U126" s="4"/>
      <c r="V126" s="4"/>
      <c r="W126" s="4"/>
    </row>
    <row r="127" spans="1:23" x14ac:dyDescent="0.2">
      <c r="A127" s="4">
        <v>50</v>
      </c>
      <c r="B127" s="4">
        <v>0</v>
      </c>
      <c r="C127" s="4">
        <v>0</v>
      </c>
      <c r="D127" s="4">
        <v>1</v>
      </c>
      <c r="E127" s="4">
        <v>210</v>
      </c>
      <c r="F127" s="4">
        <f>ROUND(Source!X101,O127)</f>
        <v>13680.21</v>
      </c>
      <c r="G127" s="4" t="s">
        <v>115</v>
      </c>
      <c r="H127" s="4" t="s">
        <v>116</v>
      </c>
      <c r="I127" s="4"/>
      <c r="J127" s="4"/>
      <c r="K127" s="4">
        <v>210</v>
      </c>
      <c r="L127" s="4">
        <v>25</v>
      </c>
      <c r="M127" s="4">
        <v>3</v>
      </c>
      <c r="N127" s="4" t="s">
        <v>3</v>
      </c>
      <c r="O127" s="4">
        <v>2</v>
      </c>
      <c r="P127" s="4"/>
      <c r="Q127" s="4"/>
      <c r="R127" s="4"/>
      <c r="S127" s="4"/>
      <c r="T127" s="4"/>
      <c r="U127" s="4"/>
      <c r="V127" s="4"/>
      <c r="W127" s="4"/>
    </row>
    <row r="128" spans="1:23" x14ac:dyDescent="0.2">
      <c r="A128" s="4">
        <v>50</v>
      </c>
      <c r="B128" s="4">
        <v>0</v>
      </c>
      <c r="C128" s="4">
        <v>0</v>
      </c>
      <c r="D128" s="4">
        <v>1</v>
      </c>
      <c r="E128" s="4">
        <v>211</v>
      </c>
      <c r="F128" s="4">
        <f>ROUND(Source!Y101,O128)</f>
        <v>9682.48</v>
      </c>
      <c r="G128" s="4" t="s">
        <v>117</v>
      </c>
      <c r="H128" s="4" t="s">
        <v>118</v>
      </c>
      <c r="I128" s="4"/>
      <c r="J128" s="4"/>
      <c r="K128" s="4">
        <v>211</v>
      </c>
      <c r="L128" s="4">
        <v>26</v>
      </c>
      <c r="M128" s="4">
        <v>3</v>
      </c>
      <c r="N128" s="4" t="s">
        <v>3</v>
      </c>
      <c r="O128" s="4">
        <v>2</v>
      </c>
      <c r="P128" s="4"/>
      <c r="Q128" s="4"/>
      <c r="R128" s="4"/>
      <c r="S128" s="4"/>
      <c r="T128" s="4"/>
      <c r="U128" s="4"/>
      <c r="V128" s="4"/>
      <c r="W128" s="4"/>
    </row>
    <row r="129" spans="1:206" x14ac:dyDescent="0.2">
      <c r="A129" s="4">
        <v>50</v>
      </c>
      <c r="B129" s="4">
        <v>0</v>
      </c>
      <c r="C129" s="4">
        <v>0</v>
      </c>
      <c r="D129" s="4">
        <v>1</v>
      </c>
      <c r="E129" s="4">
        <v>224</v>
      </c>
      <c r="F129" s="4">
        <f>ROUND(Source!AR101,O129)</f>
        <v>3550368.87</v>
      </c>
      <c r="G129" s="4" t="s">
        <v>119</v>
      </c>
      <c r="H129" s="4" t="s">
        <v>120</v>
      </c>
      <c r="I129" s="4"/>
      <c r="J129" s="4"/>
      <c r="K129" s="4">
        <v>224</v>
      </c>
      <c r="L129" s="4">
        <v>27</v>
      </c>
      <c r="M129" s="4">
        <v>3</v>
      </c>
      <c r="N129" s="4" t="s">
        <v>3</v>
      </c>
      <c r="O129" s="4">
        <v>2</v>
      </c>
      <c r="P129" s="4"/>
      <c r="Q129" s="4"/>
      <c r="R129" s="4"/>
      <c r="S129" s="4"/>
      <c r="T129" s="4"/>
      <c r="U129" s="4"/>
      <c r="V129" s="4"/>
      <c r="W129" s="4"/>
    </row>
    <row r="131" spans="1:206" x14ac:dyDescent="0.2">
      <c r="A131" s="2">
        <v>51</v>
      </c>
      <c r="B131" s="2">
        <f>B12</f>
        <v>193</v>
      </c>
      <c r="C131" s="2">
        <f>A12</f>
        <v>1</v>
      </c>
      <c r="D131" s="2">
        <f>ROW(A12)</f>
        <v>12</v>
      </c>
      <c r="E131" s="2"/>
      <c r="F131" s="2" t="str">
        <f>IF(F12&lt;&gt;"",F12,"")</f>
        <v>Новый объект</v>
      </c>
      <c r="G131" s="2" t="str">
        <f>IF(G12&lt;&gt;"",G12,"")</f>
        <v>Выходной документ. Тест</v>
      </c>
      <c r="H131" s="2">
        <v>0</v>
      </c>
      <c r="I131" s="2"/>
      <c r="J131" s="2"/>
      <c r="K131" s="2"/>
      <c r="L131" s="2"/>
      <c r="M131" s="2"/>
      <c r="N131" s="2"/>
      <c r="O131" s="2">
        <f t="shared" ref="O131:T131" si="68">ROUND(O101,2)</f>
        <v>3527006.18</v>
      </c>
      <c r="P131" s="2">
        <f t="shared" si="68"/>
        <v>3509853.7</v>
      </c>
      <c r="Q131" s="2">
        <f t="shared" si="68"/>
        <v>1956.28</v>
      </c>
      <c r="R131" s="2">
        <f t="shared" si="68"/>
        <v>591.16999999999996</v>
      </c>
      <c r="S131" s="2">
        <f t="shared" si="68"/>
        <v>15196.2</v>
      </c>
      <c r="T131" s="2">
        <f t="shared" si="68"/>
        <v>0</v>
      </c>
      <c r="U131" s="2">
        <f>U101</f>
        <v>57.188379999999995</v>
      </c>
      <c r="V131" s="2">
        <f>V101</f>
        <v>1.483525</v>
      </c>
      <c r="W131" s="2">
        <f>ROUND(W101,2)</f>
        <v>0.75</v>
      </c>
      <c r="X131" s="2">
        <f>ROUND(X101,2)</f>
        <v>13680.21</v>
      </c>
      <c r="Y131" s="2">
        <f>ROUND(Y101,2)</f>
        <v>9682.48</v>
      </c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>
        <f t="shared" ref="AO131:BD131" si="69">ROUND(AO101,2)</f>
        <v>0</v>
      </c>
      <c r="AP131" s="2">
        <f t="shared" si="69"/>
        <v>3487217.08</v>
      </c>
      <c r="AQ131" s="2">
        <f t="shared" si="69"/>
        <v>0</v>
      </c>
      <c r="AR131" s="2">
        <f t="shared" si="69"/>
        <v>3550368.87</v>
      </c>
      <c r="AS131" s="2">
        <f t="shared" si="69"/>
        <v>31780.880000000001</v>
      </c>
      <c r="AT131" s="2">
        <f t="shared" si="69"/>
        <v>31370.91</v>
      </c>
      <c r="AU131" s="2">
        <f t="shared" si="69"/>
        <v>0</v>
      </c>
      <c r="AV131" s="2">
        <f t="shared" si="69"/>
        <v>3509853.7</v>
      </c>
      <c r="AW131" s="2">
        <f t="shared" si="69"/>
        <v>22636.62</v>
      </c>
      <c r="AX131" s="2">
        <f t="shared" si="69"/>
        <v>0</v>
      </c>
      <c r="AY131" s="2">
        <f t="shared" si="69"/>
        <v>22636.62</v>
      </c>
      <c r="AZ131" s="2">
        <f t="shared" si="69"/>
        <v>3487217.08</v>
      </c>
      <c r="BA131" s="2">
        <f t="shared" si="69"/>
        <v>0</v>
      </c>
      <c r="BB131" s="2">
        <f t="shared" si="69"/>
        <v>0</v>
      </c>
      <c r="BC131" s="2">
        <f t="shared" si="69"/>
        <v>0</v>
      </c>
      <c r="BD131" s="2">
        <f t="shared" si="69"/>
        <v>0</v>
      </c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  <c r="BQ131" s="2"/>
      <c r="BR131" s="2"/>
      <c r="BS131" s="2"/>
      <c r="BT131" s="2"/>
      <c r="BU131" s="2"/>
      <c r="BV131" s="2"/>
      <c r="BW131" s="2"/>
      <c r="BX131" s="2"/>
      <c r="BY131" s="2"/>
      <c r="BZ131" s="2"/>
      <c r="CA131" s="2"/>
      <c r="CB131" s="2"/>
      <c r="CC131" s="2"/>
      <c r="CD131" s="2"/>
      <c r="CE131" s="2"/>
      <c r="CF131" s="2"/>
      <c r="CG131" s="2"/>
      <c r="CH131" s="2"/>
      <c r="CI131" s="2"/>
      <c r="CJ131" s="2"/>
      <c r="CK131" s="2"/>
      <c r="CL131" s="2"/>
      <c r="CM131" s="2"/>
      <c r="CN131" s="2"/>
      <c r="CO131" s="2"/>
      <c r="CP131" s="2"/>
      <c r="CQ131" s="2"/>
      <c r="CR131" s="2"/>
      <c r="CS131" s="2"/>
      <c r="CT131" s="2"/>
      <c r="CU131" s="2"/>
      <c r="CV131" s="2"/>
      <c r="CW131" s="2"/>
      <c r="CX131" s="2"/>
      <c r="CY131" s="2"/>
      <c r="CZ131" s="2"/>
      <c r="DA131" s="2"/>
      <c r="DB131" s="2"/>
      <c r="DC131" s="2"/>
      <c r="DD131" s="2"/>
      <c r="DE131" s="2"/>
      <c r="DF131" s="2"/>
      <c r="DG131" s="3"/>
      <c r="DH131" s="3"/>
      <c r="DI131" s="3"/>
      <c r="DJ131" s="3"/>
      <c r="DK131" s="3"/>
      <c r="DL131" s="3"/>
      <c r="DM131" s="3"/>
      <c r="DN131" s="3"/>
      <c r="DO131" s="3"/>
      <c r="DP131" s="3"/>
      <c r="DQ131" s="3"/>
      <c r="DR131" s="3"/>
      <c r="DS131" s="3"/>
      <c r="DT131" s="3"/>
      <c r="DU131" s="3"/>
      <c r="DV131" s="3"/>
      <c r="DW131" s="3"/>
      <c r="DX131" s="3"/>
      <c r="DY131" s="3"/>
      <c r="DZ131" s="3"/>
      <c r="EA131" s="3"/>
      <c r="EB131" s="3"/>
      <c r="EC131" s="3"/>
      <c r="ED131" s="3"/>
      <c r="EE131" s="3"/>
      <c r="EF131" s="3"/>
      <c r="EG131" s="3"/>
      <c r="EH131" s="3"/>
      <c r="EI131" s="3"/>
      <c r="EJ131" s="3"/>
      <c r="EK131" s="3"/>
      <c r="EL131" s="3"/>
      <c r="EM131" s="3"/>
      <c r="EN131" s="3"/>
      <c r="EO131" s="3"/>
      <c r="EP131" s="3"/>
      <c r="EQ131" s="3"/>
      <c r="ER131" s="3"/>
      <c r="ES131" s="3"/>
      <c r="ET131" s="3"/>
      <c r="EU131" s="3"/>
      <c r="EV131" s="3"/>
      <c r="EW131" s="3"/>
      <c r="EX131" s="3"/>
      <c r="EY131" s="3"/>
      <c r="EZ131" s="3"/>
      <c r="FA131" s="3"/>
      <c r="FB131" s="3"/>
      <c r="FC131" s="3"/>
      <c r="FD131" s="3"/>
      <c r="FE131" s="3"/>
      <c r="FF131" s="3"/>
      <c r="FG131" s="3"/>
      <c r="FH131" s="3"/>
      <c r="FI131" s="3"/>
      <c r="FJ131" s="3"/>
      <c r="FK131" s="3"/>
      <c r="FL131" s="3"/>
      <c r="FM131" s="3"/>
      <c r="FN131" s="3"/>
      <c r="FO131" s="3"/>
      <c r="FP131" s="3"/>
      <c r="FQ131" s="3"/>
      <c r="FR131" s="3"/>
      <c r="FS131" s="3"/>
      <c r="FT131" s="3"/>
      <c r="FU131" s="3"/>
      <c r="FV131" s="3"/>
      <c r="FW131" s="3"/>
      <c r="FX131" s="3"/>
      <c r="FY131" s="3"/>
      <c r="FZ131" s="3"/>
      <c r="GA131" s="3"/>
      <c r="GB131" s="3"/>
      <c r="GC131" s="3"/>
      <c r="GD131" s="3"/>
      <c r="GE131" s="3"/>
      <c r="GF131" s="3"/>
      <c r="GG131" s="3"/>
      <c r="GH131" s="3"/>
      <c r="GI131" s="3"/>
      <c r="GJ131" s="3"/>
      <c r="GK131" s="3"/>
      <c r="GL131" s="3"/>
      <c r="GM131" s="3"/>
      <c r="GN131" s="3"/>
      <c r="GO131" s="3"/>
      <c r="GP131" s="3"/>
      <c r="GQ131" s="3"/>
      <c r="GR131" s="3"/>
      <c r="GS131" s="3"/>
      <c r="GT131" s="3"/>
      <c r="GU131" s="3"/>
      <c r="GV131" s="3"/>
      <c r="GW131" s="3"/>
      <c r="GX131" s="3">
        <v>0</v>
      </c>
    </row>
    <row r="133" spans="1:206" x14ac:dyDescent="0.2">
      <c r="A133" s="4">
        <v>50</v>
      </c>
      <c r="B133" s="4">
        <v>0</v>
      </c>
      <c r="C133" s="4">
        <v>0</v>
      </c>
      <c r="D133" s="4">
        <v>1</v>
      </c>
      <c r="E133" s="4">
        <v>201</v>
      </c>
      <c r="F133" s="4">
        <f>ROUND(Source!O131,O133)</f>
        <v>3527006.18</v>
      </c>
      <c r="G133" s="4" t="s">
        <v>67</v>
      </c>
      <c r="H133" s="4" t="s">
        <v>68</v>
      </c>
      <c r="I133" s="4"/>
      <c r="J133" s="4"/>
      <c r="K133" s="4">
        <v>201</v>
      </c>
      <c r="L133" s="4">
        <v>1</v>
      </c>
      <c r="M133" s="4">
        <v>3</v>
      </c>
      <c r="N133" s="4" t="s">
        <v>3</v>
      </c>
      <c r="O133" s="4">
        <v>2</v>
      </c>
      <c r="P133" s="4"/>
      <c r="Q133" s="4"/>
      <c r="R133" s="4"/>
      <c r="S133" s="4"/>
      <c r="T133" s="4"/>
      <c r="U133" s="4"/>
      <c r="V133" s="4"/>
      <c r="W133" s="4"/>
    </row>
    <row r="134" spans="1:206" x14ac:dyDescent="0.2">
      <c r="A134" s="4">
        <v>50</v>
      </c>
      <c r="B134" s="4">
        <v>0</v>
      </c>
      <c r="C134" s="4">
        <v>0</v>
      </c>
      <c r="D134" s="4">
        <v>1</v>
      </c>
      <c r="E134" s="4">
        <v>202</v>
      </c>
      <c r="F134" s="4">
        <f>ROUND(Source!P131,O134)</f>
        <v>3509853.7</v>
      </c>
      <c r="G134" s="4" t="s">
        <v>69</v>
      </c>
      <c r="H134" s="4" t="s">
        <v>70</v>
      </c>
      <c r="I134" s="4"/>
      <c r="J134" s="4"/>
      <c r="K134" s="4">
        <v>202</v>
      </c>
      <c r="L134" s="4">
        <v>2</v>
      </c>
      <c r="M134" s="4">
        <v>3</v>
      </c>
      <c r="N134" s="4" t="s">
        <v>3</v>
      </c>
      <c r="O134" s="4">
        <v>2</v>
      </c>
      <c r="P134" s="4"/>
      <c r="Q134" s="4"/>
      <c r="R134" s="4"/>
      <c r="S134" s="4"/>
      <c r="T134" s="4"/>
      <c r="U134" s="4"/>
      <c r="V134" s="4"/>
      <c r="W134" s="4"/>
    </row>
    <row r="135" spans="1:206" x14ac:dyDescent="0.2">
      <c r="A135" s="4">
        <v>50</v>
      </c>
      <c r="B135" s="4">
        <v>0</v>
      </c>
      <c r="C135" s="4">
        <v>0</v>
      </c>
      <c r="D135" s="4">
        <v>1</v>
      </c>
      <c r="E135" s="4">
        <v>222</v>
      </c>
      <c r="F135" s="4">
        <f>ROUND(Source!AO131,O135)</f>
        <v>0</v>
      </c>
      <c r="G135" s="4" t="s">
        <v>71</v>
      </c>
      <c r="H135" s="4" t="s">
        <v>72</v>
      </c>
      <c r="I135" s="4"/>
      <c r="J135" s="4"/>
      <c r="K135" s="4">
        <v>222</v>
      </c>
      <c r="L135" s="4">
        <v>3</v>
      </c>
      <c r="M135" s="4">
        <v>3</v>
      </c>
      <c r="N135" s="4" t="s">
        <v>3</v>
      </c>
      <c r="O135" s="4">
        <v>2</v>
      </c>
      <c r="P135" s="4"/>
      <c r="Q135" s="4"/>
      <c r="R135" s="4"/>
      <c r="S135" s="4"/>
      <c r="T135" s="4"/>
      <c r="U135" s="4"/>
      <c r="V135" s="4"/>
      <c r="W135" s="4"/>
    </row>
    <row r="136" spans="1:206" x14ac:dyDescent="0.2">
      <c r="A136" s="4">
        <v>50</v>
      </c>
      <c r="B136" s="4">
        <v>0</v>
      </c>
      <c r="C136" s="4">
        <v>0</v>
      </c>
      <c r="D136" s="4">
        <v>1</v>
      </c>
      <c r="E136" s="4">
        <v>225</v>
      </c>
      <c r="F136" s="4">
        <f>ROUND(Source!AV131,O136)</f>
        <v>3509853.7</v>
      </c>
      <c r="G136" s="4" t="s">
        <v>73</v>
      </c>
      <c r="H136" s="4" t="s">
        <v>74</v>
      </c>
      <c r="I136" s="4"/>
      <c r="J136" s="4"/>
      <c r="K136" s="4">
        <v>225</v>
      </c>
      <c r="L136" s="4">
        <v>4</v>
      </c>
      <c r="M136" s="4">
        <v>3</v>
      </c>
      <c r="N136" s="4" t="s">
        <v>3</v>
      </c>
      <c r="O136" s="4">
        <v>2</v>
      </c>
      <c r="P136" s="4"/>
      <c r="Q136" s="4"/>
      <c r="R136" s="4"/>
      <c r="S136" s="4"/>
      <c r="T136" s="4"/>
      <c r="U136" s="4"/>
      <c r="V136" s="4"/>
      <c r="W136" s="4"/>
    </row>
    <row r="137" spans="1:206" x14ac:dyDescent="0.2">
      <c r="A137" s="4">
        <v>50</v>
      </c>
      <c r="B137" s="4">
        <v>0</v>
      </c>
      <c r="C137" s="4">
        <v>0</v>
      </c>
      <c r="D137" s="4">
        <v>1</v>
      </c>
      <c r="E137" s="4">
        <v>226</v>
      </c>
      <c r="F137" s="4">
        <f>ROUND(Source!AW131,O137)</f>
        <v>22636.62</v>
      </c>
      <c r="G137" s="4" t="s">
        <v>75</v>
      </c>
      <c r="H137" s="4" t="s">
        <v>76</v>
      </c>
      <c r="I137" s="4"/>
      <c r="J137" s="4"/>
      <c r="K137" s="4">
        <v>226</v>
      </c>
      <c r="L137" s="4">
        <v>5</v>
      </c>
      <c r="M137" s="4">
        <v>3</v>
      </c>
      <c r="N137" s="4" t="s">
        <v>3</v>
      </c>
      <c r="O137" s="4">
        <v>2</v>
      </c>
      <c r="P137" s="4"/>
      <c r="Q137" s="4"/>
      <c r="R137" s="4"/>
      <c r="S137" s="4"/>
      <c r="T137" s="4"/>
      <c r="U137" s="4"/>
      <c r="V137" s="4"/>
      <c r="W137" s="4"/>
    </row>
    <row r="138" spans="1:206" x14ac:dyDescent="0.2">
      <c r="A138" s="4">
        <v>50</v>
      </c>
      <c r="B138" s="4">
        <v>0</v>
      </c>
      <c r="C138" s="4">
        <v>0</v>
      </c>
      <c r="D138" s="4">
        <v>1</v>
      </c>
      <c r="E138" s="4">
        <v>227</v>
      </c>
      <c r="F138" s="4">
        <f>ROUND(Source!AX131,O138)</f>
        <v>0</v>
      </c>
      <c r="G138" s="4" t="s">
        <v>77</v>
      </c>
      <c r="H138" s="4" t="s">
        <v>78</v>
      </c>
      <c r="I138" s="4"/>
      <c r="J138" s="4"/>
      <c r="K138" s="4">
        <v>227</v>
      </c>
      <c r="L138" s="4">
        <v>6</v>
      </c>
      <c r="M138" s="4">
        <v>3</v>
      </c>
      <c r="N138" s="4" t="s">
        <v>3</v>
      </c>
      <c r="O138" s="4">
        <v>2</v>
      </c>
      <c r="P138" s="4"/>
      <c r="Q138" s="4"/>
      <c r="R138" s="4"/>
      <c r="S138" s="4"/>
      <c r="T138" s="4"/>
      <c r="U138" s="4"/>
      <c r="V138" s="4"/>
      <c r="W138" s="4"/>
    </row>
    <row r="139" spans="1:206" x14ac:dyDescent="0.2">
      <c r="A139" s="4">
        <v>50</v>
      </c>
      <c r="B139" s="4">
        <v>0</v>
      </c>
      <c r="C139" s="4">
        <v>0</v>
      </c>
      <c r="D139" s="4">
        <v>1</v>
      </c>
      <c r="E139" s="4">
        <v>228</v>
      </c>
      <c r="F139" s="4">
        <f>ROUND(Source!AY131,O139)</f>
        <v>22636.62</v>
      </c>
      <c r="G139" s="4" t="s">
        <v>79</v>
      </c>
      <c r="H139" s="4" t="s">
        <v>80</v>
      </c>
      <c r="I139" s="4"/>
      <c r="J139" s="4"/>
      <c r="K139" s="4">
        <v>228</v>
      </c>
      <c r="L139" s="4">
        <v>7</v>
      </c>
      <c r="M139" s="4">
        <v>3</v>
      </c>
      <c r="N139" s="4" t="s">
        <v>3</v>
      </c>
      <c r="O139" s="4">
        <v>2</v>
      </c>
      <c r="P139" s="4"/>
      <c r="Q139" s="4"/>
      <c r="R139" s="4"/>
      <c r="S139" s="4"/>
      <c r="T139" s="4"/>
      <c r="U139" s="4"/>
      <c r="V139" s="4"/>
      <c r="W139" s="4"/>
    </row>
    <row r="140" spans="1:206" x14ac:dyDescent="0.2">
      <c r="A140" s="4">
        <v>50</v>
      </c>
      <c r="B140" s="4">
        <v>0</v>
      </c>
      <c r="C140" s="4">
        <v>0</v>
      </c>
      <c r="D140" s="4">
        <v>1</v>
      </c>
      <c r="E140" s="4">
        <v>216</v>
      </c>
      <c r="F140" s="4">
        <f>ROUND(Source!AP131,O140)</f>
        <v>3487217.08</v>
      </c>
      <c r="G140" s="4" t="s">
        <v>81</v>
      </c>
      <c r="H140" s="4" t="s">
        <v>82</v>
      </c>
      <c r="I140" s="4"/>
      <c r="J140" s="4"/>
      <c r="K140" s="4">
        <v>216</v>
      </c>
      <c r="L140" s="4">
        <v>8</v>
      </c>
      <c r="M140" s="4">
        <v>3</v>
      </c>
      <c r="N140" s="4" t="s">
        <v>3</v>
      </c>
      <c r="O140" s="4">
        <v>2</v>
      </c>
      <c r="P140" s="4"/>
      <c r="Q140" s="4"/>
      <c r="R140" s="4"/>
      <c r="S140" s="4"/>
      <c r="T140" s="4"/>
      <c r="U140" s="4"/>
      <c r="V140" s="4"/>
      <c r="W140" s="4"/>
    </row>
    <row r="141" spans="1:206" x14ac:dyDescent="0.2">
      <c r="A141" s="4">
        <v>50</v>
      </c>
      <c r="B141" s="4">
        <v>0</v>
      </c>
      <c r="C141" s="4">
        <v>0</v>
      </c>
      <c r="D141" s="4">
        <v>1</v>
      </c>
      <c r="E141" s="4">
        <v>223</v>
      </c>
      <c r="F141" s="4">
        <f>ROUND(Source!AQ131,O141)</f>
        <v>0</v>
      </c>
      <c r="G141" s="4" t="s">
        <v>83</v>
      </c>
      <c r="H141" s="4" t="s">
        <v>84</v>
      </c>
      <c r="I141" s="4"/>
      <c r="J141" s="4"/>
      <c r="K141" s="4">
        <v>223</v>
      </c>
      <c r="L141" s="4">
        <v>9</v>
      </c>
      <c r="M141" s="4">
        <v>3</v>
      </c>
      <c r="N141" s="4" t="s">
        <v>3</v>
      </c>
      <c r="O141" s="4">
        <v>2</v>
      </c>
      <c r="P141" s="4"/>
      <c r="Q141" s="4"/>
      <c r="R141" s="4"/>
      <c r="S141" s="4"/>
      <c r="T141" s="4"/>
      <c r="U141" s="4"/>
      <c r="V141" s="4"/>
      <c r="W141" s="4"/>
    </row>
    <row r="142" spans="1:206" x14ac:dyDescent="0.2">
      <c r="A142" s="4">
        <v>50</v>
      </c>
      <c r="B142" s="4">
        <v>0</v>
      </c>
      <c r="C142" s="4">
        <v>0</v>
      </c>
      <c r="D142" s="4">
        <v>1</v>
      </c>
      <c r="E142" s="4">
        <v>229</v>
      </c>
      <c r="F142" s="4">
        <f>ROUND(Source!AZ131,O142)</f>
        <v>3487217.08</v>
      </c>
      <c r="G142" s="4" t="s">
        <v>85</v>
      </c>
      <c r="H142" s="4" t="s">
        <v>86</v>
      </c>
      <c r="I142" s="4"/>
      <c r="J142" s="4"/>
      <c r="K142" s="4">
        <v>229</v>
      </c>
      <c r="L142" s="4">
        <v>10</v>
      </c>
      <c r="M142" s="4">
        <v>3</v>
      </c>
      <c r="N142" s="4" t="s">
        <v>3</v>
      </c>
      <c r="O142" s="4">
        <v>2</v>
      </c>
      <c r="P142" s="4"/>
      <c r="Q142" s="4"/>
      <c r="R142" s="4"/>
      <c r="S142" s="4"/>
      <c r="T142" s="4"/>
      <c r="U142" s="4"/>
      <c r="V142" s="4"/>
      <c r="W142" s="4"/>
    </row>
    <row r="143" spans="1:206" x14ac:dyDescent="0.2">
      <c r="A143" s="4">
        <v>50</v>
      </c>
      <c r="B143" s="4">
        <v>0</v>
      </c>
      <c r="C143" s="4">
        <v>0</v>
      </c>
      <c r="D143" s="4">
        <v>1</v>
      </c>
      <c r="E143" s="4">
        <v>203</v>
      </c>
      <c r="F143" s="4">
        <f>ROUND(Source!Q131,O143)</f>
        <v>1956.28</v>
      </c>
      <c r="G143" s="4" t="s">
        <v>87</v>
      </c>
      <c r="H143" s="4" t="s">
        <v>88</v>
      </c>
      <c r="I143" s="4"/>
      <c r="J143" s="4"/>
      <c r="K143" s="4">
        <v>203</v>
      </c>
      <c r="L143" s="4">
        <v>11</v>
      </c>
      <c r="M143" s="4">
        <v>3</v>
      </c>
      <c r="N143" s="4" t="s">
        <v>3</v>
      </c>
      <c r="O143" s="4">
        <v>2</v>
      </c>
      <c r="P143" s="4"/>
      <c r="Q143" s="4"/>
      <c r="R143" s="4"/>
      <c r="S143" s="4"/>
      <c r="T143" s="4"/>
      <c r="U143" s="4"/>
      <c r="V143" s="4"/>
      <c r="W143" s="4"/>
    </row>
    <row r="144" spans="1:206" x14ac:dyDescent="0.2">
      <c r="A144" s="4">
        <v>50</v>
      </c>
      <c r="B144" s="4">
        <v>0</v>
      </c>
      <c r="C144" s="4">
        <v>0</v>
      </c>
      <c r="D144" s="4">
        <v>1</v>
      </c>
      <c r="E144" s="4">
        <v>231</v>
      </c>
      <c r="F144" s="4">
        <f>ROUND(Source!BB131,O144)</f>
        <v>0</v>
      </c>
      <c r="G144" s="4" t="s">
        <v>89</v>
      </c>
      <c r="H144" s="4" t="s">
        <v>90</v>
      </c>
      <c r="I144" s="4"/>
      <c r="J144" s="4"/>
      <c r="K144" s="4">
        <v>231</v>
      </c>
      <c r="L144" s="4">
        <v>12</v>
      </c>
      <c r="M144" s="4">
        <v>3</v>
      </c>
      <c r="N144" s="4" t="s">
        <v>3</v>
      </c>
      <c r="O144" s="4">
        <v>2</v>
      </c>
      <c r="P144" s="4"/>
      <c r="Q144" s="4"/>
      <c r="R144" s="4"/>
      <c r="S144" s="4"/>
      <c r="T144" s="4"/>
      <c r="U144" s="4"/>
      <c r="V144" s="4"/>
      <c r="W144" s="4"/>
    </row>
    <row r="145" spans="1:23" x14ac:dyDescent="0.2">
      <c r="A145" s="4">
        <v>50</v>
      </c>
      <c r="B145" s="4">
        <v>0</v>
      </c>
      <c r="C145" s="4">
        <v>0</v>
      </c>
      <c r="D145" s="4">
        <v>1</v>
      </c>
      <c r="E145" s="4">
        <v>204</v>
      </c>
      <c r="F145" s="4">
        <f>ROUND(Source!R131,O145)</f>
        <v>591.16999999999996</v>
      </c>
      <c r="G145" s="4" t="s">
        <v>91</v>
      </c>
      <c r="H145" s="4" t="s">
        <v>92</v>
      </c>
      <c r="I145" s="4"/>
      <c r="J145" s="4"/>
      <c r="K145" s="4">
        <v>204</v>
      </c>
      <c r="L145" s="4">
        <v>13</v>
      </c>
      <c r="M145" s="4">
        <v>3</v>
      </c>
      <c r="N145" s="4" t="s">
        <v>3</v>
      </c>
      <c r="O145" s="4">
        <v>2</v>
      </c>
      <c r="P145" s="4"/>
      <c r="Q145" s="4"/>
      <c r="R145" s="4"/>
      <c r="S145" s="4"/>
      <c r="T145" s="4"/>
      <c r="U145" s="4"/>
      <c r="V145" s="4"/>
      <c r="W145" s="4"/>
    </row>
    <row r="146" spans="1:23" x14ac:dyDescent="0.2">
      <c r="A146" s="4">
        <v>50</v>
      </c>
      <c r="B146" s="4">
        <v>0</v>
      </c>
      <c r="C146" s="4">
        <v>0</v>
      </c>
      <c r="D146" s="4">
        <v>1</v>
      </c>
      <c r="E146" s="4">
        <v>205</v>
      </c>
      <c r="F146" s="4">
        <f>ROUND(Source!S131,O146)</f>
        <v>15196.2</v>
      </c>
      <c r="G146" s="4" t="s">
        <v>93</v>
      </c>
      <c r="H146" s="4" t="s">
        <v>94</v>
      </c>
      <c r="I146" s="4"/>
      <c r="J146" s="4"/>
      <c r="K146" s="4">
        <v>205</v>
      </c>
      <c r="L146" s="4">
        <v>14</v>
      </c>
      <c r="M146" s="4">
        <v>3</v>
      </c>
      <c r="N146" s="4" t="s">
        <v>3</v>
      </c>
      <c r="O146" s="4">
        <v>2</v>
      </c>
      <c r="P146" s="4"/>
      <c r="Q146" s="4"/>
      <c r="R146" s="4"/>
      <c r="S146" s="4"/>
      <c r="T146" s="4"/>
      <c r="U146" s="4"/>
      <c r="V146" s="4"/>
      <c r="W146" s="4"/>
    </row>
    <row r="147" spans="1:23" x14ac:dyDescent="0.2">
      <c r="A147" s="4">
        <v>50</v>
      </c>
      <c r="B147" s="4">
        <v>0</v>
      </c>
      <c r="C147" s="4">
        <v>0</v>
      </c>
      <c r="D147" s="4">
        <v>1</v>
      </c>
      <c r="E147" s="4">
        <v>232</v>
      </c>
      <c r="F147" s="4">
        <f>ROUND(Source!BC131,O147)</f>
        <v>0</v>
      </c>
      <c r="G147" s="4" t="s">
        <v>95</v>
      </c>
      <c r="H147" s="4" t="s">
        <v>96</v>
      </c>
      <c r="I147" s="4"/>
      <c r="J147" s="4"/>
      <c r="K147" s="4">
        <v>232</v>
      </c>
      <c r="L147" s="4">
        <v>15</v>
      </c>
      <c r="M147" s="4">
        <v>3</v>
      </c>
      <c r="N147" s="4" t="s">
        <v>3</v>
      </c>
      <c r="O147" s="4">
        <v>2</v>
      </c>
      <c r="P147" s="4"/>
      <c r="Q147" s="4"/>
      <c r="R147" s="4"/>
      <c r="S147" s="4"/>
      <c r="T147" s="4"/>
      <c r="U147" s="4"/>
      <c r="V147" s="4"/>
      <c r="W147" s="4"/>
    </row>
    <row r="148" spans="1:23" x14ac:dyDescent="0.2">
      <c r="A148" s="4">
        <v>50</v>
      </c>
      <c r="B148" s="4">
        <v>0</v>
      </c>
      <c r="C148" s="4">
        <v>0</v>
      </c>
      <c r="D148" s="4">
        <v>1</v>
      </c>
      <c r="E148" s="4">
        <v>214</v>
      </c>
      <c r="F148" s="4">
        <f>ROUND(Source!AS131,O148)</f>
        <v>31780.880000000001</v>
      </c>
      <c r="G148" s="4" t="s">
        <v>97</v>
      </c>
      <c r="H148" s="4" t="s">
        <v>98</v>
      </c>
      <c r="I148" s="4"/>
      <c r="J148" s="4"/>
      <c r="K148" s="4">
        <v>214</v>
      </c>
      <c r="L148" s="4">
        <v>16</v>
      </c>
      <c r="M148" s="4">
        <v>3</v>
      </c>
      <c r="N148" s="4" t="s">
        <v>3</v>
      </c>
      <c r="O148" s="4">
        <v>2</v>
      </c>
      <c r="P148" s="4"/>
      <c r="Q148" s="4"/>
      <c r="R148" s="4"/>
      <c r="S148" s="4"/>
      <c r="T148" s="4"/>
      <c r="U148" s="4"/>
      <c r="V148" s="4"/>
      <c r="W148" s="4"/>
    </row>
    <row r="149" spans="1:23" x14ac:dyDescent="0.2">
      <c r="A149" s="4">
        <v>50</v>
      </c>
      <c r="B149" s="4">
        <v>0</v>
      </c>
      <c r="C149" s="4">
        <v>0</v>
      </c>
      <c r="D149" s="4">
        <v>1</v>
      </c>
      <c r="E149" s="4">
        <v>215</v>
      </c>
      <c r="F149" s="4">
        <f>ROUND(Source!AT131,O149)</f>
        <v>31370.91</v>
      </c>
      <c r="G149" s="4" t="s">
        <v>99</v>
      </c>
      <c r="H149" s="4" t="s">
        <v>100</v>
      </c>
      <c r="I149" s="4"/>
      <c r="J149" s="4"/>
      <c r="K149" s="4">
        <v>215</v>
      </c>
      <c r="L149" s="4">
        <v>17</v>
      </c>
      <c r="M149" s="4">
        <v>3</v>
      </c>
      <c r="N149" s="4" t="s">
        <v>3</v>
      </c>
      <c r="O149" s="4">
        <v>2</v>
      </c>
      <c r="P149" s="4"/>
      <c r="Q149" s="4"/>
      <c r="R149" s="4"/>
      <c r="S149" s="4"/>
      <c r="T149" s="4"/>
      <c r="U149" s="4"/>
      <c r="V149" s="4"/>
      <c r="W149" s="4"/>
    </row>
    <row r="150" spans="1:23" x14ac:dyDescent="0.2">
      <c r="A150" s="4">
        <v>50</v>
      </c>
      <c r="B150" s="4">
        <v>0</v>
      </c>
      <c r="C150" s="4">
        <v>0</v>
      </c>
      <c r="D150" s="4">
        <v>1</v>
      </c>
      <c r="E150" s="4">
        <v>217</v>
      </c>
      <c r="F150" s="4">
        <f>ROUND(Source!AU131,O150)</f>
        <v>0</v>
      </c>
      <c r="G150" s="4" t="s">
        <v>101</v>
      </c>
      <c r="H150" s="4" t="s">
        <v>102</v>
      </c>
      <c r="I150" s="4"/>
      <c r="J150" s="4"/>
      <c r="K150" s="4">
        <v>217</v>
      </c>
      <c r="L150" s="4">
        <v>18</v>
      </c>
      <c r="M150" s="4">
        <v>3</v>
      </c>
      <c r="N150" s="4" t="s">
        <v>3</v>
      </c>
      <c r="O150" s="4">
        <v>2</v>
      </c>
      <c r="P150" s="4"/>
      <c r="Q150" s="4"/>
      <c r="R150" s="4"/>
      <c r="S150" s="4"/>
      <c r="T150" s="4"/>
      <c r="U150" s="4"/>
      <c r="V150" s="4"/>
      <c r="W150" s="4"/>
    </row>
    <row r="151" spans="1:23" x14ac:dyDescent="0.2">
      <c r="A151" s="4">
        <v>50</v>
      </c>
      <c r="B151" s="4">
        <v>0</v>
      </c>
      <c r="C151" s="4">
        <v>0</v>
      </c>
      <c r="D151" s="4">
        <v>1</v>
      </c>
      <c r="E151" s="4">
        <v>230</v>
      </c>
      <c r="F151" s="4">
        <f>ROUND(Source!BA131,O151)</f>
        <v>0</v>
      </c>
      <c r="G151" s="4" t="s">
        <v>103</v>
      </c>
      <c r="H151" s="4" t="s">
        <v>104</v>
      </c>
      <c r="I151" s="4"/>
      <c r="J151" s="4"/>
      <c r="K151" s="4">
        <v>230</v>
      </c>
      <c r="L151" s="4">
        <v>19</v>
      </c>
      <c r="M151" s="4">
        <v>3</v>
      </c>
      <c r="N151" s="4" t="s">
        <v>3</v>
      </c>
      <c r="O151" s="4">
        <v>2</v>
      </c>
      <c r="P151" s="4"/>
      <c r="Q151" s="4"/>
      <c r="R151" s="4"/>
      <c r="S151" s="4"/>
      <c r="T151" s="4"/>
      <c r="U151" s="4"/>
      <c r="V151" s="4"/>
      <c r="W151" s="4"/>
    </row>
    <row r="152" spans="1:23" x14ac:dyDescent="0.2">
      <c r="A152" s="4">
        <v>50</v>
      </c>
      <c r="B152" s="4">
        <v>0</v>
      </c>
      <c r="C152" s="4">
        <v>0</v>
      </c>
      <c r="D152" s="4">
        <v>1</v>
      </c>
      <c r="E152" s="4">
        <v>206</v>
      </c>
      <c r="F152" s="4">
        <f>ROUND(Source!T131,O152)</f>
        <v>0</v>
      </c>
      <c r="G152" s="4" t="s">
        <v>105</v>
      </c>
      <c r="H152" s="4" t="s">
        <v>106</v>
      </c>
      <c r="I152" s="4"/>
      <c r="J152" s="4"/>
      <c r="K152" s="4">
        <v>206</v>
      </c>
      <c r="L152" s="4">
        <v>20</v>
      </c>
      <c r="M152" s="4">
        <v>3</v>
      </c>
      <c r="N152" s="4" t="s">
        <v>3</v>
      </c>
      <c r="O152" s="4">
        <v>2</v>
      </c>
      <c r="P152" s="4"/>
      <c r="Q152" s="4"/>
      <c r="R152" s="4"/>
      <c r="S152" s="4"/>
      <c r="T152" s="4"/>
      <c r="U152" s="4"/>
      <c r="V152" s="4"/>
      <c r="W152" s="4"/>
    </row>
    <row r="153" spans="1:23" x14ac:dyDescent="0.2">
      <c r="A153" s="4">
        <v>50</v>
      </c>
      <c r="B153" s="4">
        <v>0</v>
      </c>
      <c r="C153" s="4">
        <v>0</v>
      </c>
      <c r="D153" s="4">
        <v>1</v>
      </c>
      <c r="E153" s="4">
        <v>207</v>
      </c>
      <c r="F153" s="4">
        <f>Source!U131</f>
        <v>57.188379999999995</v>
      </c>
      <c r="G153" s="4" t="s">
        <v>107</v>
      </c>
      <c r="H153" s="4" t="s">
        <v>108</v>
      </c>
      <c r="I153" s="4"/>
      <c r="J153" s="4"/>
      <c r="K153" s="4">
        <v>207</v>
      </c>
      <c r="L153" s="4">
        <v>21</v>
      </c>
      <c r="M153" s="4">
        <v>3</v>
      </c>
      <c r="N153" s="4" t="s">
        <v>3</v>
      </c>
      <c r="O153" s="4">
        <v>-1</v>
      </c>
      <c r="P153" s="4"/>
      <c r="Q153" s="4"/>
      <c r="R153" s="4"/>
      <c r="S153" s="4"/>
      <c r="T153" s="4"/>
      <c r="U153" s="4"/>
      <c r="V153" s="4"/>
      <c r="W153" s="4"/>
    </row>
    <row r="154" spans="1:23" x14ac:dyDescent="0.2">
      <c r="A154" s="4">
        <v>50</v>
      </c>
      <c r="B154" s="4">
        <v>0</v>
      </c>
      <c r="C154" s="4">
        <v>0</v>
      </c>
      <c r="D154" s="4">
        <v>1</v>
      </c>
      <c r="E154" s="4">
        <v>208</v>
      </c>
      <c r="F154" s="4">
        <f>Source!V131</f>
        <v>1.483525</v>
      </c>
      <c r="G154" s="4" t="s">
        <v>109</v>
      </c>
      <c r="H154" s="4" t="s">
        <v>110</v>
      </c>
      <c r="I154" s="4"/>
      <c r="J154" s="4"/>
      <c r="K154" s="4">
        <v>208</v>
      </c>
      <c r="L154" s="4">
        <v>22</v>
      </c>
      <c r="M154" s="4">
        <v>3</v>
      </c>
      <c r="N154" s="4" t="s">
        <v>3</v>
      </c>
      <c r="O154" s="4">
        <v>-1</v>
      </c>
      <c r="P154" s="4"/>
      <c r="Q154" s="4"/>
      <c r="R154" s="4"/>
      <c r="S154" s="4"/>
      <c r="T154" s="4"/>
      <c r="U154" s="4"/>
      <c r="V154" s="4"/>
      <c r="W154" s="4"/>
    </row>
    <row r="155" spans="1:23" x14ac:dyDescent="0.2">
      <c r="A155" s="4">
        <v>50</v>
      </c>
      <c r="B155" s="4">
        <v>0</v>
      </c>
      <c r="C155" s="4">
        <v>0</v>
      </c>
      <c r="D155" s="4">
        <v>1</v>
      </c>
      <c r="E155" s="4">
        <v>209</v>
      </c>
      <c r="F155" s="4">
        <f>ROUND(Source!W131,O155)</f>
        <v>0.75</v>
      </c>
      <c r="G155" s="4" t="s">
        <v>111</v>
      </c>
      <c r="H155" s="4" t="s">
        <v>112</v>
      </c>
      <c r="I155" s="4"/>
      <c r="J155" s="4"/>
      <c r="K155" s="4">
        <v>209</v>
      </c>
      <c r="L155" s="4">
        <v>23</v>
      </c>
      <c r="M155" s="4">
        <v>3</v>
      </c>
      <c r="N155" s="4" t="s">
        <v>3</v>
      </c>
      <c r="O155" s="4">
        <v>2</v>
      </c>
      <c r="P155" s="4"/>
      <c r="Q155" s="4"/>
      <c r="R155" s="4"/>
      <c r="S155" s="4"/>
      <c r="T155" s="4"/>
      <c r="U155" s="4"/>
      <c r="V155" s="4"/>
      <c r="W155" s="4"/>
    </row>
    <row r="156" spans="1:23" x14ac:dyDescent="0.2">
      <c r="A156" s="4">
        <v>50</v>
      </c>
      <c r="B156" s="4">
        <v>0</v>
      </c>
      <c r="C156" s="4">
        <v>0</v>
      </c>
      <c r="D156" s="4">
        <v>1</v>
      </c>
      <c r="E156" s="4">
        <v>233</v>
      </c>
      <c r="F156" s="4">
        <f>ROUND(Source!BD131,O156)</f>
        <v>0</v>
      </c>
      <c r="G156" s="4" t="s">
        <v>113</v>
      </c>
      <c r="H156" s="4" t="s">
        <v>114</v>
      </c>
      <c r="I156" s="4"/>
      <c r="J156" s="4"/>
      <c r="K156" s="4">
        <v>233</v>
      </c>
      <c r="L156" s="4">
        <v>24</v>
      </c>
      <c r="M156" s="4">
        <v>3</v>
      </c>
      <c r="N156" s="4" t="s">
        <v>3</v>
      </c>
      <c r="O156" s="4">
        <v>2</v>
      </c>
      <c r="P156" s="4"/>
      <c r="Q156" s="4"/>
      <c r="R156" s="4"/>
      <c r="S156" s="4"/>
      <c r="T156" s="4"/>
      <c r="U156" s="4"/>
      <c r="V156" s="4"/>
      <c r="W156" s="4"/>
    </row>
    <row r="157" spans="1:23" x14ac:dyDescent="0.2">
      <c r="A157" s="4">
        <v>50</v>
      </c>
      <c r="B157" s="4">
        <v>0</v>
      </c>
      <c r="C157" s="4">
        <v>0</v>
      </c>
      <c r="D157" s="4">
        <v>1</v>
      </c>
      <c r="E157" s="4">
        <v>210</v>
      </c>
      <c r="F157" s="4">
        <f>ROUND(Source!X131,O157)</f>
        <v>13680.21</v>
      </c>
      <c r="G157" s="4" t="s">
        <v>115</v>
      </c>
      <c r="H157" s="4" t="s">
        <v>116</v>
      </c>
      <c r="I157" s="4"/>
      <c r="J157" s="4"/>
      <c r="K157" s="4">
        <v>210</v>
      </c>
      <c r="L157" s="4">
        <v>25</v>
      </c>
      <c r="M157" s="4">
        <v>3</v>
      </c>
      <c r="N157" s="4" t="s">
        <v>3</v>
      </c>
      <c r="O157" s="4">
        <v>2</v>
      </c>
      <c r="P157" s="4"/>
      <c r="Q157" s="4"/>
      <c r="R157" s="4"/>
      <c r="S157" s="4"/>
      <c r="T157" s="4"/>
      <c r="U157" s="4"/>
      <c r="V157" s="4"/>
      <c r="W157" s="4"/>
    </row>
    <row r="158" spans="1:23" x14ac:dyDescent="0.2">
      <c r="A158" s="4">
        <v>50</v>
      </c>
      <c r="B158" s="4">
        <v>0</v>
      </c>
      <c r="C158" s="4">
        <v>0</v>
      </c>
      <c r="D158" s="4">
        <v>1</v>
      </c>
      <c r="E158" s="4">
        <v>211</v>
      </c>
      <c r="F158" s="4">
        <f>ROUND(Source!Y131,O158)</f>
        <v>9682.48</v>
      </c>
      <c r="G158" s="4" t="s">
        <v>117</v>
      </c>
      <c r="H158" s="4" t="s">
        <v>118</v>
      </c>
      <c r="I158" s="4"/>
      <c r="J158" s="4"/>
      <c r="K158" s="4">
        <v>211</v>
      </c>
      <c r="L158" s="4">
        <v>26</v>
      </c>
      <c r="M158" s="4">
        <v>3</v>
      </c>
      <c r="N158" s="4" t="s">
        <v>3</v>
      </c>
      <c r="O158" s="4">
        <v>2</v>
      </c>
      <c r="P158" s="4"/>
      <c r="Q158" s="4"/>
      <c r="R158" s="4"/>
      <c r="S158" s="4"/>
      <c r="T158" s="4"/>
      <c r="U158" s="4"/>
      <c r="V158" s="4"/>
      <c r="W158" s="4"/>
    </row>
    <row r="159" spans="1:23" x14ac:dyDescent="0.2">
      <c r="A159" s="4">
        <v>50</v>
      </c>
      <c r="B159" s="4">
        <v>0</v>
      </c>
      <c r="C159" s="4">
        <v>0</v>
      </c>
      <c r="D159" s="4">
        <v>1</v>
      </c>
      <c r="E159" s="4">
        <v>0</v>
      </c>
      <c r="F159" s="4">
        <f>ROUND(Source!AR131,O159)</f>
        <v>3550368.87</v>
      </c>
      <c r="G159" s="4" t="s">
        <v>119</v>
      </c>
      <c r="H159" s="4" t="s">
        <v>120</v>
      </c>
      <c r="I159" s="4"/>
      <c r="J159" s="4"/>
      <c r="K159" s="4">
        <v>224</v>
      </c>
      <c r="L159" s="4">
        <v>27</v>
      </c>
      <c r="M159" s="4">
        <v>3</v>
      </c>
      <c r="N159" s="4" t="s">
        <v>3</v>
      </c>
      <c r="O159" s="4">
        <v>2</v>
      </c>
      <c r="P159" s="4"/>
      <c r="Q159" s="4"/>
      <c r="R159" s="4"/>
      <c r="S159" s="4"/>
      <c r="T159" s="4"/>
      <c r="U159" s="4"/>
      <c r="V159" s="4"/>
      <c r="W159" s="4"/>
    </row>
    <row r="160" spans="1:23" x14ac:dyDescent="0.2">
      <c r="A160" s="4">
        <v>50</v>
      </c>
      <c r="B160" s="4">
        <v>1</v>
      </c>
      <c r="C160" s="4">
        <v>0</v>
      </c>
      <c r="D160" s="4">
        <v>2</v>
      </c>
      <c r="E160" s="4">
        <v>224</v>
      </c>
      <c r="F160" s="4">
        <f>ROUND(F159,O160)</f>
        <v>3550368.87</v>
      </c>
      <c r="G160" s="4" t="s">
        <v>121</v>
      </c>
      <c r="H160" s="4" t="s">
        <v>122</v>
      </c>
      <c r="I160" s="4"/>
      <c r="J160" s="4"/>
      <c r="K160" s="4">
        <v>212</v>
      </c>
      <c r="L160" s="4">
        <v>28</v>
      </c>
      <c r="M160" s="4">
        <v>0</v>
      </c>
      <c r="N160" s="4" t="s">
        <v>3</v>
      </c>
      <c r="O160" s="4">
        <v>2</v>
      </c>
      <c r="P160" s="4"/>
      <c r="Q160" s="4"/>
      <c r="R160" s="4"/>
      <c r="S160" s="4"/>
      <c r="T160" s="4"/>
      <c r="U160" s="4"/>
      <c r="V160" s="4"/>
      <c r="W160" s="4"/>
    </row>
    <row r="161" spans="1:23" x14ac:dyDescent="0.2">
      <c r="A161" s="4">
        <v>50</v>
      </c>
      <c r="B161" s="4">
        <v>1</v>
      </c>
      <c r="C161" s="4">
        <v>0</v>
      </c>
      <c r="D161" s="4">
        <v>2</v>
      </c>
      <c r="E161" s="4">
        <v>0</v>
      </c>
      <c r="F161" s="4">
        <f>ROUND(F160*0.2,O161)</f>
        <v>710073.77</v>
      </c>
      <c r="G161" s="4" t="s">
        <v>123</v>
      </c>
      <c r="H161" s="4" t="s">
        <v>124</v>
      </c>
      <c r="I161" s="4"/>
      <c r="J161" s="4"/>
      <c r="K161" s="4">
        <v>212</v>
      </c>
      <c r="L161" s="4">
        <v>29</v>
      </c>
      <c r="M161" s="4">
        <v>0</v>
      </c>
      <c r="N161" s="4" t="s">
        <v>3</v>
      </c>
      <c r="O161" s="4">
        <v>2</v>
      </c>
      <c r="P161" s="4"/>
      <c r="Q161" s="4"/>
      <c r="R161" s="4"/>
      <c r="S161" s="4"/>
      <c r="T161" s="4"/>
      <c r="U161" s="4"/>
      <c r="V161" s="4"/>
      <c r="W161" s="4"/>
    </row>
    <row r="162" spans="1:23" x14ac:dyDescent="0.2">
      <c r="A162" s="4">
        <v>50</v>
      </c>
      <c r="B162" s="4">
        <v>1</v>
      </c>
      <c r="C162" s="4">
        <v>0</v>
      </c>
      <c r="D162" s="4">
        <v>2</v>
      </c>
      <c r="E162" s="4">
        <v>213</v>
      </c>
      <c r="F162" s="4">
        <f>ROUND(F160+F161,O162)</f>
        <v>4260442.6399999997</v>
      </c>
      <c r="G162" s="4" t="s">
        <v>125</v>
      </c>
      <c r="H162" s="4" t="s">
        <v>126</v>
      </c>
      <c r="I162" s="4"/>
      <c r="J162" s="4"/>
      <c r="K162" s="4">
        <v>212</v>
      </c>
      <c r="L162" s="4">
        <v>30</v>
      </c>
      <c r="M162" s="4">
        <v>0</v>
      </c>
      <c r="N162" s="4" t="s">
        <v>3</v>
      </c>
      <c r="O162" s="4">
        <v>2</v>
      </c>
      <c r="P162" s="4"/>
      <c r="Q162" s="4"/>
      <c r="R162" s="4"/>
      <c r="S162" s="4"/>
      <c r="T162" s="4"/>
      <c r="U162" s="4"/>
      <c r="V162" s="4"/>
      <c r="W162" s="4"/>
    </row>
    <row r="165" spans="1:23" x14ac:dyDescent="0.2">
      <c r="A165">
        <v>70</v>
      </c>
      <c r="B165">
        <v>1</v>
      </c>
      <c r="D165">
        <v>1</v>
      </c>
      <c r="E165" t="s">
        <v>127</v>
      </c>
      <c r="F165" t="s">
        <v>128</v>
      </c>
      <c r="G165">
        <v>1</v>
      </c>
      <c r="H165">
        <v>0</v>
      </c>
      <c r="I165" t="s">
        <v>3</v>
      </c>
      <c r="J165">
        <v>1</v>
      </c>
      <c r="K165">
        <v>0</v>
      </c>
      <c r="L165" t="s">
        <v>3</v>
      </c>
      <c r="M165" t="s">
        <v>3</v>
      </c>
      <c r="N165">
        <v>0</v>
      </c>
    </row>
    <row r="166" spans="1:23" x14ac:dyDescent="0.2">
      <c r="A166">
        <v>70</v>
      </c>
      <c r="B166">
        <v>1</v>
      </c>
      <c r="D166">
        <v>2</v>
      </c>
      <c r="E166" t="s">
        <v>129</v>
      </c>
      <c r="F166" t="s">
        <v>130</v>
      </c>
      <c r="G166">
        <v>0</v>
      </c>
      <c r="H166">
        <v>0</v>
      </c>
      <c r="I166" t="s">
        <v>3</v>
      </c>
      <c r="J166">
        <v>1</v>
      </c>
      <c r="K166">
        <v>0</v>
      </c>
      <c r="L166" t="s">
        <v>3</v>
      </c>
      <c r="M166" t="s">
        <v>3</v>
      </c>
      <c r="N166">
        <v>0</v>
      </c>
    </row>
    <row r="167" spans="1:23" x14ac:dyDescent="0.2">
      <c r="A167">
        <v>70</v>
      </c>
      <c r="B167">
        <v>1</v>
      </c>
      <c r="D167">
        <v>3</v>
      </c>
      <c r="E167" t="s">
        <v>131</v>
      </c>
      <c r="F167" t="s">
        <v>132</v>
      </c>
      <c r="G167">
        <v>0</v>
      </c>
      <c r="H167">
        <v>0</v>
      </c>
      <c r="I167" t="s">
        <v>3</v>
      </c>
      <c r="J167">
        <v>1</v>
      </c>
      <c r="K167">
        <v>0</v>
      </c>
      <c r="L167" t="s">
        <v>3</v>
      </c>
      <c r="M167" t="s">
        <v>3</v>
      </c>
      <c r="N167">
        <v>0</v>
      </c>
    </row>
    <row r="168" spans="1:23" x14ac:dyDescent="0.2">
      <c r="A168">
        <v>70</v>
      </c>
      <c r="B168">
        <v>1</v>
      </c>
      <c r="D168">
        <v>4</v>
      </c>
      <c r="E168" t="s">
        <v>133</v>
      </c>
      <c r="F168" t="s">
        <v>134</v>
      </c>
      <c r="G168">
        <v>0</v>
      </c>
      <c r="H168">
        <v>0</v>
      </c>
      <c r="I168" t="s">
        <v>135</v>
      </c>
      <c r="J168">
        <v>0</v>
      </c>
      <c r="K168">
        <v>0</v>
      </c>
      <c r="L168" t="s">
        <v>3</v>
      </c>
      <c r="M168" t="s">
        <v>3</v>
      </c>
      <c r="N168">
        <v>0</v>
      </c>
    </row>
    <row r="169" spans="1:23" x14ac:dyDescent="0.2">
      <c r="A169">
        <v>70</v>
      </c>
      <c r="B169">
        <v>1</v>
      </c>
      <c r="D169">
        <v>5</v>
      </c>
      <c r="E169" t="s">
        <v>136</v>
      </c>
      <c r="F169" t="s">
        <v>137</v>
      </c>
      <c r="G169">
        <v>0</v>
      </c>
      <c r="H169">
        <v>0</v>
      </c>
      <c r="I169" t="s">
        <v>138</v>
      </c>
      <c r="J169">
        <v>0</v>
      </c>
      <c r="K169">
        <v>0</v>
      </c>
      <c r="L169" t="s">
        <v>3</v>
      </c>
      <c r="M169" t="s">
        <v>3</v>
      </c>
      <c r="N169">
        <v>0</v>
      </c>
    </row>
    <row r="170" spans="1:23" x14ac:dyDescent="0.2">
      <c r="A170">
        <v>70</v>
      </c>
      <c r="B170">
        <v>1</v>
      </c>
      <c r="D170">
        <v>6</v>
      </c>
      <c r="E170" t="s">
        <v>139</v>
      </c>
      <c r="F170" t="s">
        <v>140</v>
      </c>
      <c r="G170">
        <v>0</v>
      </c>
      <c r="H170">
        <v>0</v>
      </c>
      <c r="I170" t="s">
        <v>141</v>
      </c>
      <c r="J170">
        <v>0</v>
      </c>
      <c r="K170">
        <v>0</v>
      </c>
      <c r="L170" t="s">
        <v>3</v>
      </c>
      <c r="M170" t="s">
        <v>3</v>
      </c>
      <c r="N170">
        <v>0</v>
      </c>
    </row>
    <row r="171" spans="1:23" x14ac:dyDescent="0.2">
      <c r="A171">
        <v>70</v>
      </c>
      <c r="B171">
        <v>1</v>
      </c>
      <c r="D171">
        <v>7</v>
      </c>
      <c r="E171" t="s">
        <v>142</v>
      </c>
      <c r="F171" t="s">
        <v>143</v>
      </c>
      <c r="G171">
        <v>1</v>
      </c>
      <c r="H171">
        <v>0</v>
      </c>
      <c r="I171" t="s">
        <v>3</v>
      </c>
      <c r="J171">
        <v>0</v>
      </c>
      <c r="K171">
        <v>0</v>
      </c>
      <c r="L171" t="s">
        <v>3</v>
      </c>
      <c r="M171" t="s">
        <v>3</v>
      </c>
      <c r="N171">
        <v>0</v>
      </c>
    </row>
    <row r="172" spans="1:23" x14ac:dyDescent="0.2">
      <c r="A172">
        <v>70</v>
      </c>
      <c r="B172">
        <v>1</v>
      </c>
      <c r="D172">
        <v>8</v>
      </c>
      <c r="E172" t="s">
        <v>144</v>
      </c>
      <c r="F172" t="s">
        <v>145</v>
      </c>
      <c r="G172">
        <v>0</v>
      </c>
      <c r="H172">
        <v>0</v>
      </c>
      <c r="I172" t="s">
        <v>146</v>
      </c>
      <c r="J172">
        <v>0</v>
      </c>
      <c r="K172">
        <v>0</v>
      </c>
      <c r="L172" t="s">
        <v>3</v>
      </c>
      <c r="M172" t="s">
        <v>3</v>
      </c>
      <c r="N172">
        <v>0</v>
      </c>
    </row>
    <row r="173" spans="1:23" x14ac:dyDescent="0.2">
      <c r="A173">
        <v>70</v>
      </c>
      <c r="B173">
        <v>1</v>
      </c>
      <c r="D173">
        <v>9</v>
      </c>
      <c r="E173" t="s">
        <v>147</v>
      </c>
      <c r="F173" t="s">
        <v>148</v>
      </c>
      <c r="G173">
        <v>0</v>
      </c>
      <c r="H173">
        <v>0</v>
      </c>
      <c r="I173" t="s">
        <v>149</v>
      </c>
      <c r="J173">
        <v>0</v>
      </c>
      <c r="K173">
        <v>0</v>
      </c>
      <c r="L173" t="s">
        <v>3</v>
      </c>
      <c r="M173" t="s">
        <v>3</v>
      </c>
      <c r="N173">
        <v>0</v>
      </c>
    </row>
    <row r="174" spans="1:23" x14ac:dyDescent="0.2">
      <c r="A174">
        <v>70</v>
      </c>
      <c r="B174">
        <v>1</v>
      </c>
      <c r="D174">
        <v>10</v>
      </c>
      <c r="E174" t="s">
        <v>150</v>
      </c>
      <c r="F174" t="s">
        <v>151</v>
      </c>
      <c r="G174">
        <v>0</v>
      </c>
      <c r="H174">
        <v>0</v>
      </c>
      <c r="I174" t="s">
        <v>152</v>
      </c>
      <c r="J174">
        <v>0</v>
      </c>
      <c r="K174">
        <v>0</v>
      </c>
      <c r="L174" t="s">
        <v>3</v>
      </c>
      <c r="M174" t="s">
        <v>3</v>
      </c>
      <c r="N174">
        <v>0</v>
      </c>
    </row>
    <row r="175" spans="1:23" x14ac:dyDescent="0.2">
      <c r="A175">
        <v>70</v>
      </c>
      <c r="B175">
        <v>1</v>
      </c>
      <c r="D175">
        <v>11</v>
      </c>
      <c r="E175" t="s">
        <v>153</v>
      </c>
      <c r="F175" t="s">
        <v>154</v>
      </c>
      <c r="G175">
        <v>0</v>
      </c>
      <c r="H175">
        <v>0</v>
      </c>
      <c r="I175" t="s">
        <v>155</v>
      </c>
      <c r="J175">
        <v>0</v>
      </c>
      <c r="K175">
        <v>0</v>
      </c>
      <c r="L175" t="s">
        <v>3</v>
      </c>
      <c r="M175" t="s">
        <v>3</v>
      </c>
      <c r="N175">
        <v>0</v>
      </c>
    </row>
    <row r="176" spans="1:23" x14ac:dyDescent="0.2">
      <c r="A176">
        <v>70</v>
      </c>
      <c r="B176">
        <v>1</v>
      </c>
      <c r="D176">
        <v>12</v>
      </c>
      <c r="E176" t="s">
        <v>156</v>
      </c>
      <c r="F176" t="s">
        <v>157</v>
      </c>
      <c r="G176">
        <v>0</v>
      </c>
      <c r="H176">
        <v>0</v>
      </c>
      <c r="I176" t="s">
        <v>3</v>
      </c>
      <c r="J176">
        <v>0</v>
      </c>
      <c r="K176">
        <v>0</v>
      </c>
      <c r="L176" t="s">
        <v>3</v>
      </c>
      <c r="M176" t="s">
        <v>3</v>
      </c>
      <c r="N176">
        <v>0</v>
      </c>
    </row>
    <row r="177" spans="1:14" x14ac:dyDescent="0.2">
      <c r="A177">
        <v>70</v>
      </c>
      <c r="B177">
        <v>1</v>
      </c>
      <c r="D177">
        <v>1</v>
      </c>
      <c r="E177" t="s">
        <v>158</v>
      </c>
      <c r="F177" t="s">
        <v>159</v>
      </c>
      <c r="G177">
        <v>0.9</v>
      </c>
      <c r="H177">
        <v>1</v>
      </c>
      <c r="I177" t="s">
        <v>160</v>
      </c>
      <c r="J177">
        <v>0</v>
      </c>
      <c r="K177">
        <v>0</v>
      </c>
      <c r="L177" t="s">
        <v>3</v>
      </c>
      <c r="M177" t="s">
        <v>3</v>
      </c>
      <c r="N177">
        <v>0</v>
      </c>
    </row>
    <row r="178" spans="1:14" x14ac:dyDescent="0.2">
      <c r="A178">
        <v>70</v>
      </c>
      <c r="B178">
        <v>1</v>
      </c>
      <c r="D178">
        <v>2</v>
      </c>
      <c r="E178" t="s">
        <v>161</v>
      </c>
      <c r="F178" t="s">
        <v>162</v>
      </c>
      <c r="G178">
        <v>0.85</v>
      </c>
      <c r="H178">
        <v>1</v>
      </c>
      <c r="I178" t="s">
        <v>163</v>
      </c>
      <c r="J178">
        <v>0</v>
      </c>
      <c r="K178">
        <v>0</v>
      </c>
      <c r="L178" t="s">
        <v>3</v>
      </c>
      <c r="M178" t="s">
        <v>3</v>
      </c>
      <c r="N178">
        <v>0</v>
      </c>
    </row>
    <row r="179" spans="1:14" x14ac:dyDescent="0.2">
      <c r="A179">
        <v>70</v>
      </c>
      <c r="B179">
        <v>1</v>
      </c>
      <c r="D179">
        <v>3</v>
      </c>
      <c r="E179" t="s">
        <v>164</v>
      </c>
      <c r="F179" t="s">
        <v>165</v>
      </c>
      <c r="G179">
        <v>1</v>
      </c>
      <c r="H179">
        <v>0.85</v>
      </c>
      <c r="I179" t="s">
        <v>166</v>
      </c>
      <c r="J179">
        <v>0</v>
      </c>
      <c r="K179">
        <v>0</v>
      </c>
      <c r="L179" t="s">
        <v>3</v>
      </c>
      <c r="M179" t="s">
        <v>3</v>
      </c>
      <c r="N179">
        <v>0</v>
      </c>
    </row>
    <row r="180" spans="1:14" x14ac:dyDescent="0.2">
      <c r="A180">
        <v>70</v>
      </c>
      <c r="B180">
        <v>1</v>
      </c>
      <c r="D180">
        <v>4</v>
      </c>
      <c r="E180" t="s">
        <v>167</v>
      </c>
      <c r="F180" t="s">
        <v>168</v>
      </c>
      <c r="G180">
        <v>1</v>
      </c>
      <c r="H180">
        <v>0</v>
      </c>
      <c r="I180" t="s">
        <v>3</v>
      </c>
      <c r="J180">
        <v>0</v>
      </c>
      <c r="K180">
        <v>0</v>
      </c>
      <c r="L180" t="s">
        <v>3</v>
      </c>
      <c r="M180" t="s">
        <v>3</v>
      </c>
      <c r="N180">
        <v>0</v>
      </c>
    </row>
    <row r="181" spans="1:14" x14ac:dyDescent="0.2">
      <c r="A181">
        <v>70</v>
      </c>
      <c r="B181">
        <v>1</v>
      </c>
      <c r="D181">
        <v>5</v>
      </c>
      <c r="E181" t="s">
        <v>169</v>
      </c>
      <c r="F181" t="s">
        <v>170</v>
      </c>
      <c r="G181">
        <v>1</v>
      </c>
      <c r="H181">
        <v>0.8</v>
      </c>
      <c r="I181" t="s">
        <v>171</v>
      </c>
      <c r="J181">
        <v>0</v>
      </c>
      <c r="K181">
        <v>0</v>
      </c>
      <c r="L181" t="s">
        <v>3</v>
      </c>
      <c r="M181" t="s">
        <v>3</v>
      </c>
      <c r="N181">
        <v>0</v>
      </c>
    </row>
    <row r="182" spans="1:14" x14ac:dyDescent="0.2">
      <c r="A182">
        <v>70</v>
      </c>
      <c r="B182">
        <v>1</v>
      </c>
      <c r="D182">
        <v>6</v>
      </c>
      <c r="E182" t="s">
        <v>172</v>
      </c>
      <c r="F182" t="s">
        <v>173</v>
      </c>
      <c r="G182">
        <v>0.85</v>
      </c>
      <c r="H182">
        <v>0</v>
      </c>
      <c r="I182" t="s">
        <v>3</v>
      </c>
      <c r="J182">
        <v>0</v>
      </c>
      <c r="K182">
        <v>0</v>
      </c>
      <c r="L182" t="s">
        <v>3</v>
      </c>
      <c r="M182" t="s">
        <v>3</v>
      </c>
      <c r="N182">
        <v>0</v>
      </c>
    </row>
    <row r="183" spans="1:14" x14ac:dyDescent="0.2">
      <c r="A183">
        <v>70</v>
      </c>
      <c r="B183">
        <v>1</v>
      </c>
      <c r="D183">
        <v>7</v>
      </c>
      <c r="E183" t="s">
        <v>174</v>
      </c>
      <c r="F183" t="s">
        <v>175</v>
      </c>
      <c r="G183">
        <v>0.8</v>
      </c>
      <c r="H183">
        <v>0</v>
      </c>
      <c r="I183" t="s">
        <v>3</v>
      </c>
      <c r="J183">
        <v>0</v>
      </c>
      <c r="K183">
        <v>0</v>
      </c>
      <c r="L183" t="s">
        <v>3</v>
      </c>
      <c r="M183" t="s">
        <v>3</v>
      </c>
      <c r="N183">
        <v>0</v>
      </c>
    </row>
    <row r="184" spans="1:14" x14ac:dyDescent="0.2">
      <c r="A184">
        <v>70</v>
      </c>
      <c r="B184">
        <v>1</v>
      </c>
      <c r="D184">
        <v>8</v>
      </c>
      <c r="E184" t="s">
        <v>176</v>
      </c>
      <c r="F184" t="s">
        <v>177</v>
      </c>
      <c r="G184">
        <v>0.7</v>
      </c>
      <c r="H184">
        <v>0</v>
      </c>
      <c r="I184" t="s">
        <v>3</v>
      </c>
      <c r="J184">
        <v>0</v>
      </c>
      <c r="K184">
        <v>0</v>
      </c>
      <c r="L184" t="s">
        <v>3</v>
      </c>
      <c r="M184" t="s">
        <v>3</v>
      </c>
      <c r="N184">
        <v>0</v>
      </c>
    </row>
    <row r="185" spans="1:14" x14ac:dyDescent="0.2">
      <c r="A185">
        <v>70</v>
      </c>
      <c r="B185">
        <v>1</v>
      </c>
      <c r="D185">
        <v>9</v>
      </c>
      <c r="E185" t="s">
        <v>178</v>
      </c>
      <c r="F185" t="s">
        <v>179</v>
      </c>
      <c r="G185">
        <v>0.9</v>
      </c>
      <c r="H185">
        <v>0</v>
      </c>
      <c r="I185" t="s">
        <v>3</v>
      </c>
      <c r="J185">
        <v>0</v>
      </c>
      <c r="K185">
        <v>0</v>
      </c>
      <c r="L185" t="s">
        <v>3</v>
      </c>
      <c r="M185" t="s">
        <v>3</v>
      </c>
      <c r="N185">
        <v>0</v>
      </c>
    </row>
    <row r="186" spans="1:14" x14ac:dyDescent="0.2">
      <c r="A186">
        <v>70</v>
      </c>
      <c r="B186">
        <v>1</v>
      </c>
      <c r="D186">
        <v>10</v>
      </c>
      <c r="E186" t="s">
        <v>180</v>
      </c>
      <c r="F186" t="s">
        <v>181</v>
      </c>
      <c r="G186">
        <v>0.6</v>
      </c>
      <c r="H186">
        <v>0</v>
      </c>
      <c r="I186" t="s">
        <v>3</v>
      </c>
      <c r="J186">
        <v>0</v>
      </c>
      <c r="K186">
        <v>0</v>
      </c>
      <c r="L186" t="s">
        <v>3</v>
      </c>
      <c r="M186" t="s">
        <v>3</v>
      </c>
      <c r="N186">
        <v>0</v>
      </c>
    </row>
    <row r="187" spans="1:14" x14ac:dyDescent="0.2">
      <c r="A187">
        <v>70</v>
      </c>
      <c r="B187">
        <v>1</v>
      </c>
      <c r="D187">
        <v>11</v>
      </c>
      <c r="E187" t="s">
        <v>182</v>
      </c>
      <c r="F187" t="s">
        <v>183</v>
      </c>
      <c r="G187">
        <v>1.2</v>
      </c>
      <c r="H187">
        <v>0</v>
      </c>
      <c r="I187" t="s">
        <v>3</v>
      </c>
      <c r="J187">
        <v>0</v>
      </c>
      <c r="K187">
        <v>0</v>
      </c>
      <c r="L187" t="s">
        <v>3</v>
      </c>
      <c r="M187" t="s">
        <v>3</v>
      </c>
      <c r="N187">
        <v>0</v>
      </c>
    </row>
    <row r="188" spans="1:14" x14ac:dyDescent="0.2">
      <c r="A188">
        <v>70</v>
      </c>
      <c r="B188">
        <v>1</v>
      </c>
      <c r="D188">
        <v>12</v>
      </c>
      <c r="E188" t="s">
        <v>184</v>
      </c>
      <c r="F188" t="s">
        <v>185</v>
      </c>
      <c r="G188">
        <v>0</v>
      </c>
      <c r="H188">
        <v>0</v>
      </c>
      <c r="I188" t="s">
        <v>3</v>
      </c>
      <c r="J188">
        <v>0</v>
      </c>
      <c r="K188">
        <v>0</v>
      </c>
      <c r="L188" t="s">
        <v>3</v>
      </c>
      <c r="M188" t="s">
        <v>3</v>
      </c>
      <c r="N188">
        <v>0</v>
      </c>
    </row>
    <row r="189" spans="1:14" x14ac:dyDescent="0.2">
      <c r="A189">
        <v>70</v>
      </c>
      <c r="B189">
        <v>1</v>
      </c>
      <c r="D189">
        <v>13</v>
      </c>
      <c r="E189" t="s">
        <v>186</v>
      </c>
      <c r="F189" t="s">
        <v>187</v>
      </c>
      <c r="G189">
        <v>1</v>
      </c>
      <c r="H189">
        <v>0</v>
      </c>
      <c r="I189" t="s">
        <v>3</v>
      </c>
      <c r="J189">
        <v>0</v>
      </c>
      <c r="K189">
        <v>0</v>
      </c>
      <c r="L189" t="s">
        <v>3</v>
      </c>
      <c r="M189" t="s">
        <v>3</v>
      </c>
      <c r="N189">
        <v>0</v>
      </c>
    </row>
    <row r="191" spans="1:14" x14ac:dyDescent="0.2">
      <c r="A191">
        <v>-1</v>
      </c>
    </row>
    <row r="193" spans="1:27" x14ac:dyDescent="0.2">
      <c r="A193" s="3">
        <v>75</v>
      </c>
      <c r="B193" s="3" t="s">
        <v>188</v>
      </c>
      <c r="C193" s="3">
        <v>2019</v>
      </c>
      <c r="D193" s="3">
        <v>0</v>
      </c>
      <c r="E193" s="3">
        <v>11</v>
      </c>
      <c r="F193" s="3"/>
      <c r="G193" s="3">
        <v>0</v>
      </c>
      <c r="H193" s="3">
        <v>1</v>
      </c>
      <c r="I193" s="3">
        <v>0</v>
      </c>
      <c r="J193" s="3">
        <v>1</v>
      </c>
      <c r="K193" s="3">
        <v>0</v>
      </c>
      <c r="L193" s="3">
        <v>0</v>
      </c>
      <c r="M193" s="3">
        <v>0</v>
      </c>
      <c r="N193" s="3">
        <v>59844155</v>
      </c>
      <c r="O193" s="3">
        <v>1</v>
      </c>
    </row>
    <row r="194" spans="1:27" x14ac:dyDescent="0.2">
      <c r="A194" s="5">
        <v>1</v>
      </c>
      <c r="B194" s="5" t="s">
        <v>189</v>
      </c>
      <c r="C194" s="5" t="s">
        <v>190</v>
      </c>
      <c r="D194" s="5">
        <v>2019</v>
      </c>
      <c r="E194" s="5">
        <v>11</v>
      </c>
      <c r="F194" s="5">
        <v>1</v>
      </c>
      <c r="G194" s="5">
        <v>1</v>
      </c>
      <c r="H194" s="5">
        <v>0</v>
      </c>
      <c r="I194" s="5">
        <v>2</v>
      </c>
      <c r="J194" s="5">
        <v>1</v>
      </c>
      <c r="K194" s="5">
        <v>1</v>
      </c>
      <c r="L194" s="5">
        <v>1</v>
      </c>
      <c r="M194" s="5">
        <v>1</v>
      </c>
      <c r="N194" s="5">
        <v>1</v>
      </c>
      <c r="O194" s="5">
        <v>1</v>
      </c>
      <c r="P194" s="5">
        <v>1</v>
      </c>
      <c r="Q194" s="5">
        <v>1</v>
      </c>
      <c r="R194" s="5" t="s">
        <v>3</v>
      </c>
      <c r="S194" s="5" t="s">
        <v>3</v>
      </c>
      <c r="T194" s="5" t="s">
        <v>3</v>
      </c>
      <c r="U194" s="5" t="s">
        <v>3</v>
      </c>
      <c r="V194" s="5" t="s">
        <v>3</v>
      </c>
      <c r="W194" s="5" t="s">
        <v>3</v>
      </c>
      <c r="X194" s="5" t="s">
        <v>3</v>
      </c>
      <c r="Y194" s="5" t="s">
        <v>3</v>
      </c>
      <c r="Z194" s="5" t="s">
        <v>3</v>
      </c>
      <c r="AA194" s="5" t="s">
        <v>3</v>
      </c>
    </row>
    <row r="198" spans="1:27" x14ac:dyDescent="0.2">
      <c r="A198">
        <v>65</v>
      </c>
      <c r="C198">
        <v>1</v>
      </c>
      <c r="D198">
        <v>0</v>
      </c>
      <c r="E198">
        <v>245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55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191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23404</v>
      </c>
      <c r="M1">
        <v>10</v>
      </c>
      <c r="N1">
        <v>11</v>
      </c>
      <c r="O1">
        <v>0</v>
      </c>
      <c r="P1">
        <v>0</v>
      </c>
      <c r="Q1">
        <v>6</v>
      </c>
    </row>
    <row r="12" spans="1:133" x14ac:dyDescent="0.2">
      <c r="A12" s="1">
        <v>1</v>
      </c>
      <c r="B12" s="1">
        <v>54</v>
      </c>
      <c r="C12" s="1">
        <v>0</v>
      </c>
      <c r="D12" s="1"/>
      <c r="E12" s="1">
        <v>0</v>
      </c>
      <c r="F12" s="1" t="s">
        <v>4</v>
      </c>
      <c r="G12" s="1" t="s">
        <v>5</v>
      </c>
      <c r="H12" s="1" t="s">
        <v>3</v>
      </c>
      <c r="I12" s="1">
        <v>0</v>
      </c>
      <c r="J12" s="1" t="s">
        <v>3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/>
      <c r="T12" s="1"/>
      <c r="U12" s="1" t="s">
        <v>3</v>
      </c>
      <c r="V12" s="1">
        <v>0</v>
      </c>
      <c r="W12" s="1" t="s">
        <v>3</v>
      </c>
      <c r="X12" s="1" t="s">
        <v>3</v>
      </c>
      <c r="Y12" s="1" t="s">
        <v>3</v>
      </c>
      <c r="Z12" s="1" t="s">
        <v>3</v>
      </c>
      <c r="AA12" s="1" t="s">
        <v>3</v>
      </c>
      <c r="AB12" s="1" t="s">
        <v>3</v>
      </c>
      <c r="AC12" s="1" t="s">
        <v>3</v>
      </c>
      <c r="AD12" s="1" t="s">
        <v>3</v>
      </c>
      <c r="AE12" s="1" t="s">
        <v>3</v>
      </c>
      <c r="AF12" s="1" t="s">
        <v>3</v>
      </c>
      <c r="AG12" s="1" t="s">
        <v>3</v>
      </c>
      <c r="AH12" s="1" t="s">
        <v>3</v>
      </c>
      <c r="AI12" s="1" t="s">
        <v>3</v>
      </c>
      <c r="AJ12" s="1" t="s">
        <v>3</v>
      </c>
      <c r="AK12" s="1"/>
      <c r="AL12" s="1" t="s">
        <v>3</v>
      </c>
      <c r="AM12" s="1" t="s">
        <v>3</v>
      </c>
      <c r="AN12" s="1" t="s">
        <v>3</v>
      </c>
      <c r="AO12" s="1"/>
      <c r="AP12" s="1" t="s">
        <v>3</v>
      </c>
      <c r="AQ12" s="1" t="s">
        <v>3</v>
      </c>
      <c r="AR12" s="1" t="s">
        <v>3</v>
      </c>
      <c r="AS12" s="1"/>
      <c r="AT12" s="1"/>
      <c r="AU12" s="1"/>
      <c r="AV12" s="1"/>
      <c r="AW12" s="1"/>
      <c r="AX12" s="1" t="s">
        <v>3</v>
      </c>
      <c r="AY12" s="1" t="s">
        <v>3</v>
      </c>
      <c r="AZ12" s="1" t="s">
        <v>3</v>
      </c>
      <c r="BA12" s="1"/>
      <c r="BB12" s="1"/>
      <c r="BC12" s="1"/>
      <c r="BD12" s="1"/>
      <c r="BE12" s="1"/>
      <c r="BF12" s="1"/>
      <c r="BG12" s="1"/>
      <c r="BH12" s="1" t="s">
        <v>6</v>
      </c>
      <c r="BI12" s="1" t="s">
        <v>7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6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8</v>
      </c>
      <c r="BZ12" s="1" t="s">
        <v>9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11</v>
      </c>
      <c r="CF12" s="1">
        <v>0</v>
      </c>
      <c r="CG12" s="1">
        <v>0</v>
      </c>
      <c r="CH12" s="1">
        <v>0</v>
      </c>
      <c r="CI12" s="1" t="s">
        <v>3</v>
      </c>
      <c r="CJ12" s="1" t="s">
        <v>3</v>
      </c>
      <c r="CK12" s="1">
        <v>1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4" spans="1:133" x14ac:dyDescent="0.2">
      <c r="A14" s="1">
        <v>22</v>
      </c>
      <c r="B14" s="1">
        <v>0</v>
      </c>
      <c r="C14" s="1">
        <v>0</v>
      </c>
      <c r="D14" s="1">
        <v>59844155</v>
      </c>
      <c r="E14" s="1">
        <v>0</v>
      </c>
      <c r="F14" s="1">
        <v>3</v>
      </c>
      <c r="G14" s="1"/>
      <c r="H14" s="1"/>
      <c r="I14" s="1"/>
      <c r="J14" s="1"/>
      <c r="K14" s="1"/>
      <c r="L14" s="1"/>
      <c r="M14" s="1"/>
      <c r="N14" s="1"/>
      <c r="O14" s="1"/>
    </row>
    <row r="16" spans="1:133" x14ac:dyDescent="0.2">
      <c r="A16" s="6">
        <v>3</v>
      </c>
      <c r="B16" s="6">
        <v>1</v>
      </c>
      <c r="C16" s="6" t="s">
        <v>12</v>
      </c>
      <c r="D16" s="6" t="s">
        <v>13</v>
      </c>
      <c r="E16" s="7">
        <f>(Source!F118)/1000</f>
        <v>31.78088</v>
      </c>
      <c r="F16" s="7">
        <f>(Source!F119)/1000</f>
        <v>31.370909999999999</v>
      </c>
      <c r="G16" s="7">
        <f>(Source!F110)/1000</f>
        <v>3487.2170799999999</v>
      </c>
      <c r="H16" s="7">
        <f>(Source!F120)/1000+(Source!F121)/1000</f>
        <v>0</v>
      </c>
      <c r="I16" s="7">
        <f>E16+F16+G16+H16</f>
        <v>3550.3688699999998</v>
      </c>
      <c r="J16" s="7">
        <f>(Source!F116)/1000</f>
        <v>15.196200000000001</v>
      </c>
      <c r="AI16" s="6">
        <v>0</v>
      </c>
      <c r="AJ16" s="6">
        <v>-1</v>
      </c>
      <c r="AK16" s="6" t="s">
        <v>3</v>
      </c>
      <c r="AL16" s="6" t="s">
        <v>3</v>
      </c>
      <c r="AM16" s="6" t="s">
        <v>3</v>
      </c>
      <c r="AN16" s="6">
        <v>0</v>
      </c>
      <c r="AO16" s="6" t="s">
        <v>3</v>
      </c>
      <c r="AP16" s="6" t="s">
        <v>3</v>
      </c>
      <c r="AT16" s="7">
        <v>3527006.18</v>
      </c>
      <c r="AU16" s="7">
        <v>3509853.7</v>
      </c>
      <c r="AV16" s="7">
        <v>0</v>
      </c>
      <c r="AW16" s="7">
        <v>3487217.08</v>
      </c>
      <c r="AX16" s="7">
        <v>0</v>
      </c>
      <c r="AY16" s="7">
        <v>1956.28</v>
      </c>
      <c r="AZ16" s="7">
        <v>591.16999999999996</v>
      </c>
      <c r="BA16" s="7">
        <v>15196.2</v>
      </c>
      <c r="BB16" s="7">
        <v>31780.880000000001</v>
      </c>
      <c r="BC16" s="7">
        <v>31370.91</v>
      </c>
      <c r="BD16" s="7">
        <v>0</v>
      </c>
      <c r="BE16" s="7">
        <v>0</v>
      </c>
      <c r="BF16" s="7">
        <v>57.188379999999995</v>
      </c>
      <c r="BG16" s="7">
        <v>1.483525</v>
      </c>
      <c r="BH16" s="7">
        <v>0.75</v>
      </c>
      <c r="BI16" s="7">
        <v>13680.21</v>
      </c>
      <c r="BJ16" s="7">
        <v>9682.48</v>
      </c>
      <c r="BK16" s="7">
        <v>3550368.87</v>
      </c>
    </row>
    <row r="18" spans="1:19" x14ac:dyDescent="0.2">
      <c r="A18">
        <v>51</v>
      </c>
      <c r="E18" s="8">
        <f>SUMIF(A16:A17,3,E16:E17)</f>
        <v>31.78088</v>
      </c>
      <c r="F18" s="8">
        <f>SUMIF(A16:A17,3,F16:F17)</f>
        <v>31.370909999999999</v>
      </c>
      <c r="G18" s="8">
        <f>SUMIF(A16:A17,3,G16:G17)</f>
        <v>3487.2170799999999</v>
      </c>
      <c r="H18" s="8">
        <f>SUMIF(A16:A17,3,H16:H17)</f>
        <v>0</v>
      </c>
      <c r="I18" s="8">
        <f>SUMIF(A16:A17,3,I16:I17)</f>
        <v>3550.3688699999998</v>
      </c>
      <c r="J18" s="8">
        <f>SUMIF(A16:A17,3,J16:J17)</f>
        <v>15.196200000000001</v>
      </c>
      <c r="K18" s="8"/>
      <c r="L18" s="8"/>
      <c r="M18" s="8"/>
      <c r="N18" s="8"/>
      <c r="O18" s="8"/>
      <c r="P18" s="8"/>
      <c r="Q18" s="8"/>
      <c r="R18" s="8"/>
      <c r="S18" s="8"/>
    </row>
    <row r="20" spans="1:19" x14ac:dyDescent="0.2">
      <c r="A20" s="4">
        <v>50</v>
      </c>
      <c r="B20" s="4">
        <v>0</v>
      </c>
      <c r="C20" s="4">
        <v>0</v>
      </c>
      <c r="D20" s="4">
        <v>1</v>
      </c>
      <c r="E20" s="4">
        <v>201</v>
      </c>
      <c r="F20" s="4">
        <v>3527006.18</v>
      </c>
      <c r="G20" s="4" t="s">
        <v>67</v>
      </c>
      <c r="H20" s="4" t="s">
        <v>68</v>
      </c>
      <c r="I20" s="4"/>
      <c r="J20" s="4"/>
      <c r="K20" s="4">
        <v>201</v>
      </c>
      <c r="L20" s="4">
        <v>1</v>
      </c>
      <c r="M20" s="4">
        <v>3</v>
      </c>
      <c r="N20" s="4" t="s">
        <v>3</v>
      </c>
      <c r="O20" s="4">
        <v>2</v>
      </c>
      <c r="P20" s="4"/>
    </row>
    <row r="21" spans="1:19" x14ac:dyDescent="0.2">
      <c r="A21" s="4">
        <v>50</v>
      </c>
      <c r="B21" s="4">
        <v>0</v>
      </c>
      <c r="C21" s="4">
        <v>0</v>
      </c>
      <c r="D21" s="4">
        <v>1</v>
      </c>
      <c r="E21" s="4">
        <v>202</v>
      </c>
      <c r="F21" s="4">
        <v>3509853.7</v>
      </c>
      <c r="G21" s="4" t="s">
        <v>69</v>
      </c>
      <c r="H21" s="4" t="s">
        <v>70</v>
      </c>
      <c r="I21" s="4"/>
      <c r="J21" s="4"/>
      <c r="K21" s="4">
        <v>202</v>
      </c>
      <c r="L21" s="4">
        <v>2</v>
      </c>
      <c r="M21" s="4">
        <v>3</v>
      </c>
      <c r="N21" s="4" t="s">
        <v>3</v>
      </c>
      <c r="O21" s="4">
        <v>2</v>
      </c>
      <c r="P21" s="4"/>
    </row>
    <row r="22" spans="1:19" x14ac:dyDescent="0.2">
      <c r="A22" s="4">
        <v>50</v>
      </c>
      <c r="B22" s="4">
        <v>0</v>
      </c>
      <c r="C22" s="4">
        <v>0</v>
      </c>
      <c r="D22" s="4">
        <v>1</v>
      </c>
      <c r="E22" s="4">
        <v>222</v>
      </c>
      <c r="F22" s="4">
        <v>0</v>
      </c>
      <c r="G22" s="4" t="s">
        <v>71</v>
      </c>
      <c r="H22" s="4" t="s">
        <v>72</v>
      </c>
      <c r="I22" s="4"/>
      <c r="J22" s="4"/>
      <c r="K22" s="4">
        <v>222</v>
      </c>
      <c r="L22" s="4">
        <v>3</v>
      </c>
      <c r="M22" s="4">
        <v>3</v>
      </c>
      <c r="N22" s="4" t="s">
        <v>3</v>
      </c>
      <c r="O22" s="4">
        <v>2</v>
      </c>
      <c r="P22" s="4"/>
    </row>
    <row r="23" spans="1:19" x14ac:dyDescent="0.2">
      <c r="A23" s="4">
        <v>50</v>
      </c>
      <c r="B23" s="4">
        <v>0</v>
      </c>
      <c r="C23" s="4">
        <v>0</v>
      </c>
      <c r="D23" s="4">
        <v>1</v>
      </c>
      <c r="E23" s="4">
        <v>225</v>
      </c>
      <c r="F23" s="4">
        <v>3509853.7</v>
      </c>
      <c r="G23" s="4" t="s">
        <v>73</v>
      </c>
      <c r="H23" s="4" t="s">
        <v>74</v>
      </c>
      <c r="I23" s="4"/>
      <c r="J23" s="4"/>
      <c r="K23" s="4">
        <v>225</v>
      </c>
      <c r="L23" s="4">
        <v>4</v>
      </c>
      <c r="M23" s="4">
        <v>3</v>
      </c>
      <c r="N23" s="4" t="s">
        <v>3</v>
      </c>
      <c r="O23" s="4">
        <v>2</v>
      </c>
      <c r="P23" s="4"/>
    </row>
    <row r="24" spans="1:19" x14ac:dyDescent="0.2">
      <c r="A24" s="4">
        <v>50</v>
      </c>
      <c r="B24" s="4">
        <v>0</v>
      </c>
      <c r="C24" s="4">
        <v>0</v>
      </c>
      <c r="D24" s="4">
        <v>1</v>
      </c>
      <c r="E24" s="4">
        <v>226</v>
      </c>
      <c r="F24" s="4">
        <v>22636.62</v>
      </c>
      <c r="G24" s="4" t="s">
        <v>75</v>
      </c>
      <c r="H24" s="4" t="s">
        <v>76</v>
      </c>
      <c r="I24" s="4"/>
      <c r="J24" s="4"/>
      <c r="K24" s="4">
        <v>226</v>
      </c>
      <c r="L24" s="4">
        <v>5</v>
      </c>
      <c r="M24" s="4">
        <v>3</v>
      </c>
      <c r="N24" s="4" t="s">
        <v>3</v>
      </c>
      <c r="O24" s="4">
        <v>2</v>
      </c>
      <c r="P24" s="4"/>
    </row>
    <row r="25" spans="1:19" x14ac:dyDescent="0.2">
      <c r="A25" s="4">
        <v>50</v>
      </c>
      <c r="B25" s="4">
        <v>0</v>
      </c>
      <c r="C25" s="4">
        <v>0</v>
      </c>
      <c r="D25" s="4">
        <v>1</v>
      </c>
      <c r="E25" s="4">
        <v>227</v>
      </c>
      <c r="F25" s="4">
        <v>0</v>
      </c>
      <c r="G25" s="4" t="s">
        <v>77</v>
      </c>
      <c r="H25" s="4" t="s">
        <v>78</v>
      </c>
      <c r="I25" s="4"/>
      <c r="J25" s="4"/>
      <c r="K25" s="4">
        <v>227</v>
      </c>
      <c r="L25" s="4">
        <v>6</v>
      </c>
      <c r="M25" s="4">
        <v>3</v>
      </c>
      <c r="N25" s="4" t="s">
        <v>3</v>
      </c>
      <c r="O25" s="4">
        <v>2</v>
      </c>
      <c r="P25" s="4"/>
    </row>
    <row r="26" spans="1:19" x14ac:dyDescent="0.2">
      <c r="A26" s="4">
        <v>50</v>
      </c>
      <c r="B26" s="4">
        <v>0</v>
      </c>
      <c r="C26" s="4">
        <v>0</v>
      </c>
      <c r="D26" s="4">
        <v>1</v>
      </c>
      <c r="E26" s="4">
        <v>228</v>
      </c>
      <c r="F26" s="4">
        <v>22636.62</v>
      </c>
      <c r="G26" s="4" t="s">
        <v>79</v>
      </c>
      <c r="H26" s="4" t="s">
        <v>80</v>
      </c>
      <c r="I26" s="4"/>
      <c r="J26" s="4"/>
      <c r="K26" s="4">
        <v>228</v>
      </c>
      <c r="L26" s="4">
        <v>7</v>
      </c>
      <c r="M26" s="4">
        <v>3</v>
      </c>
      <c r="N26" s="4" t="s">
        <v>3</v>
      </c>
      <c r="O26" s="4">
        <v>2</v>
      </c>
      <c r="P26" s="4"/>
    </row>
    <row r="27" spans="1:19" x14ac:dyDescent="0.2">
      <c r="A27" s="4">
        <v>50</v>
      </c>
      <c r="B27" s="4">
        <v>0</v>
      </c>
      <c r="C27" s="4">
        <v>0</v>
      </c>
      <c r="D27" s="4">
        <v>1</v>
      </c>
      <c r="E27" s="4">
        <v>216</v>
      </c>
      <c r="F27" s="4">
        <v>3487217.08</v>
      </c>
      <c r="G27" s="4" t="s">
        <v>81</v>
      </c>
      <c r="H27" s="4" t="s">
        <v>82</v>
      </c>
      <c r="I27" s="4"/>
      <c r="J27" s="4"/>
      <c r="K27" s="4">
        <v>216</v>
      </c>
      <c r="L27" s="4">
        <v>8</v>
      </c>
      <c r="M27" s="4">
        <v>3</v>
      </c>
      <c r="N27" s="4" t="s">
        <v>3</v>
      </c>
      <c r="O27" s="4">
        <v>2</v>
      </c>
      <c r="P27" s="4"/>
    </row>
    <row r="28" spans="1:19" x14ac:dyDescent="0.2">
      <c r="A28" s="4">
        <v>50</v>
      </c>
      <c r="B28" s="4">
        <v>0</v>
      </c>
      <c r="C28" s="4">
        <v>0</v>
      </c>
      <c r="D28" s="4">
        <v>1</v>
      </c>
      <c r="E28" s="4">
        <v>223</v>
      </c>
      <c r="F28" s="4">
        <v>0</v>
      </c>
      <c r="G28" s="4" t="s">
        <v>83</v>
      </c>
      <c r="H28" s="4" t="s">
        <v>84</v>
      </c>
      <c r="I28" s="4"/>
      <c r="J28" s="4"/>
      <c r="K28" s="4">
        <v>223</v>
      </c>
      <c r="L28" s="4">
        <v>9</v>
      </c>
      <c r="M28" s="4">
        <v>3</v>
      </c>
      <c r="N28" s="4" t="s">
        <v>3</v>
      </c>
      <c r="O28" s="4">
        <v>2</v>
      </c>
      <c r="P28" s="4"/>
    </row>
    <row r="29" spans="1:19" x14ac:dyDescent="0.2">
      <c r="A29" s="4">
        <v>50</v>
      </c>
      <c r="B29" s="4">
        <v>0</v>
      </c>
      <c r="C29" s="4">
        <v>0</v>
      </c>
      <c r="D29" s="4">
        <v>1</v>
      </c>
      <c r="E29" s="4">
        <v>229</v>
      </c>
      <c r="F29" s="4">
        <v>3487217.08</v>
      </c>
      <c r="G29" s="4" t="s">
        <v>85</v>
      </c>
      <c r="H29" s="4" t="s">
        <v>86</v>
      </c>
      <c r="I29" s="4"/>
      <c r="J29" s="4"/>
      <c r="K29" s="4">
        <v>229</v>
      </c>
      <c r="L29" s="4">
        <v>10</v>
      </c>
      <c r="M29" s="4">
        <v>3</v>
      </c>
      <c r="N29" s="4" t="s">
        <v>3</v>
      </c>
      <c r="O29" s="4">
        <v>2</v>
      </c>
      <c r="P29" s="4"/>
    </row>
    <row r="30" spans="1:19" x14ac:dyDescent="0.2">
      <c r="A30" s="4">
        <v>50</v>
      </c>
      <c r="B30" s="4">
        <v>0</v>
      </c>
      <c r="C30" s="4">
        <v>0</v>
      </c>
      <c r="D30" s="4">
        <v>1</v>
      </c>
      <c r="E30" s="4">
        <v>203</v>
      </c>
      <c r="F30" s="4">
        <v>1956.28</v>
      </c>
      <c r="G30" s="4" t="s">
        <v>87</v>
      </c>
      <c r="H30" s="4" t="s">
        <v>88</v>
      </c>
      <c r="I30" s="4"/>
      <c r="J30" s="4"/>
      <c r="K30" s="4">
        <v>203</v>
      </c>
      <c r="L30" s="4">
        <v>11</v>
      </c>
      <c r="M30" s="4">
        <v>3</v>
      </c>
      <c r="N30" s="4" t="s">
        <v>3</v>
      </c>
      <c r="O30" s="4">
        <v>2</v>
      </c>
      <c r="P30" s="4"/>
    </row>
    <row r="31" spans="1:19" x14ac:dyDescent="0.2">
      <c r="A31" s="4">
        <v>50</v>
      </c>
      <c r="B31" s="4">
        <v>0</v>
      </c>
      <c r="C31" s="4">
        <v>0</v>
      </c>
      <c r="D31" s="4">
        <v>1</v>
      </c>
      <c r="E31" s="4">
        <v>231</v>
      </c>
      <c r="F31" s="4">
        <v>0</v>
      </c>
      <c r="G31" s="4" t="s">
        <v>89</v>
      </c>
      <c r="H31" s="4" t="s">
        <v>90</v>
      </c>
      <c r="I31" s="4"/>
      <c r="J31" s="4"/>
      <c r="K31" s="4">
        <v>231</v>
      </c>
      <c r="L31" s="4">
        <v>12</v>
      </c>
      <c r="M31" s="4">
        <v>3</v>
      </c>
      <c r="N31" s="4" t="s">
        <v>3</v>
      </c>
      <c r="O31" s="4">
        <v>2</v>
      </c>
      <c r="P31" s="4"/>
    </row>
    <row r="32" spans="1:19" x14ac:dyDescent="0.2">
      <c r="A32" s="4">
        <v>50</v>
      </c>
      <c r="B32" s="4">
        <v>0</v>
      </c>
      <c r="C32" s="4">
        <v>0</v>
      </c>
      <c r="D32" s="4">
        <v>1</v>
      </c>
      <c r="E32" s="4">
        <v>204</v>
      </c>
      <c r="F32" s="4">
        <v>591.16999999999996</v>
      </c>
      <c r="G32" s="4" t="s">
        <v>91</v>
      </c>
      <c r="H32" s="4" t="s">
        <v>92</v>
      </c>
      <c r="I32" s="4"/>
      <c r="J32" s="4"/>
      <c r="K32" s="4">
        <v>204</v>
      </c>
      <c r="L32" s="4">
        <v>13</v>
      </c>
      <c r="M32" s="4">
        <v>3</v>
      </c>
      <c r="N32" s="4" t="s">
        <v>3</v>
      </c>
      <c r="O32" s="4">
        <v>2</v>
      </c>
      <c r="P32" s="4"/>
    </row>
    <row r="33" spans="1:16" x14ac:dyDescent="0.2">
      <c r="A33" s="4">
        <v>50</v>
      </c>
      <c r="B33" s="4">
        <v>0</v>
      </c>
      <c r="C33" s="4">
        <v>0</v>
      </c>
      <c r="D33" s="4">
        <v>1</v>
      </c>
      <c r="E33" s="4">
        <v>205</v>
      </c>
      <c r="F33" s="4">
        <v>15196.2</v>
      </c>
      <c r="G33" s="4" t="s">
        <v>93</v>
      </c>
      <c r="H33" s="4" t="s">
        <v>94</v>
      </c>
      <c r="I33" s="4"/>
      <c r="J33" s="4"/>
      <c r="K33" s="4">
        <v>205</v>
      </c>
      <c r="L33" s="4">
        <v>14</v>
      </c>
      <c r="M33" s="4">
        <v>3</v>
      </c>
      <c r="N33" s="4" t="s">
        <v>3</v>
      </c>
      <c r="O33" s="4">
        <v>2</v>
      </c>
      <c r="P33" s="4"/>
    </row>
    <row r="34" spans="1:16" x14ac:dyDescent="0.2">
      <c r="A34" s="4">
        <v>50</v>
      </c>
      <c r="B34" s="4">
        <v>0</v>
      </c>
      <c r="C34" s="4">
        <v>0</v>
      </c>
      <c r="D34" s="4">
        <v>1</v>
      </c>
      <c r="E34" s="4">
        <v>232</v>
      </c>
      <c r="F34" s="4">
        <v>0</v>
      </c>
      <c r="G34" s="4" t="s">
        <v>95</v>
      </c>
      <c r="H34" s="4" t="s">
        <v>96</v>
      </c>
      <c r="I34" s="4"/>
      <c r="J34" s="4"/>
      <c r="K34" s="4">
        <v>232</v>
      </c>
      <c r="L34" s="4">
        <v>15</v>
      </c>
      <c r="M34" s="4">
        <v>3</v>
      </c>
      <c r="N34" s="4" t="s">
        <v>3</v>
      </c>
      <c r="O34" s="4">
        <v>2</v>
      </c>
      <c r="P34" s="4"/>
    </row>
    <row r="35" spans="1:16" x14ac:dyDescent="0.2">
      <c r="A35" s="4">
        <v>50</v>
      </c>
      <c r="B35" s="4">
        <v>0</v>
      </c>
      <c r="C35" s="4">
        <v>0</v>
      </c>
      <c r="D35" s="4">
        <v>1</v>
      </c>
      <c r="E35" s="4">
        <v>214</v>
      </c>
      <c r="F35" s="4">
        <v>31780.880000000001</v>
      </c>
      <c r="G35" s="4" t="s">
        <v>97</v>
      </c>
      <c r="H35" s="4" t="s">
        <v>98</v>
      </c>
      <c r="I35" s="4"/>
      <c r="J35" s="4"/>
      <c r="K35" s="4">
        <v>214</v>
      </c>
      <c r="L35" s="4">
        <v>16</v>
      </c>
      <c r="M35" s="4">
        <v>3</v>
      </c>
      <c r="N35" s="4" t="s">
        <v>3</v>
      </c>
      <c r="O35" s="4">
        <v>2</v>
      </c>
      <c r="P35" s="4"/>
    </row>
    <row r="36" spans="1:16" x14ac:dyDescent="0.2">
      <c r="A36" s="4">
        <v>50</v>
      </c>
      <c r="B36" s="4">
        <v>0</v>
      </c>
      <c r="C36" s="4">
        <v>0</v>
      </c>
      <c r="D36" s="4">
        <v>1</v>
      </c>
      <c r="E36" s="4">
        <v>215</v>
      </c>
      <c r="F36" s="4">
        <v>31370.91</v>
      </c>
      <c r="G36" s="4" t="s">
        <v>99</v>
      </c>
      <c r="H36" s="4" t="s">
        <v>100</v>
      </c>
      <c r="I36" s="4"/>
      <c r="J36" s="4"/>
      <c r="K36" s="4">
        <v>215</v>
      </c>
      <c r="L36" s="4">
        <v>17</v>
      </c>
      <c r="M36" s="4">
        <v>3</v>
      </c>
      <c r="N36" s="4" t="s">
        <v>3</v>
      </c>
      <c r="O36" s="4">
        <v>2</v>
      </c>
      <c r="P36" s="4"/>
    </row>
    <row r="37" spans="1:16" x14ac:dyDescent="0.2">
      <c r="A37" s="4">
        <v>50</v>
      </c>
      <c r="B37" s="4">
        <v>0</v>
      </c>
      <c r="C37" s="4">
        <v>0</v>
      </c>
      <c r="D37" s="4">
        <v>1</v>
      </c>
      <c r="E37" s="4">
        <v>217</v>
      </c>
      <c r="F37" s="4">
        <v>0</v>
      </c>
      <c r="G37" s="4" t="s">
        <v>101</v>
      </c>
      <c r="H37" s="4" t="s">
        <v>102</v>
      </c>
      <c r="I37" s="4"/>
      <c r="J37" s="4"/>
      <c r="K37" s="4">
        <v>217</v>
      </c>
      <c r="L37" s="4">
        <v>18</v>
      </c>
      <c r="M37" s="4">
        <v>3</v>
      </c>
      <c r="N37" s="4" t="s">
        <v>3</v>
      </c>
      <c r="O37" s="4">
        <v>2</v>
      </c>
      <c r="P37" s="4"/>
    </row>
    <row r="38" spans="1:16" x14ac:dyDescent="0.2">
      <c r="A38" s="4">
        <v>50</v>
      </c>
      <c r="B38" s="4">
        <v>0</v>
      </c>
      <c r="C38" s="4">
        <v>0</v>
      </c>
      <c r="D38" s="4">
        <v>1</v>
      </c>
      <c r="E38" s="4">
        <v>230</v>
      </c>
      <c r="F38" s="4">
        <v>0</v>
      </c>
      <c r="G38" s="4" t="s">
        <v>103</v>
      </c>
      <c r="H38" s="4" t="s">
        <v>104</v>
      </c>
      <c r="I38" s="4"/>
      <c r="J38" s="4"/>
      <c r="K38" s="4">
        <v>230</v>
      </c>
      <c r="L38" s="4">
        <v>19</v>
      </c>
      <c r="M38" s="4">
        <v>3</v>
      </c>
      <c r="N38" s="4" t="s">
        <v>3</v>
      </c>
      <c r="O38" s="4">
        <v>2</v>
      </c>
      <c r="P38" s="4"/>
    </row>
    <row r="39" spans="1:16" x14ac:dyDescent="0.2">
      <c r="A39" s="4">
        <v>50</v>
      </c>
      <c r="B39" s="4">
        <v>0</v>
      </c>
      <c r="C39" s="4">
        <v>0</v>
      </c>
      <c r="D39" s="4">
        <v>1</v>
      </c>
      <c r="E39" s="4">
        <v>206</v>
      </c>
      <c r="F39" s="4">
        <v>0</v>
      </c>
      <c r="G39" s="4" t="s">
        <v>105</v>
      </c>
      <c r="H39" s="4" t="s">
        <v>106</v>
      </c>
      <c r="I39" s="4"/>
      <c r="J39" s="4"/>
      <c r="K39" s="4">
        <v>206</v>
      </c>
      <c r="L39" s="4">
        <v>20</v>
      </c>
      <c r="M39" s="4">
        <v>3</v>
      </c>
      <c r="N39" s="4" t="s">
        <v>3</v>
      </c>
      <c r="O39" s="4">
        <v>2</v>
      </c>
      <c r="P39" s="4"/>
    </row>
    <row r="40" spans="1:16" x14ac:dyDescent="0.2">
      <c r="A40" s="4">
        <v>50</v>
      </c>
      <c r="B40" s="4">
        <v>0</v>
      </c>
      <c r="C40" s="4">
        <v>0</v>
      </c>
      <c r="D40" s="4">
        <v>1</v>
      </c>
      <c r="E40" s="4">
        <v>207</v>
      </c>
      <c r="F40" s="4">
        <v>57.188379999999995</v>
      </c>
      <c r="G40" s="4" t="s">
        <v>107</v>
      </c>
      <c r="H40" s="4" t="s">
        <v>108</v>
      </c>
      <c r="I40" s="4"/>
      <c r="J40" s="4"/>
      <c r="K40" s="4">
        <v>207</v>
      </c>
      <c r="L40" s="4">
        <v>21</v>
      </c>
      <c r="M40" s="4">
        <v>3</v>
      </c>
      <c r="N40" s="4" t="s">
        <v>3</v>
      </c>
      <c r="O40" s="4">
        <v>-1</v>
      </c>
      <c r="P40" s="4"/>
    </row>
    <row r="41" spans="1:16" x14ac:dyDescent="0.2">
      <c r="A41" s="4">
        <v>50</v>
      </c>
      <c r="B41" s="4">
        <v>0</v>
      </c>
      <c r="C41" s="4">
        <v>0</v>
      </c>
      <c r="D41" s="4">
        <v>1</v>
      </c>
      <c r="E41" s="4">
        <v>208</v>
      </c>
      <c r="F41" s="4">
        <v>1.483525</v>
      </c>
      <c r="G41" s="4" t="s">
        <v>109</v>
      </c>
      <c r="H41" s="4" t="s">
        <v>110</v>
      </c>
      <c r="I41" s="4"/>
      <c r="J41" s="4"/>
      <c r="K41" s="4">
        <v>208</v>
      </c>
      <c r="L41" s="4">
        <v>22</v>
      </c>
      <c r="M41" s="4">
        <v>3</v>
      </c>
      <c r="N41" s="4" t="s">
        <v>3</v>
      </c>
      <c r="O41" s="4">
        <v>-1</v>
      </c>
      <c r="P41" s="4"/>
    </row>
    <row r="42" spans="1:16" x14ac:dyDescent="0.2">
      <c r="A42" s="4">
        <v>50</v>
      </c>
      <c r="B42" s="4">
        <v>0</v>
      </c>
      <c r="C42" s="4">
        <v>0</v>
      </c>
      <c r="D42" s="4">
        <v>1</v>
      </c>
      <c r="E42" s="4">
        <v>209</v>
      </c>
      <c r="F42" s="4">
        <v>0.75</v>
      </c>
      <c r="G42" s="4" t="s">
        <v>111</v>
      </c>
      <c r="H42" s="4" t="s">
        <v>112</v>
      </c>
      <c r="I42" s="4"/>
      <c r="J42" s="4"/>
      <c r="K42" s="4">
        <v>209</v>
      </c>
      <c r="L42" s="4">
        <v>23</v>
      </c>
      <c r="M42" s="4">
        <v>3</v>
      </c>
      <c r="N42" s="4" t="s">
        <v>3</v>
      </c>
      <c r="O42" s="4">
        <v>2</v>
      </c>
      <c r="P42" s="4"/>
    </row>
    <row r="43" spans="1:16" x14ac:dyDescent="0.2">
      <c r="A43" s="4">
        <v>50</v>
      </c>
      <c r="B43" s="4">
        <v>0</v>
      </c>
      <c r="C43" s="4">
        <v>0</v>
      </c>
      <c r="D43" s="4">
        <v>1</v>
      </c>
      <c r="E43" s="4">
        <v>233</v>
      </c>
      <c r="F43" s="4">
        <v>0</v>
      </c>
      <c r="G43" s="4" t="s">
        <v>113</v>
      </c>
      <c r="H43" s="4" t="s">
        <v>114</v>
      </c>
      <c r="I43" s="4"/>
      <c r="J43" s="4"/>
      <c r="K43" s="4">
        <v>233</v>
      </c>
      <c r="L43" s="4">
        <v>24</v>
      </c>
      <c r="M43" s="4">
        <v>3</v>
      </c>
      <c r="N43" s="4" t="s">
        <v>3</v>
      </c>
      <c r="O43" s="4">
        <v>2</v>
      </c>
      <c r="P43" s="4"/>
    </row>
    <row r="44" spans="1:16" x14ac:dyDescent="0.2">
      <c r="A44" s="4">
        <v>50</v>
      </c>
      <c r="B44" s="4">
        <v>0</v>
      </c>
      <c r="C44" s="4">
        <v>0</v>
      </c>
      <c r="D44" s="4">
        <v>1</v>
      </c>
      <c r="E44" s="4">
        <v>210</v>
      </c>
      <c r="F44" s="4">
        <v>13680.21</v>
      </c>
      <c r="G44" s="4" t="s">
        <v>115</v>
      </c>
      <c r="H44" s="4" t="s">
        <v>116</v>
      </c>
      <c r="I44" s="4"/>
      <c r="J44" s="4"/>
      <c r="K44" s="4">
        <v>210</v>
      </c>
      <c r="L44" s="4">
        <v>25</v>
      </c>
      <c r="M44" s="4">
        <v>3</v>
      </c>
      <c r="N44" s="4" t="s">
        <v>3</v>
      </c>
      <c r="O44" s="4">
        <v>2</v>
      </c>
      <c r="P44" s="4"/>
    </row>
    <row r="45" spans="1:16" x14ac:dyDescent="0.2">
      <c r="A45" s="4">
        <v>50</v>
      </c>
      <c r="B45" s="4">
        <v>0</v>
      </c>
      <c r="C45" s="4">
        <v>0</v>
      </c>
      <c r="D45" s="4">
        <v>1</v>
      </c>
      <c r="E45" s="4">
        <v>211</v>
      </c>
      <c r="F45" s="4">
        <v>9682.48</v>
      </c>
      <c r="G45" s="4" t="s">
        <v>117</v>
      </c>
      <c r="H45" s="4" t="s">
        <v>118</v>
      </c>
      <c r="I45" s="4"/>
      <c r="J45" s="4"/>
      <c r="K45" s="4">
        <v>211</v>
      </c>
      <c r="L45" s="4">
        <v>26</v>
      </c>
      <c r="M45" s="4">
        <v>3</v>
      </c>
      <c r="N45" s="4" t="s">
        <v>3</v>
      </c>
      <c r="O45" s="4">
        <v>2</v>
      </c>
      <c r="P45" s="4"/>
    </row>
    <row r="46" spans="1:16" x14ac:dyDescent="0.2">
      <c r="A46" s="4">
        <v>50</v>
      </c>
      <c r="B46" s="4">
        <v>0</v>
      </c>
      <c r="C46" s="4">
        <v>0</v>
      </c>
      <c r="D46" s="4">
        <v>1</v>
      </c>
      <c r="E46" s="4">
        <v>0</v>
      </c>
      <c r="F46" s="4">
        <v>3550368.87</v>
      </c>
      <c r="G46" s="4" t="s">
        <v>119</v>
      </c>
      <c r="H46" s="4" t="s">
        <v>120</v>
      </c>
      <c r="I46" s="4"/>
      <c r="J46" s="4"/>
      <c r="K46" s="4">
        <v>224</v>
      </c>
      <c r="L46" s="4">
        <v>27</v>
      </c>
      <c r="M46" s="4">
        <v>3</v>
      </c>
      <c r="N46" s="4" t="s">
        <v>3</v>
      </c>
      <c r="O46" s="4">
        <v>2</v>
      </c>
      <c r="P46" s="4"/>
    </row>
    <row r="47" spans="1:16" x14ac:dyDescent="0.2">
      <c r="A47" s="4">
        <v>50</v>
      </c>
      <c r="B47" s="4">
        <v>1</v>
      </c>
      <c r="C47" s="4">
        <v>0</v>
      </c>
      <c r="D47" s="4">
        <v>2</v>
      </c>
      <c r="E47" s="4">
        <v>224</v>
      </c>
      <c r="F47" s="4">
        <v>3550368.87</v>
      </c>
      <c r="G47" s="4" t="s">
        <v>121</v>
      </c>
      <c r="H47" s="4" t="s">
        <v>122</v>
      </c>
      <c r="I47" s="4"/>
      <c r="J47" s="4"/>
      <c r="K47" s="4">
        <v>212</v>
      </c>
      <c r="L47" s="4">
        <v>28</v>
      </c>
      <c r="M47" s="4">
        <v>0</v>
      </c>
      <c r="N47" s="4" t="s">
        <v>3</v>
      </c>
      <c r="O47" s="4">
        <v>2</v>
      </c>
      <c r="P47" s="4"/>
    </row>
    <row r="48" spans="1:16" x14ac:dyDescent="0.2">
      <c r="A48" s="4">
        <v>50</v>
      </c>
      <c r="B48" s="4">
        <v>1</v>
      </c>
      <c r="C48" s="4">
        <v>0</v>
      </c>
      <c r="D48" s="4">
        <v>2</v>
      </c>
      <c r="E48" s="4">
        <v>0</v>
      </c>
      <c r="F48" s="4">
        <v>710073.77</v>
      </c>
      <c r="G48" s="4" t="s">
        <v>123</v>
      </c>
      <c r="H48" s="4" t="s">
        <v>124</v>
      </c>
      <c r="I48" s="4"/>
      <c r="J48" s="4"/>
      <c r="K48" s="4">
        <v>212</v>
      </c>
      <c r="L48" s="4">
        <v>29</v>
      </c>
      <c r="M48" s="4">
        <v>0</v>
      </c>
      <c r="N48" s="4" t="s">
        <v>3</v>
      </c>
      <c r="O48" s="4">
        <v>2</v>
      </c>
      <c r="P48" s="4"/>
    </row>
    <row r="49" spans="1:27" x14ac:dyDescent="0.2">
      <c r="A49" s="4">
        <v>50</v>
      </c>
      <c r="B49" s="4">
        <v>1</v>
      </c>
      <c r="C49" s="4">
        <v>0</v>
      </c>
      <c r="D49" s="4">
        <v>2</v>
      </c>
      <c r="E49" s="4">
        <v>213</v>
      </c>
      <c r="F49" s="4">
        <v>4260442.6399999997</v>
      </c>
      <c r="G49" s="4" t="s">
        <v>125</v>
      </c>
      <c r="H49" s="4" t="s">
        <v>126</v>
      </c>
      <c r="I49" s="4"/>
      <c r="J49" s="4"/>
      <c r="K49" s="4">
        <v>212</v>
      </c>
      <c r="L49" s="4">
        <v>30</v>
      </c>
      <c r="M49" s="4">
        <v>0</v>
      </c>
      <c r="N49" s="4" t="s">
        <v>3</v>
      </c>
      <c r="O49" s="4">
        <v>2</v>
      </c>
      <c r="P49" s="4"/>
    </row>
    <row r="51" spans="1:27" x14ac:dyDescent="0.2">
      <c r="A51">
        <v>-1</v>
      </c>
    </row>
    <row r="54" spans="1:27" x14ac:dyDescent="0.2">
      <c r="A54" s="3">
        <v>75</v>
      </c>
      <c r="B54" s="3" t="s">
        <v>188</v>
      </c>
      <c r="C54" s="3">
        <v>2019</v>
      </c>
      <c r="D54" s="3">
        <v>0</v>
      </c>
      <c r="E54" s="3">
        <v>11</v>
      </c>
      <c r="F54" s="3"/>
      <c r="G54" s="3">
        <v>0</v>
      </c>
      <c r="H54" s="3">
        <v>1</v>
      </c>
      <c r="I54" s="3">
        <v>0</v>
      </c>
      <c r="J54" s="3">
        <v>1</v>
      </c>
      <c r="K54" s="3">
        <v>0</v>
      </c>
      <c r="L54" s="3">
        <v>0</v>
      </c>
      <c r="M54" s="3">
        <v>0</v>
      </c>
      <c r="N54" s="3">
        <v>59844155</v>
      </c>
      <c r="O54" s="3">
        <v>1</v>
      </c>
    </row>
    <row r="55" spans="1:27" x14ac:dyDescent="0.2">
      <c r="A55" s="5">
        <v>1</v>
      </c>
      <c r="B55" s="5" t="s">
        <v>189</v>
      </c>
      <c r="C55" s="5" t="s">
        <v>190</v>
      </c>
      <c r="D55" s="5">
        <v>2019</v>
      </c>
      <c r="E55" s="5">
        <v>11</v>
      </c>
      <c r="F55" s="5">
        <v>1</v>
      </c>
      <c r="G55" s="5">
        <v>1</v>
      </c>
      <c r="H55" s="5">
        <v>0</v>
      </c>
      <c r="I55" s="5">
        <v>2</v>
      </c>
      <c r="J55" s="5">
        <v>1</v>
      </c>
      <c r="K55" s="5">
        <v>1</v>
      </c>
      <c r="L55" s="5">
        <v>1</v>
      </c>
      <c r="M55" s="5">
        <v>1</v>
      </c>
      <c r="N55" s="5">
        <v>1</v>
      </c>
      <c r="O55" s="5">
        <v>1</v>
      </c>
      <c r="P55" s="5">
        <v>1</v>
      </c>
      <c r="Q55" s="5">
        <v>1</v>
      </c>
      <c r="R55" s="5" t="s">
        <v>3</v>
      </c>
      <c r="S55" s="5" t="s">
        <v>3</v>
      </c>
      <c r="T55" s="5" t="s">
        <v>3</v>
      </c>
      <c r="U55" s="5" t="s">
        <v>3</v>
      </c>
      <c r="V55" s="5" t="s">
        <v>3</v>
      </c>
      <c r="W55" s="5" t="s">
        <v>3</v>
      </c>
      <c r="X55" s="5" t="s">
        <v>3</v>
      </c>
      <c r="Y55" s="5" t="s">
        <v>3</v>
      </c>
      <c r="Z55" s="5" t="s">
        <v>3</v>
      </c>
      <c r="AA55" s="5" t="s">
        <v>3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C37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07" x14ac:dyDescent="0.2">
      <c r="A1">
        <f>ROW(Source!A32)</f>
        <v>32</v>
      </c>
      <c r="B1">
        <v>59844155</v>
      </c>
      <c r="C1">
        <v>59844431</v>
      </c>
      <c r="D1">
        <v>29509036</v>
      </c>
      <c r="E1">
        <v>1</v>
      </c>
      <c r="F1">
        <v>1</v>
      </c>
      <c r="G1">
        <v>1</v>
      </c>
      <c r="H1">
        <v>1</v>
      </c>
      <c r="I1" t="s">
        <v>192</v>
      </c>
      <c r="J1" t="s">
        <v>3</v>
      </c>
      <c r="K1" t="s">
        <v>193</v>
      </c>
      <c r="L1">
        <v>1369</v>
      </c>
      <c r="N1">
        <v>1013</v>
      </c>
      <c r="O1" t="s">
        <v>194</v>
      </c>
      <c r="P1" t="s">
        <v>194</v>
      </c>
      <c r="Q1">
        <v>1</v>
      </c>
      <c r="W1">
        <v>0</v>
      </c>
      <c r="X1">
        <v>-1896518065</v>
      </c>
      <c r="Y1">
        <v>521.64</v>
      </c>
      <c r="AA1">
        <v>0</v>
      </c>
      <c r="AB1">
        <v>0</v>
      </c>
      <c r="AC1">
        <v>0</v>
      </c>
      <c r="AD1">
        <v>8.4600000000000009</v>
      </c>
      <c r="AE1">
        <v>0</v>
      </c>
      <c r="AF1">
        <v>0</v>
      </c>
      <c r="AG1">
        <v>0</v>
      </c>
      <c r="AH1">
        <v>8.4600000000000009</v>
      </c>
      <c r="AI1">
        <v>1</v>
      </c>
      <c r="AJ1">
        <v>1</v>
      </c>
      <c r="AK1">
        <v>1</v>
      </c>
      <c r="AL1">
        <v>1</v>
      </c>
      <c r="AN1">
        <v>0</v>
      </c>
      <c r="AO1">
        <v>1</v>
      </c>
      <c r="AP1">
        <v>1</v>
      </c>
      <c r="AQ1">
        <v>0</v>
      </c>
      <c r="AR1">
        <v>0</v>
      </c>
      <c r="AS1" t="s">
        <v>3</v>
      </c>
      <c r="AT1">
        <v>453.6</v>
      </c>
      <c r="AU1" t="s">
        <v>24</v>
      </c>
      <c r="AV1">
        <v>1</v>
      </c>
      <c r="AW1">
        <v>2</v>
      </c>
      <c r="AX1">
        <v>59844432</v>
      </c>
      <c r="AY1">
        <v>1</v>
      </c>
      <c r="AZ1">
        <v>0</v>
      </c>
      <c r="BA1">
        <v>1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CX1">
        <f>Y1*Source!I32</f>
        <v>15.388379999999998</v>
      </c>
      <c r="CY1">
        <f>AD1</f>
        <v>8.4600000000000009</v>
      </c>
      <c r="CZ1">
        <f>AH1</f>
        <v>8.4600000000000009</v>
      </c>
      <c r="DA1">
        <f>AL1</f>
        <v>1</v>
      </c>
      <c r="DB1">
        <f>ROUND((ROUND(AT1*CZ1,2)*1.15),6)</f>
        <v>4413.0789999999997</v>
      </c>
      <c r="DC1">
        <f>ROUND((ROUND(AT1*AG1,2)*1.15),6)</f>
        <v>0</v>
      </c>
    </row>
    <row r="2" spans="1:107" x14ac:dyDescent="0.2">
      <c r="A2">
        <f>ROW(Source!A32)</f>
        <v>32</v>
      </c>
      <c r="B2">
        <v>59844155</v>
      </c>
      <c r="C2">
        <v>59844431</v>
      </c>
      <c r="D2">
        <v>121548</v>
      </c>
      <c r="E2">
        <v>1</v>
      </c>
      <c r="F2">
        <v>1</v>
      </c>
      <c r="G2">
        <v>1</v>
      </c>
      <c r="H2">
        <v>1</v>
      </c>
      <c r="I2" t="s">
        <v>49</v>
      </c>
      <c r="J2" t="s">
        <v>3</v>
      </c>
      <c r="K2" t="s">
        <v>195</v>
      </c>
      <c r="L2">
        <v>608254</v>
      </c>
      <c r="N2">
        <v>1013</v>
      </c>
      <c r="O2" t="s">
        <v>196</v>
      </c>
      <c r="P2" t="s">
        <v>196</v>
      </c>
      <c r="Q2">
        <v>1</v>
      </c>
      <c r="W2">
        <v>0</v>
      </c>
      <c r="X2">
        <v>-185737400</v>
      </c>
      <c r="Y2">
        <v>29.950000000000003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1</v>
      </c>
      <c r="AJ2">
        <v>1</v>
      </c>
      <c r="AK2">
        <v>1</v>
      </c>
      <c r="AL2">
        <v>1</v>
      </c>
      <c r="AN2">
        <v>0</v>
      </c>
      <c r="AO2">
        <v>1</v>
      </c>
      <c r="AP2">
        <v>1</v>
      </c>
      <c r="AQ2">
        <v>0</v>
      </c>
      <c r="AR2">
        <v>0</v>
      </c>
      <c r="AS2" t="s">
        <v>3</v>
      </c>
      <c r="AT2">
        <v>23.96</v>
      </c>
      <c r="AU2" t="s">
        <v>23</v>
      </c>
      <c r="AV2">
        <v>2</v>
      </c>
      <c r="AW2">
        <v>2</v>
      </c>
      <c r="AX2">
        <v>59844433</v>
      </c>
      <c r="AY2">
        <v>1</v>
      </c>
      <c r="AZ2">
        <v>0</v>
      </c>
      <c r="BA2">
        <v>2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CX2">
        <f>Y2*Source!I32</f>
        <v>0.883525</v>
      </c>
      <c r="CY2">
        <f>AD2</f>
        <v>0</v>
      </c>
      <c r="CZ2">
        <f>AH2</f>
        <v>0</v>
      </c>
      <c r="DA2">
        <f>AL2</f>
        <v>1</v>
      </c>
      <c r="DB2">
        <f t="shared" ref="DB2:DB9" si="0">ROUND((ROUND(AT2*CZ2,2)*1.25),6)</f>
        <v>0</v>
      </c>
      <c r="DC2">
        <f t="shared" ref="DC2:DC9" si="1">ROUND((ROUND(AT2*AG2,2)*1.25),6)</f>
        <v>0</v>
      </c>
    </row>
    <row r="3" spans="1:107" x14ac:dyDescent="0.2">
      <c r="A3">
        <f>ROW(Source!A32)</f>
        <v>32</v>
      </c>
      <c r="B3">
        <v>59844155</v>
      </c>
      <c r="C3">
        <v>59844431</v>
      </c>
      <c r="D3">
        <v>42458401</v>
      </c>
      <c r="E3">
        <v>1</v>
      </c>
      <c r="F3">
        <v>1</v>
      </c>
      <c r="G3">
        <v>1</v>
      </c>
      <c r="H3">
        <v>2</v>
      </c>
      <c r="I3" t="s">
        <v>197</v>
      </c>
      <c r="J3" t="s">
        <v>198</v>
      </c>
      <c r="K3" t="s">
        <v>199</v>
      </c>
      <c r="L3">
        <v>1368</v>
      </c>
      <c r="N3">
        <v>1011</v>
      </c>
      <c r="O3" t="s">
        <v>200</v>
      </c>
      <c r="P3" t="s">
        <v>200</v>
      </c>
      <c r="Q3">
        <v>1</v>
      </c>
      <c r="W3">
        <v>0</v>
      </c>
      <c r="X3">
        <v>1106923569</v>
      </c>
      <c r="Y3">
        <v>0.91249999999999998</v>
      </c>
      <c r="AA3">
        <v>0</v>
      </c>
      <c r="AB3">
        <v>1014.72</v>
      </c>
      <c r="AC3">
        <v>399.2</v>
      </c>
      <c r="AD3">
        <v>0</v>
      </c>
      <c r="AE3">
        <v>0</v>
      </c>
      <c r="AF3">
        <v>112</v>
      </c>
      <c r="AG3">
        <v>13.5</v>
      </c>
      <c r="AH3">
        <v>0</v>
      </c>
      <c r="AI3">
        <v>1</v>
      </c>
      <c r="AJ3">
        <v>9.06</v>
      </c>
      <c r="AK3">
        <v>29.57</v>
      </c>
      <c r="AL3">
        <v>1</v>
      </c>
      <c r="AN3">
        <v>0</v>
      </c>
      <c r="AO3">
        <v>1</v>
      </c>
      <c r="AP3">
        <v>1</v>
      </c>
      <c r="AQ3">
        <v>0</v>
      </c>
      <c r="AR3">
        <v>0</v>
      </c>
      <c r="AS3" t="s">
        <v>3</v>
      </c>
      <c r="AT3">
        <v>0.73</v>
      </c>
      <c r="AU3" t="s">
        <v>23</v>
      </c>
      <c r="AV3">
        <v>0</v>
      </c>
      <c r="AW3">
        <v>2</v>
      </c>
      <c r="AX3">
        <v>59844434</v>
      </c>
      <c r="AY3">
        <v>1</v>
      </c>
      <c r="AZ3">
        <v>0</v>
      </c>
      <c r="BA3">
        <v>3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CX3">
        <f>Y3*Source!I32</f>
        <v>2.6918749999999998E-2</v>
      </c>
      <c r="CY3">
        <f t="shared" ref="CY3:CY9" si="2">AB3</f>
        <v>1014.72</v>
      </c>
      <c r="CZ3">
        <f t="shared" ref="CZ3:CZ9" si="3">AF3</f>
        <v>112</v>
      </c>
      <c r="DA3">
        <f t="shared" ref="DA3:DA9" si="4">AJ3</f>
        <v>9.06</v>
      </c>
      <c r="DB3">
        <f t="shared" si="0"/>
        <v>102.2</v>
      </c>
      <c r="DC3">
        <f t="shared" si="1"/>
        <v>12.324999999999999</v>
      </c>
    </row>
    <row r="4" spans="1:107" x14ac:dyDescent="0.2">
      <c r="A4">
        <f>ROW(Source!A32)</f>
        <v>32</v>
      </c>
      <c r="B4">
        <v>59844155</v>
      </c>
      <c r="C4">
        <v>59844431</v>
      </c>
      <c r="D4">
        <v>42458429</v>
      </c>
      <c r="E4">
        <v>1</v>
      </c>
      <c r="F4">
        <v>1</v>
      </c>
      <c r="G4">
        <v>1</v>
      </c>
      <c r="H4">
        <v>2</v>
      </c>
      <c r="I4" t="s">
        <v>201</v>
      </c>
      <c r="J4" t="s">
        <v>202</v>
      </c>
      <c r="K4" t="s">
        <v>203</v>
      </c>
      <c r="L4">
        <v>1368</v>
      </c>
      <c r="N4">
        <v>1011</v>
      </c>
      <c r="O4" t="s">
        <v>200</v>
      </c>
      <c r="P4" t="s">
        <v>200</v>
      </c>
      <c r="Q4">
        <v>1</v>
      </c>
      <c r="W4">
        <v>0</v>
      </c>
      <c r="X4">
        <v>-27831156</v>
      </c>
      <c r="Y4">
        <v>28.700000000000003</v>
      </c>
      <c r="AA4">
        <v>0</v>
      </c>
      <c r="AB4">
        <v>886.64</v>
      </c>
      <c r="AC4">
        <v>399.2</v>
      </c>
      <c r="AD4">
        <v>0</v>
      </c>
      <c r="AE4">
        <v>0</v>
      </c>
      <c r="AF4">
        <v>96.9</v>
      </c>
      <c r="AG4">
        <v>13.5</v>
      </c>
      <c r="AH4">
        <v>0</v>
      </c>
      <c r="AI4">
        <v>1</v>
      </c>
      <c r="AJ4">
        <v>9.15</v>
      </c>
      <c r="AK4">
        <v>29.57</v>
      </c>
      <c r="AL4">
        <v>1</v>
      </c>
      <c r="AN4">
        <v>0</v>
      </c>
      <c r="AO4">
        <v>1</v>
      </c>
      <c r="AP4">
        <v>1</v>
      </c>
      <c r="AQ4">
        <v>0</v>
      </c>
      <c r="AR4">
        <v>0</v>
      </c>
      <c r="AS4" t="s">
        <v>3</v>
      </c>
      <c r="AT4">
        <v>22.96</v>
      </c>
      <c r="AU4" t="s">
        <v>23</v>
      </c>
      <c r="AV4">
        <v>0</v>
      </c>
      <c r="AW4">
        <v>2</v>
      </c>
      <c r="AX4">
        <v>59844435</v>
      </c>
      <c r="AY4">
        <v>1</v>
      </c>
      <c r="AZ4">
        <v>0</v>
      </c>
      <c r="BA4">
        <v>4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CX4">
        <f>Y4*Source!I32</f>
        <v>0.84665000000000001</v>
      </c>
      <c r="CY4">
        <f t="shared" si="2"/>
        <v>886.64</v>
      </c>
      <c r="CZ4">
        <f t="shared" si="3"/>
        <v>96.9</v>
      </c>
      <c r="DA4">
        <f t="shared" si="4"/>
        <v>9.15</v>
      </c>
      <c r="DB4">
        <f t="shared" si="0"/>
        <v>2781.0250000000001</v>
      </c>
      <c r="DC4">
        <f t="shared" si="1"/>
        <v>387.45</v>
      </c>
    </row>
    <row r="5" spans="1:107" x14ac:dyDescent="0.2">
      <c r="A5">
        <f>ROW(Source!A32)</f>
        <v>32</v>
      </c>
      <c r="B5">
        <v>59844155</v>
      </c>
      <c r="C5">
        <v>59844431</v>
      </c>
      <c r="D5">
        <v>42458501</v>
      </c>
      <c r="E5">
        <v>1</v>
      </c>
      <c r="F5">
        <v>1</v>
      </c>
      <c r="G5">
        <v>1</v>
      </c>
      <c r="H5">
        <v>2</v>
      </c>
      <c r="I5" t="s">
        <v>204</v>
      </c>
      <c r="J5" t="s">
        <v>205</v>
      </c>
      <c r="K5" t="s">
        <v>206</v>
      </c>
      <c r="L5">
        <v>1368</v>
      </c>
      <c r="N5">
        <v>1011</v>
      </c>
      <c r="O5" t="s">
        <v>200</v>
      </c>
      <c r="P5" t="s">
        <v>200</v>
      </c>
      <c r="Q5">
        <v>1</v>
      </c>
      <c r="W5">
        <v>0</v>
      </c>
      <c r="X5">
        <v>1549832887</v>
      </c>
      <c r="Y5">
        <v>0.33750000000000002</v>
      </c>
      <c r="AA5">
        <v>0</v>
      </c>
      <c r="AB5">
        <v>802.12</v>
      </c>
      <c r="AC5">
        <v>297.47000000000003</v>
      </c>
      <c r="AD5">
        <v>0</v>
      </c>
      <c r="AE5">
        <v>0</v>
      </c>
      <c r="AF5">
        <v>99.89</v>
      </c>
      <c r="AG5">
        <v>10.06</v>
      </c>
      <c r="AH5">
        <v>0</v>
      </c>
      <c r="AI5">
        <v>1</v>
      </c>
      <c r="AJ5">
        <v>8.0299999999999994</v>
      </c>
      <c r="AK5">
        <v>29.57</v>
      </c>
      <c r="AL5">
        <v>1</v>
      </c>
      <c r="AN5">
        <v>0</v>
      </c>
      <c r="AO5">
        <v>1</v>
      </c>
      <c r="AP5">
        <v>1</v>
      </c>
      <c r="AQ5">
        <v>0</v>
      </c>
      <c r="AR5">
        <v>0</v>
      </c>
      <c r="AS5" t="s">
        <v>3</v>
      </c>
      <c r="AT5">
        <v>0.27</v>
      </c>
      <c r="AU5" t="s">
        <v>23</v>
      </c>
      <c r="AV5">
        <v>0</v>
      </c>
      <c r="AW5">
        <v>2</v>
      </c>
      <c r="AX5">
        <v>59844436</v>
      </c>
      <c r="AY5">
        <v>1</v>
      </c>
      <c r="AZ5">
        <v>0</v>
      </c>
      <c r="BA5">
        <v>5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CX5">
        <f>Y5*Source!I32</f>
        <v>9.9562499999999998E-3</v>
      </c>
      <c r="CY5">
        <f t="shared" si="2"/>
        <v>802.12</v>
      </c>
      <c r="CZ5">
        <f t="shared" si="3"/>
        <v>99.89</v>
      </c>
      <c r="DA5">
        <f t="shared" si="4"/>
        <v>8.0299999999999994</v>
      </c>
      <c r="DB5">
        <f t="shared" si="0"/>
        <v>33.712499999999999</v>
      </c>
      <c r="DC5">
        <f t="shared" si="1"/>
        <v>3.4</v>
      </c>
    </row>
    <row r="6" spans="1:107" x14ac:dyDescent="0.2">
      <c r="A6">
        <f>ROW(Source!A32)</f>
        <v>32</v>
      </c>
      <c r="B6">
        <v>59844155</v>
      </c>
      <c r="C6">
        <v>59844431</v>
      </c>
      <c r="D6">
        <v>42458679</v>
      </c>
      <c r="E6">
        <v>1</v>
      </c>
      <c r="F6">
        <v>1</v>
      </c>
      <c r="G6">
        <v>1</v>
      </c>
      <c r="H6">
        <v>2</v>
      </c>
      <c r="I6" t="s">
        <v>207</v>
      </c>
      <c r="J6" t="s">
        <v>208</v>
      </c>
      <c r="K6" t="s">
        <v>209</v>
      </c>
      <c r="L6">
        <v>1368</v>
      </c>
      <c r="N6">
        <v>1011</v>
      </c>
      <c r="O6" t="s">
        <v>200</v>
      </c>
      <c r="P6" t="s">
        <v>200</v>
      </c>
      <c r="Q6">
        <v>1</v>
      </c>
      <c r="W6">
        <v>0</v>
      </c>
      <c r="X6">
        <v>1474986261</v>
      </c>
      <c r="Y6">
        <v>2.5249999999999999</v>
      </c>
      <c r="AA6">
        <v>0</v>
      </c>
      <c r="AB6">
        <v>58.48</v>
      </c>
      <c r="AC6">
        <v>0</v>
      </c>
      <c r="AD6">
        <v>0</v>
      </c>
      <c r="AE6">
        <v>0</v>
      </c>
      <c r="AF6">
        <v>8.1</v>
      </c>
      <c r="AG6">
        <v>0</v>
      </c>
      <c r="AH6">
        <v>0</v>
      </c>
      <c r="AI6">
        <v>1</v>
      </c>
      <c r="AJ6">
        <v>7.22</v>
      </c>
      <c r="AK6">
        <v>29.57</v>
      </c>
      <c r="AL6">
        <v>1</v>
      </c>
      <c r="AN6">
        <v>0</v>
      </c>
      <c r="AO6">
        <v>1</v>
      </c>
      <c r="AP6">
        <v>1</v>
      </c>
      <c r="AQ6">
        <v>0</v>
      </c>
      <c r="AR6">
        <v>0</v>
      </c>
      <c r="AS6" t="s">
        <v>3</v>
      </c>
      <c r="AT6">
        <v>2.02</v>
      </c>
      <c r="AU6" t="s">
        <v>23</v>
      </c>
      <c r="AV6">
        <v>0</v>
      </c>
      <c r="AW6">
        <v>2</v>
      </c>
      <c r="AX6">
        <v>59844437</v>
      </c>
      <c r="AY6">
        <v>1</v>
      </c>
      <c r="AZ6">
        <v>0</v>
      </c>
      <c r="BA6">
        <v>6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CX6">
        <f>Y6*Source!I32</f>
        <v>7.4487499999999998E-2</v>
      </c>
      <c r="CY6">
        <f t="shared" si="2"/>
        <v>58.48</v>
      </c>
      <c r="CZ6">
        <f t="shared" si="3"/>
        <v>8.1</v>
      </c>
      <c r="DA6">
        <f t="shared" si="4"/>
        <v>7.22</v>
      </c>
      <c r="DB6">
        <f t="shared" si="0"/>
        <v>20.45</v>
      </c>
      <c r="DC6">
        <f t="shared" si="1"/>
        <v>0</v>
      </c>
    </row>
    <row r="7" spans="1:107" x14ac:dyDescent="0.2">
      <c r="A7">
        <f>ROW(Source!A32)</f>
        <v>32</v>
      </c>
      <c r="B7">
        <v>59844155</v>
      </c>
      <c r="C7">
        <v>59844431</v>
      </c>
      <c r="D7">
        <v>42459173</v>
      </c>
      <c r="E7">
        <v>1</v>
      </c>
      <c r="F7">
        <v>1</v>
      </c>
      <c r="G7">
        <v>1</v>
      </c>
      <c r="H7">
        <v>2</v>
      </c>
      <c r="I7" t="s">
        <v>210</v>
      </c>
      <c r="J7" t="s">
        <v>211</v>
      </c>
      <c r="K7" t="s">
        <v>212</v>
      </c>
      <c r="L7">
        <v>1368</v>
      </c>
      <c r="N7">
        <v>1011</v>
      </c>
      <c r="O7" t="s">
        <v>200</v>
      </c>
      <c r="P7" t="s">
        <v>200</v>
      </c>
      <c r="Q7">
        <v>1</v>
      </c>
      <c r="W7">
        <v>0</v>
      </c>
      <c r="X7">
        <v>650070217</v>
      </c>
      <c r="Y7">
        <v>23.799999999999997</v>
      </c>
      <c r="AA7">
        <v>0</v>
      </c>
      <c r="AB7">
        <v>20.2</v>
      </c>
      <c r="AC7">
        <v>0</v>
      </c>
      <c r="AD7">
        <v>0</v>
      </c>
      <c r="AE7">
        <v>0</v>
      </c>
      <c r="AF7">
        <v>1.9</v>
      </c>
      <c r="AG7">
        <v>0</v>
      </c>
      <c r="AH7">
        <v>0</v>
      </c>
      <c r="AI7">
        <v>1</v>
      </c>
      <c r="AJ7">
        <v>10.63</v>
      </c>
      <c r="AK7">
        <v>29.57</v>
      </c>
      <c r="AL7">
        <v>1</v>
      </c>
      <c r="AN7">
        <v>0</v>
      </c>
      <c r="AO7">
        <v>1</v>
      </c>
      <c r="AP7">
        <v>1</v>
      </c>
      <c r="AQ7">
        <v>0</v>
      </c>
      <c r="AR7">
        <v>0</v>
      </c>
      <c r="AS7" t="s">
        <v>3</v>
      </c>
      <c r="AT7">
        <v>19.04</v>
      </c>
      <c r="AU7" t="s">
        <v>23</v>
      </c>
      <c r="AV7">
        <v>0</v>
      </c>
      <c r="AW7">
        <v>2</v>
      </c>
      <c r="AX7">
        <v>59844438</v>
      </c>
      <c r="AY7">
        <v>1</v>
      </c>
      <c r="AZ7">
        <v>0</v>
      </c>
      <c r="BA7">
        <v>7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CX7">
        <f>Y7*Source!I32</f>
        <v>0.70209999999999984</v>
      </c>
      <c r="CY7">
        <f t="shared" si="2"/>
        <v>20.2</v>
      </c>
      <c r="CZ7">
        <f t="shared" si="3"/>
        <v>1.9</v>
      </c>
      <c r="DA7">
        <f t="shared" si="4"/>
        <v>10.63</v>
      </c>
      <c r="DB7">
        <f t="shared" si="0"/>
        <v>45.225000000000001</v>
      </c>
      <c r="DC7">
        <f t="shared" si="1"/>
        <v>0</v>
      </c>
    </row>
    <row r="8" spans="1:107" x14ac:dyDescent="0.2">
      <c r="A8">
        <f>ROW(Source!A32)</f>
        <v>32</v>
      </c>
      <c r="B8">
        <v>59844155</v>
      </c>
      <c r="C8">
        <v>59844431</v>
      </c>
      <c r="D8">
        <v>42460615</v>
      </c>
      <c r="E8">
        <v>1</v>
      </c>
      <c r="F8">
        <v>1</v>
      </c>
      <c r="G8">
        <v>1</v>
      </c>
      <c r="H8">
        <v>2</v>
      </c>
      <c r="I8" t="s">
        <v>213</v>
      </c>
      <c r="J8" t="s">
        <v>214</v>
      </c>
      <c r="K8" t="s">
        <v>215</v>
      </c>
      <c r="L8">
        <v>1368</v>
      </c>
      <c r="N8">
        <v>1011</v>
      </c>
      <c r="O8" t="s">
        <v>200</v>
      </c>
      <c r="P8" t="s">
        <v>200</v>
      </c>
      <c r="Q8">
        <v>1</v>
      </c>
      <c r="W8">
        <v>0</v>
      </c>
      <c r="X8">
        <v>-1835804875</v>
      </c>
      <c r="Y8">
        <v>1.6875</v>
      </c>
      <c r="AA8">
        <v>0</v>
      </c>
      <c r="AB8">
        <v>25.77</v>
      </c>
      <c r="AC8">
        <v>0</v>
      </c>
      <c r="AD8">
        <v>0</v>
      </c>
      <c r="AE8">
        <v>0</v>
      </c>
      <c r="AF8">
        <v>3.27</v>
      </c>
      <c r="AG8">
        <v>0</v>
      </c>
      <c r="AH8">
        <v>0</v>
      </c>
      <c r="AI8">
        <v>1</v>
      </c>
      <c r="AJ8">
        <v>7.88</v>
      </c>
      <c r="AK8">
        <v>29.57</v>
      </c>
      <c r="AL8">
        <v>1</v>
      </c>
      <c r="AN8">
        <v>0</v>
      </c>
      <c r="AO8">
        <v>1</v>
      </c>
      <c r="AP8">
        <v>1</v>
      </c>
      <c r="AQ8">
        <v>0</v>
      </c>
      <c r="AR8">
        <v>0</v>
      </c>
      <c r="AS8" t="s">
        <v>3</v>
      </c>
      <c r="AT8">
        <v>1.35</v>
      </c>
      <c r="AU8" t="s">
        <v>23</v>
      </c>
      <c r="AV8">
        <v>0</v>
      </c>
      <c r="AW8">
        <v>2</v>
      </c>
      <c r="AX8">
        <v>59844439</v>
      </c>
      <c r="AY8">
        <v>1</v>
      </c>
      <c r="AZ8">
        <v>0</v>
      </c>
      <c r="BA8">
        <v>8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CX8">
        <f>Y8*Source!I32</f>
        <v>4.9781249999999999E-2</v>
      </c>
      <c r="CY8">
        <f t="shared" si="2"/>
        <v>25.77</v>
      </c>
      <c r="CZ8">
        <f t="shared" si="3"/>
        <v>3.27</v>
      </c>
      <c r="DA8">
        <f t="shared" si="4"/>
        <v>7.88</v>
      </c>
      <c r="DB8">
        <f t="shared" si="0"/>
        <v>5.5125000000000002</v>
      </c>
      <c r="DC8">
        <f t="shared" si="1"/>
        <v>0</v>
      </c>
    </row>
    <row r="9" spans="1:107" x14ac:dyDescent="0.2">
      <c r="A9">
        <f>ROW(Source!A32)</f>
        <v>32</v>
      </c>
      <c r="B9">
        <v>59844155</v>
      </c>
      <c r="C9">
        <v>59844431</v>
      </c>
      <c r="D9">
        <v>42460936</v>
      </c>
      <c r="E9">
        <v>1</v>
      </c>
      <c r="F9">
        <v>1</v>
      </c>
      <c r="G9">
        <v>1</v>
      </c>
      <c r="H9">
        <v>2</v>
      </c>
      <c r="I9" t="s">
        <v>216</v>
      </c>
      <c r="J9" t="s">
        <v>217</v>
      </c>
      <c r="K9" t="s">
        <v>218</v>
      </c>
      <c r="L9">
        <v>1368</v>
      </c>
      <c r="N9">
        <v>1011</v>
      </c>
      <c r="O9" t="s">
        <v>200</v>
      </c>
      <c r="P9" t="s">
        <v>200</v>
      </c>
      <c r="Q9">
        <v>1</v>
      </c>
      <c r="W9">
        <v>0</v>
      </c>
      <c r="X9">
        <v>1230759911</v>
      </c>
      <c r="Y9">
        <v>2.0625</v>
      </c>
      <c r="AA9">
        <v>0</v>
      </c>
      <c r="AB9">
        <v>858.62</v>
      </c>
      <c r="AC9">
        <v>343.01</v>
      </c>
      <c r="AD9">
        <v>0</v>
      </c>
      <c r="AE9">
        <v>0</v>
      </c>
      <c r="AF9">
        <v>87.17</v>
      </c>
      <c r="AG9">
        <v>11.6</v>
      </c>
      <c r="AH9">
        <v>0</v>
      </c>
      <c r="AI9">
        <v>1</v>
      </c>
      <c r="AJ9">
        <v>9.85</v>
      </c>
      <c r="AK9">
        <v>29.57</v>
      </c>
      <c r="AL9">
        <v>1</v>
      </c>
      <c r="AN9">
        <v>0</v>
      </c>
      <c r="AO9">
        <v>1</v>
      </c>
      <c r="AP9">
        <v>1</v>
      </c>
      <c r="AQ9">
        <v>0</v>
      </c>
      <c r="AR9">
        <v>0</v>
      </c>
      <c r="AS9" t="s">
        <v>3</v>
      </c>
      <c r="AT9">
        <v>1.65</v>
      </c>
      <c r="AU9" t="s">
        <v>23</v>
      </c>
      <c r="AV9">
        <v>0</v>
      </c>
      <c r="AW9">
        <v>2</v>
      </c>
      <c r="AX9">
        <v>59844440</v>
      </c>
      <c r="AY9">
        <v>1</v>
      </c>
      <c r="AZ9">
        <v>0</v>
      </c>
      <c r="BA9">
        <v>9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CX9">
        <f>Y9*Source!I32</f>
        <v>6.0843749999999995E-2</v>
      </c>
      <c r="CY9">
        <f t="shared" si="2"/>
        <v>858.62</v>
      </c>
      <c r="CZ9">
        <f t="shared" si="3"/>
        <v>87.17</v>
      </c>
      <c r="DA9">
        <f t="shared" si="4"/>
        <v>9.85</v>
      </c>
      <c r="DB9">
        <f t="shared" si="0"/>
        <v>179.78749999999999</v>
      </c>
      <c r="DC9">
        <f t="shared" si="1"/>
        <v>23.925000000000001</v>
      </c>
    </row>
    <row r="10" spans="1:107" x14ac:dyDescent="0.2">
      <c r="A10">
        <f>ROW(Source!A32)</f>
        <v>32</v>
      </c>
      <c r="B10">
        <v>59844155</v>
      </c>
      <c r="C10">
        <v>59844431</v>
      </c>
      <c r="D10">
        <v>42399620</v>
      </c>
      <c r="E10">
        <v>1</v>
      </c>
      <c r="F10">
        <v>1</v>
      </c>
      <c r="G10">
        <v>1</v>
      </c>
      <c r="H10">
        <v>3</v>
      </c>
      <c r="I10" t="s">
        <v>219</v>
      </c>
      <c r="J10" t="s">
        <v>220</v>
      </c>
      <c r="K10" t="s">
        <v>221</v>
      </c>
      <c r="L10">
        <v>1348</v>
      </c>
      <c r="N10">
        <v>1009</v>
      </c>
      <c r="O10" t="s">
        <v>32</v>
      </c>
      <c r="P10" t="s">
        <v>32</v>
      </c>
      <c r="Q10">
        <v>1000</v>
      </c>
      <c r="W10">
        <v>0</v>
      </c>
      <c r="X10">
        <v>-1012359093</v>
      </c>
      <c r="Y10">
        <v>0.04</v>
      </c>
      <c r="AA10">
        <v>35597.050000000003</v>
      </c>
      <c r="AB10">
        <v>0</v>
      </c>
      <c r="AC10">
        <v>0</v>
      </c>
      <c r="AD10">
        <v>0</v>
      </c>
      <c r="AE10">
        <v>4455.2</v>
      </c>
      <c r="AF10">
        <v>0</v>
      </c>
      <c r="AG10">
        <v>0</v>
      </c>
      <c r="AH10">
        <v>0</v>
      </c>
      <c r="AI10">
        <v>7.99</v>
      </c>
      <c r="AJ10">
        <v>1</v>
      </c>
      <c r="AK10">
        <v>1</v>
      </c>
      <c r="AL10">
        <v>1</v>
      </c>
      <c r="AN10">
        <v>0</v>
      </c>
      <c r="AO10">
        <v>1</v>
      </c>
      <c r="AP10">
        <v>0</v>
      </c>
      <c r="AQ10">
        <v>0</v>
      </c>
      <c r="AR10">
        <v>0</v>
      </c>
      <c r="AS10" t="s">
        <v>3</v>
      </c>
      <c r="AT10">
        <v>0.04</v>
      </c>
      <c r="AU10" t="s">
        <v>3</v>
      </c>
      <c r="AV10">
        <v>0</v>
      </c>
      <c r="AW10">
        <v>2</v>
      </c>
      <c r="AX10">
        <v>59844441</v>
      </c>
      <c r="AY10">
        <v>1</v>
      </c>
      <c r="AZ10">
        <v>0</v>
      </c>
      <c r="BA10">
        <v>10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CX10">
        <f>Y10*Source!I32</f>
        <v>1.1800000000000001E-3</v>
      </c>
      <c r="CY10">
        <f t="shared" ref="CY10:CY24" si="5">AA10</f>
        <v>35597.050000000003</v>
      </c>
      <c r="CZ10">
        <f t="shared" ref="CZ10:CZ24" si="6">AE10</f>
        <v>4455.2</v>
      </c>
      <c r="DA10">
        <f t="shared" ref="DA10:DA24" si="7">AI10</f>
        <v>7.99</v>
      </c>
      <c r="DB10">
        <f t="shared" ref="DB10:DB37" si="8">ROUND(ROUND(AT10*CZ10,2),6)</f>
        <v>178.21</v>
      </c>
      <c r="DC10">
        <f t="shared" ref="DC10:DC37" si="9">ROUND(ROUND(AT10*AG10,2),6)</f>
        <v>0</v>
      </c>
    </row>
    <row r="11" spans="1:107" x14ac:dyDescent="0.2">
      <c r="A11">
        <f>ROW(Source!A32)</f>
        <v>32</v>
      </c>
      <c r="B11">
        <v>59844155</v>
      </c>
      <c r="C11">
        <v>59844431</v>
      </c>
      <c r="D11">
        <v>42400004</v>
      </c>
      <c r="E11">
        <v>1</v>
      </c>
      <c r="F11">
        <v>1</v>
      </c>
      <c r="G11">
        <v>1</v>
      </c>
      <c r="H11">
        <v>3</v>
      </c>
      <c r="I11" t="s">
        <v>222</v>
      </c>
      <c r="J11" t="s">
        <v>223</v>
      </c>
      <c r="K11" t="s">
        <v>224</v>
      </c>
      <c r="L11">
        <v>1348</v>
      </c>
      <c r="N11">
        <v>1009</v>
      </c>
      <c r="O11" t="s">
        <v>32</v>
      </c>
      <c r="P11" t="s">
        <v>32</v>
      </c>
      <c r="Q11">
        <v>1000</v>
      </c>
      <c r="W11">
        <v>0</v>
      </c>
      <c r="X11">
        <v>1908648852</v>
      </c>
      <c r="Y11">
        <v>4.0000000000000001E-3</v>
      </c>
      <c r="AA11">
        <v>90658.78</v>
      </c>
      <c r="AB11">
        <v>0</v>
      </c>
      <c r="AC11">
        <v>0</v>
      </c>
      <c r="AD11">
        <v>0</v>
      </c>
      <c r="AE11">
        <v>9423.99</v>
      </c>
      <c r="AF11">
        <v>0</v>
      </c>
      <c r="AG11">
        <v>0</v>
      </c>
      <c r="AH11">
        <v>0</v>
      </c>
      <c r="AI11">
        <v>9.6199999999999992</v>
      </c>
      <c r="AJ11">
        <v>1</v>
      </c>
      <c r="AK11">
        <v>1</v>
      </c>
      <c r="AL11">
        <v>1</v>
      </c>
      <c r="AN11">
        <v>0</v>
      </c>
      <c r="AO11">
        <v>1</v>
      </c>
      <c r="AP11">
        <v>0</v>
      </c>
      <c r="AQ11">
        <v>0</v>
      </c>
      <c r="AR11">
        <v>0</v>
      </c>
      <c r="AS11" t="s">
        <v>3</v>
      </c>
      <c r="AT11">
        <v>4.0000000000000001E-3</v>
      </c>
      <c r="AU11" t="s">
        <v>3</v>
      </c>
      <c r="AV11">
        <v>0</v>
      </c>
      <c r="AW11">
        <v>2</v>
      </c>
      <c r="AX11">
        <v>59844442</v>
      </c>
      <c r="AY11">
        <v>1</v>
      </c>
      <c r="AZ11">
        <v>0</v>
      </c>
      <c r="BA11">
        <v>11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CX11">
        <f>Y11*Source!I32</f>
        <v>1.18E-4</v>
      </c>
      <c r="CY11">
        <f t="shared" si="5"/>
        <v>90658.78</v>
      </c>
      <c r="CZ11">
        <f t="shared" si="6"/>
        <v>9423.99</v>
      </c>
      <c r="DA11">
        <f t="shared" si="7"/>
        <v>9.6199999999999992</v>
      </c>
      <c r="DB11">
        <f t="shared" si="8"/>
        <v>37.700000000000003</v>
      </c>
      <c r="DC11">
        <f t="shared" si="9"/>
        <v>0</v>
      </c>
    </row>
    <row r="12" spans="1:107" x14ac:dyDescent="0.2">
      <c r="A12">
        <f>ROW(Source!A32)</f>
        <v>32</v>
      </c>
      <c r="B12">
        <v>59844155</v>
      </c>
      <c r="C12">
        <v>59844431</v>
      </c>
      <c r="D12">
        <v>42394270</v>
      </c>
      <c r="E12">
        <v>1</v>
      </c>
      <c r="F12">
        <v>1</v>
      </c>
      <c r="G12">
        <v>1</v>
      </c>
      <c r="H12">
        <v>3</v>
      </c>
      <c r="I12" t="s">
        <v>225</v>
      </c>
      <c r="J12" t="s">
        <v>226</v>
      </c>
      <c r="K12" t="s">
        <v>227</v>
      </c>
      <c r="L12">
        <v>1327</v>
      </c>
      <c r="N12">
        <v>1005</v>
      </c>
      <c r="O12" t="s">
        <v>228</v>
      </c>
      <c r="P12" t="s">
        <v>228</v>
      </c>
      <c r="Q12">
        <v>1</v>
      </c>
      <c r="W12">
        <v>0</v>
      </c>
      <c r="X12">
        <v>914604176</v>
      </c>
      <c r="Y12">
        <v>10.1</v>
      </c>
      <c r="AA12">
        <v>54.37</v>
      </c>
      <c r="AB12">
        <v>0</v>
      </c>
      <c r="AC12">
        <v>0</v>
      </c>
      <c r="AD12">
        <v>0</v>
      </c>
      <c r="AE12">
        <v>10.199999999999999</v>
      </c>
      <c r="AF12">
        <v>0</v>
      </c>
      <c r="AG12">
        <v>0</v>
      </c>
      <c r="AH12">
        <v>0</v>
      </c>
      <c r="AI12">
        <v>5.33</v>
      </c>
      <c r="AJ12">
        <v>1</v>
      </c>
      <c r="AK12">
        <v>1</v>
      </c>
      <c r="AL12">
        <v>1</v>
      </c>
      <c r="AN12">
        <v>0</v>
      </c>
      <c r="AO12">
        <v>1</v>
      </c>
      <c r="AP12">
        <v>0</v>
      </c>
      <c r="AQ12">
        <v>0</v>
      </c>
      <c r="AR12">
        <v>0</v>
      </c>
      <c r="AS12" t="s">
        <v>3</v>
      </c>
      <c r="AT12">
        <v>10.1</v>
      </c>
      <c r="AU12" t="s">
        <v>3</v>
      </c>
      <c r="AV12">
        <v>0</v>
      </c>
      <c r="AW12">
        <v>2</v>
      </c>
      <c r="AX12">
        <v>59844443</v>
      </c>
      <c r="AY12">
        <v>1</v>
      </c>
      <c r="AZ12">
        <v>0</v>
      </c>
      <c r="BA12">
        <v>12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CX12">
        <f>Y12*Source!I32</f>
        <v>0.29794999999999999</v>
      </c>
      <c r="CY12">
        <f t="shared" si="5"/>
        <v>54.37</v>
      </c>
      <c r="CZ12">
        <f t="shared" si="6"/>
        <v>10.199999999999999</v>
      </c>
      <c r="DA12">
        <f t="shared" si="7"/>
        <v>5.33</v>
      </c>
      <c r="DB12">
        <f t="shared" si="8"/>
        <v>103.02</v>
      </c>
      <c r="DC12">
        <f t="shared" si="9"/>
        <v>0</v>
      </c>
    </row>
    <row r="13" spans="1:107" x14ac:dyDescent="0.2">
      <c r="A13">
        <f>ROW(Source!A32)</f>
        <v>32</v>
      </c>
      <c r="B13">
        <v>59844155</v>
      </c>
      <c r="C13">
        <v>59844431</v>
      </c>
      <c r="D13">
        <v>42400354</v>
      </c>
      <c r="E13">
        <v>1</v>
      </c>
      <c r="F13">
        <v>1</v>
      </c>
      <c r="G13">
        <v>1</v>
      </c>
      <c r="H13">
        <v>3</v>
      </c>
      <c r="I13" t="s">
        <v>229</v>
      </c>
      <c r="J13" t="s">
        <v>230</v>
      </c>
      <c r="K13" t="s">
        <v>231</v>
      </c>
      <c r="L13">
        <v>1348</v>
      </c>
      <c r="N13">
        <v>1009</v>
      </c>
      <c r="O13" t="s">
        <v>32</v>
      </c>
      <c r="P13" t="s">
        <v>32</v>
      </c>
      <c r="Q13">
        <v>1000</v>
      </c>
      <c r="W13">
        <v>0</v>
      </c>
      <c r="X13">
        <v>1561117559</v>
      </c>
      <c r="Y13">
        <v>3.6999999999999998E-2</v>
      </c>
      <c r="AA13">
        <v>55098.8</v>
      </c>
      <c r="AB13">
        <v>0</v>
      </c>
      <c r="AC13">
        <v>0</v>
      </c>
      <c r="AD13">
        <v>0</v>
      </c>
      <c r="AE13">
        <v>11978</v>
      </c>
      <c r="AF13">
        <v>0</v>
      </c>
      <c r="AG13">
        <v>0</v>
      </c>
      <c r="AH13">
        <v>0</v>
      </c>
      <c r="AI13">
        <v>4.5999999999999996</v>
      </c>
      <c r="AJ13">
        <v>1</v>
      </c>
      <c r="AK13">
        <v>1</v>
      </c>
      <c r="AL13">
        <v>1</v>
      </c>
      <c r="AN13">
        <v>0</v>
      </c>
      <c r="AO13">
        <v>1</v>
      </c>
      <c r="AP13">
        <v>0</v>
      </c>
      <c r="AQ13">
        <v>0</v>
      </c>
      <c r="AR13">
        <v>0</v>
      </c>
      <c r="AS13" t="s">
        <v>3</v>
      </c>
      <c r="AT13">
        <v>3.6999999999999998E-2</v>
      </c>
      <c r="AU13" t="s">
        <v>3</v>
      </c>
      <c r="AV13">
        <v>0</v>
      </c>
      <c r="AW13">
        <v>2</v>
      </c>
      <c r="AX13">
        <v>59844444</v>
      </c>
      <c r="AY13">
        <v>1</v>
      </c>
      <c r="AZ13">
        <v>0</v>
      </c>
      <c r="BA13">
        <v>13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CX13">
        <f>Y13*Source!I32</f>
        <v>1.0914999999999998E-3</v>
      </c>
      <c r="CY13">
        <f t="shared" si="5"/>
        <v>55098.8</v>
      </c>
      <c r="CZ13">
        <f t="shared" si="6"/>
        <v>11978</v>
      </c>
      <c r="DA13">
        <f t="shared" si="7"/>
        <v>4.5999999999999996</v>
      </c>
      <c r="DB13">
        <f t="shared" si="8"/>
        <v>443.19</v>
      </c>
      <c r="DC13">
        <f t="shared" si="9"/>
        <v>0</v>
      </c>
    </row>
    <row r="14" spans="1:107" x14ac:dyDescent="0.2">
      <c r="A14">
        <f>ROW(Source!A32)</f>
        <v>32</v>
      </c>
      <c r="B14">
        <v>59844155</v>
      </c>
      <c r="C14">
        <v>59844431</v>
      </c>
      <c r="D14">
        <v>42401809</v>
      </c>
      <c r="E14">
        <v>1</v>
      </c>
      <c r="F14">
        <v>1</v>
      </c>
      <c r="G14">
        <v>1</v>
      </c>
      <c r="H14">
        <v>3</v>
      </c>
      <c r="I14" t="s">
        <v>232</v>
      </c>
      <c r="J14" t="s">
        <v>233</v>
      </c>
      <c r="K14" t="s">
        <v>234</v>
      </c>
      <c r="L14">
        <v>1339</v>
      </c>
      <c r="N14">
        <v>1007</v>
      </c>
      <c r="O14" t="s">
        <v>41</v>
      </c>
      <c r="P14" t="s">
        <v>43</v>
      </c>
      <c r="Q14">
        <v>1</v>
      </c>
      <c r="W14">
        <v>0</v>
      </c>
      <c r="X14">
        <v>-1134122495</v>
      </c>
      <c r="Y14">
        <v>0.69</v>
      </c>
      <c r="AA14">
        <v>3925.06</v>
      </c>
      <c r="AB14">
        <v>0</v>
      </c>
      <c r="AC14">
        <v>0</v>
      </c>
      <c r="AD14">
        <v>0</v>
      </c>
      <c r="AE14">
        <v>558.33000000000004</v>
      </c>
      <c r="AF14">
        <v>0</v>
      </c>
      <c r="AG14">
        <v>0</v>
      </c>
      <c r="AH14">
        <v>0</v>
      </c>
      <c r="AI14">
        <v>7.03</v>
      </c>
      <c r="AJ14">
        <v>1</v>
      </c>
      <c r="AK14">
        <v>1</v>
      </c>
      <c r="AL14">
        <v>1</v>
      </c>
      <c r="AN14">
        <v>0</v>
      </c>
      <c r="AO14">
        <v>1</v>
      </c>
      <c r="AP14">
        <v>0</v>
      </c>
      <c r="AQ14">
        <v>0</v>
      </c>
      <c r="AR14">
        <v>0</v>
      </c>
      <c r="AS14" t="s">
        <v>3</v>
      </c>
      <c r="AT14">
        <v>0.69</v>
      </c>
      <c r="AU14" t="s">
        <v>3</v>
      </c>
      <c r="AV14">
        <v>0</v>
      </c>
      <c r="AW14">
        <v>2</v>
      </c>
      <c r="AX14">
        <v>59844445</v>
      </c>
      <c r="AY14">
        <v>1</v>
      </c>
      <c r="AZ14">
        <v>0</v>
      </c>
      <c r="BA14">
        <v>14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CX14">
        <f>Y14*Source!I32</f>
        <v>2.0354999999999998E-2</v>
      </c>
      <c r="CY14">
        <f t="shared" si="5"/>
        <v>3925.06</v>
      </c>
      <c r="CZ14">
        <f t="shared" si="6"/>
        <v>558.33000000000004</v>
      </c>
      <c r="DA14">
        <f t="shared" si="7"/>
        <v>7.03</v>
      </c>
      <c r="DB14">
        <f t="shared" si="8"/>
        <v>385.25</v>
      </c>
      <c r="DC14">
        <f t="shared" si="9"/>
        <v>0</v>
      </c>
    </row>
    <row r="15" spans="1:107" x14ac:dyDescent="0.2">
      <c r="A15">
        <f>ROW(Source!A32)</f>
        <v>32</v>
      </c>
      <c r="B15">
        <v>59844155</v>
      </c>
      <c r="C15">
        <v>59844431</v>
      </c>
      <c r="D15">
        <v>42401491</v>
      </c>
      <c r="E15">
        <v>1</v>
      </c>
      <c r="F15">
        <v>1</v>
      </c>
      <c r="G15">
        <v>1</v>
      </c>
      <c r="H15">
        <v>3</v>
      </c>
      <c r="I15" t="s">
        <v>235</v>
      </c>
      <c r="J15" t="s">
        <v>236</v>
      </c>
      <c r="K15" t="s">
        <v>237</v>
      </c>
      <c r="L15">
        <v>1339</v>
      </c>
      <c r="N15">
        <v>1007</v>
      </c>
      <c r="O15" t="s">
        <v>41</v>
      </c>
      <c r="P15" t="s">
        <v>43</v>
      </c>
      <c r="Q15">
        <v>1</v>
      </c>
      <c r="W15">
        <v>0</v>
      </c>
      <c r="X15">
        <v>-756380643</v>
      </c>
      <c r="Y15">
        <v>0.08</v>
      </c>
      <c r="AA15">
        <v>6242</v>
      </c>
      <c r="AB15">
        <v>0</v>
      </c>
      <c r="AC15">
        <v>0</v>
      </c>
      <c r="AD15">
        <v>0</v>
      </c>
      <c r="AE15">
        <v>1287.01</v>
      </c>
      <c r="AF15">
        <v>0</v>
      </c>
      <c r="AG15">
        <v>0</v>
      </c>
      <c r="AH15">
        <v>0</v>
      </c>
      <c r="AI15">
        <v>4.8499999999999996</v>
      </c>
      <c r="AJ15">
        <v>1</v>
      </c>
      <c r="AK15">
        <v>1</v>
      </c>
      <c r="AL15">
        <v>1</v>
      </c>
      <c r="AN15">
        <v>0</v>
      </c>
      <c r="AO15">
        <v>1</v>
      </c>
      <c r="AP15">
        <v>0</v>
      </c>
      <c r="AQ15">
        <v>0</v>
      </c>
      <c r="AR15">
        <v>0</v>
      </c>
      <c r="AS15" t="s">
        <v>3</v>
      </c>
      <c r="AT15">
        <v>0.08</v>
      </c>
      <c r="AU15" t="s">
        <v>3</v>
      </c>
      <c r="AV15">
        <v>0</v>
      </c>
      <c r="AW15">
        <v>2</v>
      </c>
      <c r="AX15">
        <v>59844446</v>
      </c>
      <c r="AY15">
        <v>1</v>
      </c>
      <c r="AZ15">
        <v>0</v>
      </c>
      <c r="BA15">
        <v>15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CX15">
        <f>Y15*Source!I32</f>
        <v>2.3600000000000001E-3</v>
      </c>
      <c r="CY15">
        <f t="shared" si="5"/>
        <v>6242</v>
      </c>
      <c r="CZ15">
        <f t="shared" si="6"/>
        <v>1287.01</v>
      </c>
      <c r="DA15">
        <f t="shared" si="7"/>
        <v>4.8499999999999996</v>
      </c>
      <c r="DB15">
        <f t="shared" si="8"/>
        <v>102.96</v>
      </c>
      <c r="DC15">
        <f t="shared" si="9"/>
        <v>0</v>
      </c>
    </row>
    <row r="16" spans="1:107" x14ac:dyDescent="0.2">
      <c r="A16">
        <f>ROW(Source!A32)</f>
        <v>32</v>
      </c>
      <c r="B16">
        <v>59844155</v>
      </c>
      <c r="C16">
        <v>59844431</v>
      </c>
      <c r="D16">
        <v>42401664</v>
      </c>
      <c r="E16">
        <v>1</v>
      </c>
      <c r="F16">
        <v>1</v>
      </c>
      <c r="G16">
        <v>1</v>
      </c>
      <c r="H16">
        <v>3</v>
      </c>
      <c r="I16" t="s">
        <v>238</v>
      </c>
      <c r="J16" t="s">
        <v>239</v>
      </c>
      <c r="K16" t="s">
        <v>240</v>
      </c>
      <c r="L16">
        <v>1339</v>
      </c>
      <c r="N16">
        <v>1007</v>
      </c>
      <c r="O16" t="s">
        <v>41</v>
      </c>
      <c r="P16" t="s">
        <v>43</v>
      </c>
      <c r="Q16">
        <v>1</v>
      </c>
      <c r="W16">
        <v>0</v>
      </c>
      <c r="X16">
        <v>455834906</v>
      </c>
      <c r="Y16">
        <v>0.2</v>
      </c>
      <c r="AA16">
        <v>5720</v>
      </c>
      <c r="AB16">
        <v>0</v>
      </c>
      <c r="AC16">
        <v>0</v>
      </c>
      <c r="AD16">
        <v>0</v>
      </c>
      <c r="AE16">
        <v>1100</v>
      </c>
      <c r="AF16">
        <v>0</v>
      </c>
      <c r="AG16">
        <v>0</v>
      </c>
      <c r="AH16">
        <v>0</v>
      </c>
      <c r="AI16">
        <v>5.2</v>
      </c>
      <c r="AJ16">
        <v>1</v>
      </c>
      <c r="AK16">
        <v>1</v>
      </c>
      <c r="AL16">
        <v>1</v>
      </c>
      <c r="AN16">
        <v>0</v>
      </c>
      <c r="AO16">
        <v>1</v>
      </c>
      <c r="AP16">
        <v>0</v>
      </c>
      <c r="AQ16">
        <v>0</v>
      </c>
      <c r="AR16">
        <v>0</v>
      </c>
      <c r="AS16" t="s">
        <v>3</v>
      </c>
      <c r="AT16">
        <v>0.2</v>
      </c>
      <c r="AU16" t="s">
        <v>3</v>
      </c>
      <c r="AV16">
        <v>0</v>
      </c>
      <c r="AW16">
        <v>2</v>
      </c>
      <c r="AX16">
        <v>59844447</v>
      </c>
      <c r="AY16">
        <v>1</v>
      </c>
      <c r="AZ16">
        <v>0</v>
      </c>
      <c r="BA16">
        <v>16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CX16">
        <f>Y16*Source!I32</f>
        <v>5.8999999999999999E-3</v>
      </c>
      <c r="CY16">
        <f t="shared" si="5"/>
        <v>5720</v>
      </c>
      <c r="CZ16">
        <f t="shared" si="6"/>
        <v>1100</v>
      </c>
      <c r="DA16">
        <f t="shared" si="7"/>
        <v>5.2</v>
      </c>
      <c r="DB16">
        <f t="shared" si="8"/>
        <v>220</v>
      </c>
      <c r="DC16">
        <f t="shared" si="9"/>
        <v>0</v>
      </c>
    </row>
    <row r="17" spans="1:107" x14ac:dyDescent="0.2">
      <c r="A17">
        <f>ROW(Source!A32)</f>
        <v>32</v>
      </c>
      <c r="B17">
        <v>59844155</v>
      </c>
      <c r="C17">
        <v>59844431</v>
      </c>
      <c r="D17">
        <v>42401672</v>
      </c>
      <c r="E17">
        <v>1</v>
      </c>
      <c r="F17">
        <v>1</v>
      </c>
      <c r="G17">
        <v>1</v>
      </c>
      <c r="H17">
        <v>3</v>
      </c>
      <c r="I17" t="s">
        <v>241</v>
      </c>
      <c r="J17" t="s">
        <v>242</v>
      </c>
      <c r="K17" t="s">
        <v>243</v>
      </c>
      <c r="L17">
        <v>1339</v>
      </c>
      <c r="N17">
        <v>1007</v>
      </c>
      <c r="O17" t="s">
        <v>41</v>
      </c>
      <c r="P17" t="s">
        <v>43</v>
      </c>
      <c r="Q17">
        <v>1</v>
      </c>
      <c r="W17">
        <v>0</v>
      </c>
      <c r="X17">
        <v>-2068707452</v>
      </c>
      <c r="Y17">
        <v>0.69</v>
      </c>
      <c r="AA17">
        <v>5427.84</v>
      </c>
      <c r="AB17">
        <v>0</v>
      </c>
      <c r="AC17">
        <v>0</v>
      </c>
      <c r="AD17">
        <v>0</v>
      </c>
      <c r="AE17">
        <v>1056</v>
      </c>
      <c r="AF17">
        <v>0</v>
      </c>
      <c r="AG17">
        <v>0</v>
      </c>
      <c r="AH17">
        <v>0</v>
      </c>
      <c r="AI17">
        <v>5.14</v>
      </c>
      <c r="AJ17">
        <v>1</v>
      </c>
      <c r="AK17">
        <v>1</v>
      </c>
      <c r="AL17">
        <v>1</v>
      </c>
      <c r="AN17">
        <v>0</v>
      </c>
      <c r="AO17">
        <v>1</v>
      </c>
      <c r="AP17">
        <v>0</v>
      </c>
      <c r="AQ17">
        <v>0</v>
      </c>
      <c r="AR17">
        <v>0</v>
      </c>
      <c r="AS17" t="s">
        <v>3</v>
      </c>
      <c r="AT17">
        <v>0.69</v>
      </c>
      <c r="AU17" t="s">
        <v>3</v>
      </c>
      <c r="AV17">
        <v>0</v>
      </c>
      <c r="AW17">
        <v>2</v>
      </c>
      <c r="AX17">
        <v>59844448</v>
      </c>
      <c r="AY17">
        <v>1</v>
      </c>
      <c r="AZ17">
        <v>0</v>
      </c>
      <c r="BA17">
        <v>17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CX17">
        <f>Y17*Source!I32</f>
        <v>2.0354999999999998E-2</v>
      </c>
      <c r="CY17">
        <f t="shared" si="5"/>
        <v>5427.84</v>
      </c>
      <c r="CZ17">
        <f t="shared" si="6"/>
        <v>1056</v>
      </c>
      <c r="DA17">
        <f t="shared" si="7"/>
        <v>5.14</v>
      </c>
      <c r="DB17">
        <f t="shared" si="8"/>
        <v>728.64</v>
      </c>
      <c r="DC17">
        <f t="shared" si="9"/>
        <v>0</v>
      </c>
    </row>
    <row r="18" spans="1:107" x14ac:dyDescent="0.2">
      <c r="A18">
        <f>ROW(Source!A32)</f>
        <v>32</v>
      </c>
      <c r="B18">
        <v>59844155</v>
      </c>
      <c r="C18">
        <v>59844431</v>
      </c>
      <c r="D18">
        <v>42417330</v>
      </c>
      <c r="E18">
        <v>1</v>
      </c>
      <c r="F18">
        <v>1</v>
      </c>
      <c r="G18">
        <v>1</v>
      </c>
      <c r="H18">
        <v>3</v>
      </c>
      <c r="I18" t="s">
        <v>244</v>
      </c>
      <c r="J18" t="s">
        <v>245</v>
      </c>
      <c r="K18" t="s">
        <v>246</v>
      </c>
      <c r="L18">
        <v>1327</v>
      </c>
      <c r="N18">
        <v>1005</v>
      </c>
      <c r="O18" t="s">
        <v>228</v>
      </c>
      <c r="P18" t="s">
        <v>228</v>
      </c>
      <c r="Q18">
        <v>1</v>
      </c>
      <c r="W18">
        <v>0</v>
      </c>
      <c r="X18">
        <v>1067293540</v>
      </c>
      <c r="Y18">
        <v>49.5</v>
      </c>
      <c r="AA18">
        <v>174.5</v>
      </c>
      <c r="AB18">
        <v>0</v>
      </c>
      <c r="AC18">
        <v>0</v>
      </c>
      <c r="AD18">
        <v>0</v>
      </c>
      <c r="AE18">
        <v>35.54</v>
      </c>
      <c r="AF18">
        <v>0</v>
      </c>
      <c r="AG18">
        <v>0</v>
      </c>
      <c r="AH18">
        <v>0</v>
      </c>
      <c r="AI18">
        <v>4.91</v>
      </c>
      <c r="AJ18">
        <v>1</v>
      </c>
      <c r="AK18">
        <v>1</v>
      </c>
      <c r="AL18">
        <v>1</v>
      </c>
      <c r="AN18">
        <v>0</v>
      </c>
      <c r="AO18">
        <v>1</v>
      </c>
      <c r="AP18">
        <v>0</v>
      </c>
      <c r="AQ18">
        <v>0</v>
      </c>
      <c r="AR18">
        <v>0</v>
      </c>
      <c r="AS18" t="s">
        <v>3</v>
      </c>
      <c r="AT18">
        <v>49.5</v>
      </c>
      <c r="AU18" t="s">
        <v>3</v>
      </c>
      <c r="AV18">
        <v>0</v>
      </c>
      <c r="AW18">
        <v>2</v>
      </c>
      <c r="AX18">
        <v>59844449</v>
      </c>
      <c r="AY18">
        <v>1</v>
      </c>
      <c r="AZ18">
        <v>0</v>
      </c>
      <c r="BA18">
        <v>18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CX18">
        <f>Y18*Source!I32</f>
        <v>1.4602499999999998</v>
      </c>
      <c r="CY18">
        <f t="shared" si="5"/>
        <v>174.5</v>
      </c>
      <c r="CZ18">
        <f t="shared" si="6"/>
        <v>35.54</v>
      </c>
      <c r="DA18">
        <f t="shared" si="7"/>
        <v>4.91</v>
      </c>
      <c r="DB18">
        <f t="shared" si="8"/>
        <v>1759.23</v>
      </c>
      <c r="DC18">
        <f t="shared" si="9"/>
        <v>0</v>
      </c>
    </row>
    <row r="19" spans="1:107" x14ac:dyDescent="0.2">
      <c r="A19">
        <f>ROW(Source!A32)</f>
        <v>32</v>
      </c>
      <c r="B19">
        <v>59844155</v>
      </c>
      <c r="C19">
        <v>59844431</v>
      </c>
      <c r="D19">
        <v>42417346</v>
      </c>
      <c r="E19">
        <v>1</v>
      </c>
      <c r="F19">
        <v>1</v>
      </c>
      <c r="G19">
        <v>1</v>
      </c>
      <c r="H19">
        <v>3</v>
      </c>
      <c r="I19" t="s">
        <v>30</v>
      </c>
      <c r="J19" t="s">
        <v>33</v>
      </c>
      <c r="K19" t="s">
        <v>31</v>
      </c>
      <c r="L19">
        <v>1348</v>
      </c>
      <c r="N19">
        <v>1009</v>
      </c>
      <c r="O19" t="s">
        <v>32</v>
      </c>
      <c r="P19" t="s">
        <v>32</v>
      </c>
      <c r="Q19">
        <v>1000</v>
      </c>
      <c r="W19">
        <v>1</v>
      </c>
      <c r="X19">
        <v>-922545297</v>
      </c>
      <c r="Y19">
        <v>-1</v>
      </c>
      <c r="AA19">
        <v>33391.440000000002</v>
      </c>
      <c r="AB19">
        <v>0</v>
      </c>
      <c r="AC19">
        <v>0</v>
      </c>
      <c r="AD19">
        <v>0</v>
      </c>
      <c r="AE19">
        <v>5649.99</v>
      </c>
      <c r="AF19">
        <v>0</v>
      </c>
      <c r="AG19">
        <v>0</v>
      </c>
      <c r="AH19">
        <v>0</v>
      </c>
      <c r="AI19">
        <v>5.91</v>
      </c>
      <c r="AJ19">
        <v>1</v>
      </c>
      <c r="AK19">
        <v>1</v>
      </c>
      <c r="AL19">
        <v>1</v>
      </c>
      <c r="AN19">
        <v>0</v>
      </c>
      <c r="AO19">
        <v>1</v>
      </c>
      <c r="AP19">
        <v>0</v>
      </c>
      <c r="AQ19">
        <v>0</v>
      </c>
      <c r="AR19">
        <v>0</v>
      </c>
      <c r="AS19" t="s">
        <v>3</v>
      </c>
      <c r="AT19">
        <v>-1</v>
      </c>
      <c r="AU19" t="s">
        <v>3</v>
      </c>
      <c r="AV19">
        <v>0</v>
      </c>
      <c r="AW19">
        <v>2</v>
      </c>
      <c r="AX19">
        <v>59844450</v>
      </c>
      <c r="AY19">
        <v>1</v>
      </c>
      <c r="AZ19">
        <v>6144</v>
      </c>
      <c r="BA19">
        <v>19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CX19">
        <f>Y19*Source!I32</f>
        <v>-2.9499999999999998E-2</v>
      </c>
      <c r="CY19">
        <f t="shared" si="5"/>
        <v>33391.440000000002</v>
      </c>
      <c r="CZ19">
        <f t="shared" si="6"/>
        <v>5649.99</v>
      </c>
      <c r="DA19">
        <f t="shared" si="7"/>
        <v>5.91</v>
      </c>
      <c r="DB19">
        <f t="shared" si="8"/>
        <v>-5649.99</v>
      </c>
      <c r="DC19">
        <f t="shared" si="9"/>
        <v>0</v>
      </c>
    </row>
    <row r="20" spans="1:107" x14ac:dyDescent="0.2">
      <c r="A20">
        <f>ROW(Source!A32)</f>
        <v>32</v>
      </c>
      <c r="B20">
        <v>59844155</v>
      </c>
      <c r="C20">
        <v>59844431</v>
      </c>
      <c r="D20">
        <v>42417383</v>
      </c>
      <c r="E20">
        <v>1</v>
      </c>
      <c r="F20">
        <v>1</v>
      </c>
      <c r="G20">
        <v>1</v>
      </c>
      <c r="H20">
        <v>3</v>
      </c>
      <c r="I20" t="s">
        <v>35</v>
      </c>
      <c r="J20" t="s">
        <v>37</v>
      </c>
      <c r="K20" t="s">
        <v>36</v>
      </c>
      <c r="L20">
        <v>1348</v>
      </c>
      <c r="N20">
        <v>1009</v>
      </c>
      <c r="O20" t="s">
        <v>32</v>
      </c>
      <c r="P20" t="s">
        <v>32</v>
      </c>
      <c r="Q20">
        <v>1000</v>
      </c>
      <c r="W20">
        <v>0</v>
      </c>
      <c r="X20">
        <v>-114930746</v>
      </c>
      <c r="Y20">
        <v>0.74576299999999995</v>
      </c>
      <c r="AA20">
        <v>29372.400000000001</v>
      </c>
      <c r="AB20">
        <v>0</v>
      </c>
      <c r="AC20">
        <v>0</v>
      </c>
      <c r="AD20">
        <v>0</v>
      </c>
      <c r="AE20">
        <v>10565.61</v>
      </c>
      <c r="AF20">
        <v>0</v>
      </c>
      <c r="AG20">
        <v>0</v>
      </c>
      <c r="AH20">
        <v>0</v>
      </c>
      <c r="AI20">
        <v>2.78</v>
      </c>
      <c r="AJ20">
        <v>1</v>
      </c>
      <c r="AK20">
        <v>1</v>
      </c>
      <c r="AL20">
        <v>1</v>
      </c>
      <c r="AN20">
        <v>0</v>
      </c>
      <c r="AO20">
        <v>0</v>
      </c>
      <c r="AP20">
        <v>0</v>
      </c>
      <c r="AQ20">
        <v>0</v>
      </c>
      <c r="AR20">
        <v>0</v>
      </c>
      <c r="AS20" t="s">
        <v>3</v>
      </c>
      <c r="AT20">
        <v>0.74576299999999995</v>
      </c>
      <c r="AU20" t="s">
        <v>3</v>
      </c>
      <c r="AV20">
        <v>0</v>
      </c>
      <c r="AW20">
        <v>1</v>
      </c>
      <c r="AX20">
        <v>-1</v>
      </c>
      <c r="AY20">
        <v>0</v>
      </c>
      <c r="AZ20">
        <v>0</v>
      </c>
      <c r="BA20" t="s">
        <v>3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CX20">
        <f>Y20*Source!I32</f>
        <v>2.2000008499999998E-2</v>
      </c>
      <c r="CY20">
        <f t="shared" si="5"/>
        <v>29372.400000000001</v>
      </c>
      <c r="CZ20">
        <f t="shared" si="6"/>
        <v>10565.61</v>
      </c>
      <c r="DA20">
        <f t="shared" si="7"/>
        <v>2.78</v>
      </c>
      <c r="DB20">
        <f t="shared" si="8"/>
        <v>7879.44</v>
      </c>
      <c r="DC20">
        <f t="shared" si="9"/>
        <v>0</v>
      </c>
    </row>
    <row r="21" spans="1:107" x14ac:dyDescent="0.2">
      <c r="A21">
        <f>ROW(Source!A32)</f>
        <v>32</v>
      </c>
      <c r="B21">
        <v>59844155</v>
      </c>
      <c r="C21">
        <v>59844431</v>
      </c>
      <c r="D21">
        <v>42431065</v>
      </c>
      <c r="E21">
        <v>1</v>
      </c>
      <c r="F21">
        <v>1</v>
      </c>
      <c r="G21">
        <v>1</v>
      </c>
      <c r="H21">
        <v>3</v>
      </c>
      <c r="I21" t="s">
        <v>39</v>
      </c>
      <c r="J21" t="s">
        <v>42</v>
      </c>
      <c r="K21" t="s">
        <v>40</v>
      </c>
      <c r="L21">
        <v>1339</v>
      </c>
      <c r="N21">
        <v>1007</v>
      </c>
      <c r="O21" t="s">
        <v>41</v>
      </c>
      <c r="P21" t="s">
        <v>43</v>
      </c>
      <c r="Q21">
        <v>1</v>
      </c>
      <c r="W21">
        <v>1</v>
      </c>
      <c r="X21">
        <v>548345076</v>
      </c>
      <c r="Y21">
        <v>-101.5</v>
      </c>
      <c r="AA21">
        <v>3990</v>
      </c>
      <c r="AB21">
        <v>0</v>
      </c>
      <c r="AC21">
        <v>0</v>
      </c>
      <c r="AD21">
        <v>0</v>
      </c>
      <c r="AE21">
        <v>665</v>
      </c>
      <c r="AF21">
        <v>0</v>
      </c>
      <c r="AG21">
        <v>0</v>
      </c>
      <c r="AH21">
        <v>0</v>
      </c>
      <c r="AI21">
        <v>6</v>
      </c>
      <c r="AJ21">
        <v>1</v>
      </c>
      <c r="AK21">
        <v>1</v>
      </c>
      <c r="AL21">
        <v>1</v>
      </c>
      <c r="AN21">
        <v>0</v>
      </c>
      <c r="AO21">
        <v>1</v>
      </c>
      <c r="AP21">
        <v>0</v>
      </c>
      <c r="AQ21">
        <v>0</v>
      </c>
      <c r="AR21">
        <v>0</v>
      </c>
      <c r="AS21" t="s">
        <v>3</v>
      </c>
      <c r="AT21">
        <v>-101.5</v>
      </c>
      <c r="AU21" t="s">
        <v>3</v>
      </c>
      <c r="AV21">
        <v>0</v>
      </c>
      <c r="AW21">
        <v>2</v>
      </c>
      <c r="AX21">
        <v>59844451</v>
      </c>
      <c r="AY21">
        <v>1</v>
      </c>
      <c r="AZ21">
        <v>6144</v>
      </c>
      <c r="BA21">
        <v>20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CX21">
        <f>Y21*Source!I32</f>
        <v>-2.9942499999999996</v>
      </c>
      <c r="CY21">
        <f t="shared" si="5"/>
        <v>3990</v>
      </c>
      <c r="CZ21">
        <f t="shared" si="6"/>
        <v>665</v>
      </c>
      <c r="DA21">
        <f t="shared" si="7"/>
        <v>6</v>
      </c>
      <c r="DB21">
        <f t="shared" si="8"/>
        <v>-67497.5</v>
      </c>
      <c r="DC21">
        <f t="shared" si="9"/>
        <v>0</v>
      </c>
    </row>
    <row r="22" spans="1:107" x14ac:dyDescent="0.2">
      <c r="A22">
        <f>ROW(Source!A32)</f>
        <v>32</v>
      </c>
      <c r="B22">
        <v>59844155</v>
      </c>
      <c r="C22">
        <v>59844431</v>
      </c>
      <c r="D22">
        <v>42435265</v>
      </c>
      <c r="E22">
        <v>1</v>
      </c>
      <c r="F22">
        <v>1</v>
      </c>
      <c r="G22">
        <v>1</v>
      </c>
      <c r="H22">
        <v>3</v>
      </c>
      <c r="I22" t="s">
        <v>247</v>
      </c>
      <c r="J22" t="s">
        <v>248</v>
      </c>
      <c r="K22" t="s">
        <v>249</v>
      </c>
      <c r="L22">
        <v>1348</v>
      </c>
      <c r="N22">
        <v>1009</v>
      </c>
      <c r="O22" t="s">
        <v>32</v>
      </c>
      <c r="P22" t="s">
        <v>32</v>
      </c>
      <c r="Q22">
        <v>1000</v>
      </c>
      <c r="W22">
        <v>0</v>
      </c>
      <c r="X22">
        <v>-1340402651</v>
      </c>
      <c r="Y22">
        <v>4.5999999999999999E-2</v>
      </c>
      <c r="AA22">
        <v>4605.32</v>
      </c>
      <c r="AB22">
        <v>0</v>
      </c>
      <c r="AC22">
        <v>0</v>
      </c>
      <c r="AD22">
        <v>0</v>
      </c>
      <c r="AE22">
        <v>734.5</v>
      </c>
      <c r="AF22">
        <v>0</v>
      </c>
      <c r="AG22">
        <v>0</v>
      </c>
      <c r="AH22">
        <v>0</v>
      </c>
      <c r="AI22">
        <v>6.27</v>
      </c>
      <c r="AJ22">
        <v>1</v>
      </c>
      <c r="AK22">
        <v>1</v>
      </c>
      <c r="AL22">
        <v>1</v>
      </c>
      <c r="AN22">
        <v>0</v>
      </c>
      <c r="AO22">
        <v>1</v>
      </c>
      <c r="AP22">
        <v>0</v>
      </c>
      <c r="AQ22">
        <v>0</v>
      </c>
      <c r="AR22">
        <v>0</v>
      </c>
      <c r="AS22" t="s">
        <v>3</v>
      </c>
      <c r="AT22">
        <v>4.5999999999999999E-2</v>
      </c>
      <c r="AU22" t="s">
        <v>3</v>
      </c>
      <c r="AV22">
        <v>0</v>
      </c>
      <c r="AW22">
        <v>2</v>
      </c>
      <c r="AX22">
        <v>59844452</v>
      </c>
      <c r="AY22">
        <v>1</v>
      </c>
      <c r="AZ22">
        <v>0</v>
      </c>
      <c r="BA22">
        <v>21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CX22">
        <f>Y22*Source!I32</f>
        <v>1.3569999999999999E-3</v>
      </c>
      <c r="CY22">
        <f t="shared" si="5"/>
        <v>4605.32</v>
      </c>
      <c r="CZ22">
        <f t="shared" si="6"/>
        <v>734.5</v>
      </c>
      <c r="DA22">
        <f t="shared" si="7"/>
        <v>6.27</v>
      </c>
      <c r="DB22">
        <f t="shared" si="8"/>
        <v>33.79</v>
      </c>
      <c r="DC22">
        <f t="shared" si="9"/>
        <v>0</v>
      </c>
    </row>
    <row r="23" spans="1:107" x14ac:dyDescent="0.2">
      <c r="A23">
        <f>ROW(Source!A32)</f>
        <v>32</v>
      </c>
      <c r="B23">
        <v>59844155</v>
      </c>
      <c r="C23">
        <v>59844431</v>
      </c>
      <c r="D23">
        <v>42436062</v>
      </c>
      <c r="E23">
        <v>1</v>
      </c>
      <c r="F23">
        <v>1</v>
      </c>
      <c r="G23">
        <v>1</v>
      </c>
      <c r="H23">
        <v>3</v>
      </c>
      <c r="I23" t="s">
        <v>250</v>
      </c>
      <c r="J23" t="s">
        <v>251</v>
      </c>
      <c r="K23" t="s">
        <v>252</v>
      </c>
      <c r="L23">
        <v>1339</v>
      </c>
      <c r="N23">
        <v>1007</v>
      </c>
      <c r="O23" t="s">
        <v>41</v>
      </c>
      <c r="P23" t="s">
        <v>43</v>
      </c>
      <c r="Q23">
        <v>1</v>
      </c>
      <c r="W23">
        <v>0</v>
      </c>
      <c r="X23">
        <v>619799737</v>
      </c>
      <c r="Y23">
        <v>2.9369999999999998</v>
      </c>
      <c r="AA23">
        <v>21.28</v>
      </c>
      <c r="AB23">
        <v>0</v>
      </c>
      <c r="AC23">
        <v>0</v>
      </c>
      <c r="AD23">
        <v>0</v>
      </c>
      <c r="AE23">
        <v>2.44</v>
      </c>
      <c r="AF23">
        <v>0</v>
      </c>
      <c r="AG23">
        <v>0</v>
      </c>
      <c r="AH23">
        <v>0</v>
      </c>
      <c r="AI23">
        <v>8.7200000000000006</v>
      </c>
      <c r="AJ23">
        <v>1</v>
      </c>
      <c r="AK23">
        <v>1</v>
      </c>
      <c r="AL23">
        <v>1</v>
      </c>
      <c r="AN23">
        <v>0</v>
      </c>
      <c r="AO23">
        <v>1</v>
      </c>
      <c r="AP23">
        <v>0</v>
      </c>
      <c r="AQ23">
        <v>0</v>
      </c>
      <c r="AR23">
        <v>0</v>
      </c>
      <c r="AS23" t="s">
        <v>3</v>
      </c>
      <c r="AT23">
        <v>2.9369999999999998</v>
      </c>
      <c r="AU23" t="s">
        <v>3</v>
      </c>
      <c r="AV23">
        <v>0</v>
      </c>
      <c r="AW23">
        <v>2</v>
      </c>
      <c r="AX23">
        <v>59844453</v>
      </c>
      <c r="AY23">
        <v>1</v>
      </c>
      <c r="AZ23">
        <v>0</v>
      </c>
      <c r="BA23">
        <v>22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CX23">
        <f>Y23*Source!I32</f>
        <v>8.6641499999999996E-2</v>
      </c>
      <c r="CY23">
        <f t="shared" si="5"/>
        <v>21.28</v>
      </c>
      <c r="CZ23">
        <f t="shared" si="6"/>
        <v>2.44</v>
      </c>
      <c r="DA23">
        <f t="shared" si="7"/>
        <v>8.7200000000000006</v>
      </c>
      <c r="DB23">
        <f t="shared" si="8"/>
        <v>7.17</v>
      </c>
      <c r="DC23">
        <f t="shared" si="9"/>
        <v>0</v>
      </c>
    </row>
    <row r="24" spans="1:107" x14ac:dyDescent="0.2">
      <c r="A24">
        <f>ROW(Source!A32)</f>
        <v>32</v>
      </c>
      <c r="B24">
        <v>59844155</v>
      </c>
      <c r="C24">
        <v>59844431</v>
      </c>
      <c r="D24">
        <v>0</v>
      </c>
      <c r="E24">
        <v>0</v>
      </c>
      <c r="F24">
        <v>1</v>
      </c>
      <c r="G24">
        <v>1</v>
      </c>
      <c r="H24">
        <v>3</v>
      </c>
      <c r="I24" t="s">
        <v>45</v>
      </c>
      <c r="J24" t="s">
        <v>3</v>
      </c>
      <c r="K24" t="s">
        <v>46</v>
      </c>
      <c r="L24">
        <v>2437</v>
      </c>
      <c r="N24">
        <v>1013</v>
      </c>
      <c r="O24" t="s">
        <v>47</v>
      </c>
      <c r="P24" t="s">
        <v>47</v>
      </c>
      <c r="Q24">
        <v>1</v>
      </c>
      <c r="W24">
        <v>0</v>
      </c>
      <c r="X24">
        <v>-1565119468</v>
      </c>
      <c r="Y24">
        <v>101.69491499999999</v>
      </c>
      <c r="AA24">
        <v>4441.25</v>
      </c>
      <c r="AB24">
        <v>0</v>
      </c>
      <c r="AC24">
        <v>0</v>
      </c>
      <c r="AD24">
        <v>0</v>
      </c>
      <c r="AE24">
        <v>4441.25</v>
      </c>
      <c r="AF24">
        <v>0</v>
      </c>
      <c r="AG24">
        <v>0</v>
      </c>
      <c r="AH24">
        <v>0</v>
      </c>
      <c r="AI24">
        <v>1</v>
      </c>
      <c r="AJ24">
        <v>1</v>
      </c>
      <c r="AK24">
        <v>1</v>
      </c>
      <c r="AL24">
        <v>1</v>
      </c>
      <c r="AN24">
        <v>0</v>
      </c>
      <c r="AO24">
        <v>0</v>
      </c>
      <c r="AP24">
        <v>0</v>
      </c>
      <c r="AQ24">
        <v>0</v>
      </c>
      <c r="AR24">
        <v>0</v>
      </c>
      <c r="AS24" t="s">
        <v>3</v>
      </c>
      <c r="AT24">
        <v>101.69491499999999</v>
      </c>
      <c r="AU24" t="s">
        <v>3</v>
      </c>
      <c r="AV24">
        <v>0</v>
      </c>
      <c r="AW24">
        <v>1</v>
      </c>
      <c r="AX24">
        <v>-1</v>
      </c>
      <c r="AY24">
        <v>0</v>
      </c>
      <c r="AZ24">
        <v>0</v>
      </c>
      <c r="BA24" t="s">
        <v>3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CX24">
        <f>Y24*Source!I32</f>
        <v>2.9999999924999998</v>
      </c>
      <c r="CY24">
        <f t="shared" si="5"/>
        <v>4441.25</v>
      </c>
      <c r="CZ24">
        <f t="shared" si="6"/>
        <v>4441.25</v>
      </c>
      <c r="DA24">
        <f t="shared" si="7"/>
        <v>1</v>
      </c>
      <c r="DB24">
        <f t="shared" si="8"/>
        <v>451652.54</v>
      </c>
      <c r="DC24">
        <f t="shared" si="9"/>
        <v>0</v>
      </c>
    </row>
    <row r="25" spans="1:107" x14ac:dyDescent="0.2">
      <c r="A25">
        <f>ROW(Source!A37)</f>
        <v>37</v>
      </c>
      <c r="B25">
        <v>59844155</v>
      </c>
      <c r="C25">
        <v>59844462</v>
      </c>
      <c r="D25">
        <v>42651183</v>
      </c>
      <c r="E25">
        <v>1</v>
      </c>
      <c r="F25">
        <v>1</v>
      </c>
      <c r="G25">
        <v>1</v>
      </c>
      <c r="H25">
        <v>1</v>
      </c>
      <c r="I25" t="s">
        <v>253</v>
      </c>
      <c r="J25" t="s">
        <v>3</v>
      </c>
      <c r="K25" t="s">
        <v>254</v>
      </c>
      <c r="L25">
        <v>1369</v>
      </c>
      <c r="N25">
        <v>1013</v>
      </c>
      <c r="O25" t="s">
        <v>194</v>
      </c>
      <c r="P25" t="s">
        <v>194</v>
      </c>
      <c r="Q25">
        <v>1</v>
      </c>
      <c r="W25">
        <v>0</v>
      </c>
      <c r="X25">
        <v>276027117</v>
      </c>
      <c r="Y25">
        <v>20.9</v>
      </c>
      <c r="AA25">
        <v>0</v>
      </c>
      <c r="AB25">
        <v>0</v>
      </c>
      <c r="AC25">
        <v>0</v>
      </c>
      <c r="AD25">
        <v>9.18</v>
      </c>
      <c r="AE25">
        <v>0</v>
      </c>
      <c r="AF25">
        <v>0</v>
      </c>
      <c r="AG25">
        <v>0</v>
      </c>
      <c r="AH25">
        <v>9.18</v>
      </c>
      <c r="AI25">
        <v>1</v>
      </c>
      <c r="AJ25">
        <v>1</v>
      </c>
      <c r="AK25">
        <v>1</v>
      </c>
      <c r="AL25">
        <v>1</v>
      </c>
      <c r="AN25">
        <v>0</v>
      </c>
      <c r="AO25">
        <v>1</v>
      </c>
      <c r="AP25">
        <v>0</v>
      </c>
      <c r="AQ25">
        <v>0</v>
      </c>
      <c r="AR25">
        <v>0</v>
      </c>
      <c r="AS25" t="s">
        <v>3</v>
      </c>
      <c r="AT25">
        <v>20.9</v>
      </c>
      <c r="AU25" t="s">
        <v>3</v>
      </c>
      <c r="AV25">
        <v>1</v>
      </c>
      <c r="AW25">
        <v>2</v>
      </c>
      <c r="AX25">
        <v>59844463</v>
      </c>
      <c r="AY25">
        <v>1</v>
      </c>
      <c r="AZ25">
        <v>0</v>
      </c>
      <c r="BA25">
        <v>23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CX25">
        <f>Y25*Source!I37</f>
        <v>41.8</v>
      </c>
      <c r="CY25">
        <f>AD25</f>
        <v>9.18</v>
      </c>
      <c r="CZ25">
        <f>AH25</f>
        <v>9.18</v>
      </c>
      <c r="DA25">
        <f>AL25</f>
        <v>1</v>
      </c>
      <c r="DB25">
        <f t="shared" si="8"/>
        <v>191.86</v>
      </c>
      <c r="DC25">
        <f t="shared" si="9"/>
        <v>0</v>
      </c>
    </row>
    <row r="26" spans="1:107" x14ac:dyDescent="0.2">
      <c r="A26">
        <f>ROW(Source!A37)</f>
        <v>37</v>
      </c>
      <c r="B26">
        <v>59844155</v>
      </c>
      <c r="C26">
        <v>59844462</v>
      </c>
      <c r="D26">
        <v>121548</v>
      </c>
      <c r="E26">
        <v>1</v>
      </c>
      <c r="F26">
        <v>1</v>
      </c>
      <c r="G26">
        <v>1</v>
      </c>
      <c r="H26">
        <v>1</v>
      </c>
      <c r="I26" t="s">
        <v>49</v>
      </c>
      <c r="J26" t="s">
        <v>3</v>
      </c>
      <c r="K26" t="s">
        <v>195</v>
      </c>
      <c r="L26">
        <v>608254</v>
      </c>
      <c r="N26">
        <v>1013</v>
      </c>
      <c r="O26" t="s">
        <v>196</v>
      </c>
      <c r="P26" t="s">
        <v>196</v>
      </c>
      <c r="Q26">
        <v>1</v>
      </c>
      <c r="W26">
        <v>0</v>
      </c>
      <c r="X26">
        <v>-185737400</v>
      </c>
      <c r="Y26">
        <v>0.3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1</v>
      </c>
      <c r="AJ26">
        <v>1</v>
      </c>
      <c r="AK26">
        <v>1</v>
      </c>
      <c r="AL26">
        <v>1</v>
      </c>
      <c r="AN26">
        <v>0</v>
      </c>
      <c r="AO26">
        <v>1</v>
      </c>
      <c r="AP26">
        <v>0</v>
      </c>
      <c r="AQ26">
        <v>0</v>
      </c>
      <c r="AR26">
        <v>0</v>
      </c>
      <c r="AS26" t="s">
        <v>3</v>
      </c>
      <c r="AT26">
        <v>0.3</v>
      </c>
      <c r="AU26" t="s">
        <v>3</v>
      </c>
      <c r="AV26">
        <v>2</v>
      </c>
      <c r="AW26">
        <v>2</v>
      </c>
      <c r="AX26">
        <v>59844464</v>
      </c>
      <c r="AY26">
        <v>1</v>
      </c>
      <c r="AZ26">
        <v>0</v>
      </c>
      <c r="BA26">
        <v>24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CX26">
        <f>Y26*Source!I37</f>
        <v>0.6</v>
      </c>
      <c r="CY26">
        <f>AD26</f>
        <v>0</v>
      </c>
      <c r="CZ26">
        <f>AH26</f>
        <v>0</v>
      </c>
      <c r="DA26">
        <f>AL26</f>
        <v>1</v>
      </c>
      <c r="DB26">
        <f t="shared" si="8"/>
        <v>0</v>
      </c>
      <c r="DC26">
        <f t="shared" si="9"/>
        <v>0</v>
      </c>
    </row>
    <row r="27" spans="1:107" x14ac:dyDescent="0.2">
      <c r="A27">
        <f>ROW(Source!A37)</f>
        <v>37</v>
      </c>
      <c r="B27">
        <v>59844155</v>
      </c>
      <c r="C27">
        <v>59844462</v>
      </c>
      <c r="D27">
        <v>42458408</v>
      </c>
      <c r="E27">
        <v>1</v>
      </c>
      <c r="F27">
        <v>1</v>
      </c>
      <c r="G27">
        <v>1</v>
      </c>
      <c r="H27">
        <v>2</v>
      </c>
      <c r="I27" t="s">
        <v>255</v>
      </c>
      <c r="J27" t="s">
        <v>256</v>
      </c>
      <c r="K27" t="s">
        <v>257</v>
      </c>
      <c r="L27">
        <v>1368</v>
      </c>
      <c r="N27">
        <v>1011</v>
      </c>
      <c r="O27" t="s">
        <v>200</v>
      </c>
      <c r="P27" t="s">
        <v>200</v>
      </c>
      <c r="Q27">
        <v>1</v>
      </c>
      <c r="W27">
        <v>0</v>
      </c>
      <c r="X27">
        <v>63594071</v>
      </c>
      <c r="Y27">
        <v>0.06</v>
      </c>
      <c r="AA27">
        <v>0</v>
      </c>
      <c r="AB27">
        <v>901.01</v>
      </c>
      <c r="AC27">
        <v>399.2</v>
      </c>
      <c r="AD27">
        <v>0</v>
      </c>
      <c r="AE27">
        <v>0</v>
      </c>
      <c r="AF27">
        <v>99.78</v>
      </c>
      <c r="AG27">
        <v>13.5</v>
      </c>
      <c r="AH27">
        <v>0</v>
      </c>
      <c r="AI27">
        <v>1</v>
      </c>
      <c r="AJ27">
        <v>9.0299999999999994</v>
      </c>
      <c r="AK27">
        <v>29.57</v>
      </c>
      <c r="AL27">
        <v>1</v>
      </c>
      <c r="AN27">
        <v>0</v>
      </c>
      <c r="AO27">
        <v>1</v>
      </c>
      <c r="AP27">
        <v>0</v>
      </c>
      <c r="AQ27">
        <v>0</v>
      </c>
      <c r="AR27">
        <v>0</v>
      </c>
      <c r="AS27" t="s">
        <v>3</v>
      </c>
      <c r="AT27">
        <v>0.06</v>
      </c>
      <c r="AU27" t="s">
        <v>3</v>
      </c>
      <c r="AV27">
        <v>0</v>
      </c>
      <c r="AW27">
        <v>2</v>
      </c>
      <c r="AX27">
        <v>59844465</v>
      </c>
      <c r="AY27">
        <v>1</v>
      </c>
      <c r="AZ27">
        <v>0</v>
      </c>
      <c r="BA27">
        <v>25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CX27">
        <f>Y27*Source!I37</f>
        <v>0.12</v>
      </c>
      <c r="CY27">
        <f t="shared" ref="CY27:CY32" si="10">AB27</f>
        <v>901.01</v>
      </c>
      <c r="CZ27">
        <f t="shared" ref="CZ27:CZ32" si="11">AF27</f>
        <v>99.78</v>
      </c>
      <c r="DA27">
        <f t="shared" ref="DA27:DA32" si="12">AJ27</f>
        <v>9.0299999999999994</v>
      </c>
      <c r="DB27">
        <f t="shared" si="8"/>
        <v>5.99</v>
      </c>
      <c r="DC27">
        <f t="shared" si="9"/>
        <v>0.81</v>
      </c>
    </row>
    <row r="28" spans="1:107" x14ac:dyDescent="0.2">
      <c r="A28">
        <f>ROW(Source!A37)</f>
        <v>37</v>
      </c>
      <c r="B28">
        <v>59844155</v>
      </c>
      <c r="C28">
        <v>59844462</v>
      </c>
      <c r="D28">
        <v>42458448</v>
      </c>
      <c r="E28">
        <v>1</v>
      </c>
      <c r="F28">
        <v>1</v>
      </c>
      <c r="G28">
        <v>1</v>
      </c>
      <c r="H28">
        <v>2</v>
      </c>
      <c r="I28" t="s">
        <v>258</v>
      </c>
      <c r="J28" t="s">
        <v>259</v>
      </c>
      <c r="K28" t="s">
        <v>260</v>
      </c>
      <c r="L28">
        <v>1368</v>
      </c>
      <c r="N28">
        <v>1011</v>
      </c>
      <c r="O28" t="s">
        <v>200</v>
      </c>
      <c r="P28" t="s">
        <v>200</v>
      </c>
      <c r="Q28">
        <v>1</v>
      </c>
      <c r="W28">
        <v>0</v>
      </c>
      <c r="X28">
        <v>1279587063</v>
      </c>
      <c r="Y28">
        <v>0.24</v>
      </c>
      <c r="AA28">
        <v>0</v>
      </c>
      <c r="AB28">
        <v>954.84</v>
      </c>
      <c r="AC28">
        <v>399.2</v>
      </c>
      <c r="AD28">
        <v>0</v>
      </c>
      <c r="AE28">
        <v>0</v>
      </c>
      <c r="AF28">
        <v>131.16</v>
      </c>
      <c r="AG28">
        <v>13.5</v>
      </c>
      <c r="AH28">
        <v>0</v>
      </c>
      <c r="AI28">
        <v>1</v>
      </c>
      <c r="AJ28">
        <v>7.28</v>
      </c>
      <c r="AK28">
        <v>29.57</v>
      </c>
      <c r="AL28">
        <v>1</v>
      </c>
      <c r="AN28">
        <v>0</v>
      </c>
      <c r="AO28">
        <v>1</v>
      </c>
      <c r="AP28">
        <v>0</v>
      </c>
      <c r="AQ28">
        <v>0</v>
      </c>
      <c r="AR28">
        <v>0</v>
      </c>
      <c r="AS28" t="s">
        <v>3</v>
      </c>
      <c r="AT28">
        <v>0.24</v>
      </c>
      <c r="AU28" t="s">
        <v>3</v>
      </c>
      <c r="AV28">
        <v>0</v>
      </c>
      <c r="AW28">
        <v>2</v>
      </c>
      <c r="AX28">
        <v>59844466</v>
      </c>
      <c r="AY28">
        <v>1</v>
      </c>
      <c r="AZ28">
        <v>0</v>
      </c>
      <c r="BA28">
        <v>26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CX28">
        <f>Y28*Source!I37</f>
        <v>0.48</v>
      </c>
      <c r="CY28">
        <f t="shared" si="10"/>
        <v>954.84</v>
      </c>
      <c r="CZ28">
        <f t="shared" si="11"/>
        <v>131.16</v>
      </c>
      <c r="DA28">
        <f t="shared" si="12"/>
        <v>7.28</v>
      </c>
      <c r="DB28">
        <f t="shared" si="8"/>
        <v>31.48</v>
      </c>
      <c r="DC28">
        <f t="shared" si="9"/>
        <v>3.24</v>
      </c>
    </row>
    <row r="29" spans="1:107" x14ac:dyDescent="0.2">
      <c r="A29">
        <f>ROW(Source!A37)</f>
        <v>37</v>
      </c>
      <c r="B29">
        <v>59844155</v>
      </c>
      <c r="C29">
        <v>59844462</v>
      </c>
      <c r="D29">
        <v>42458679</v>
      </c>
      <c r="E29">
        <v>1</v>
      </c>
      <c r="F29">
        <v>1</v>
      </c>
      <c r="G29">
        <v>1</v>
      </c>
      <c r="H29">
        <v>2</v>
      </c>
      <c r="I29" t="s">
        <v>207</v>
      </c>
      <c r="J29" t="s">
        <v>208</v>
      </c>
      <c r="K29" t="s">
        <v>209</v>
      </c>
      <c r="L29">
        <v>1368</v>
      </c>
      <c r="N29">
        <v>1011</v>
      </c>
      <c r="O29" t="s">
        <v>200</v>
      </c>
      <c r="P29" t="s">
        <v>200</v>
      </c>
      <c r="Q29">
        <v>1</v>
      </c>
      <c r="W29">
        <v>0</v>
      </c>
      <c r="X29">
        <v>1474986261</v>
      </c>
      <c r="Y29">
        <v>2.9</v>
      </c>
      <c r="AA29">
        <v>0</v>
      </c>
      <c r="AB29">
        <v>58.48</v>
      </c>
      <c r="AC29">
        <v>0</v>
      </c>
      <c r="AD29">
        <v>0</v>
      </c>
      <c r="AE29">
        <v>0</v>
      </c>
      <c r="AF29">
        <v>8.1</v>
      </c>
      <c r="AG29">
        <v>0</v>
      </c>
      <c r="AH29">
        <v>0</v>
      </c>
      <c r="AI29">
        <v>1</v>
      </c>
      <c r="AJ29">
        <v>7.22</v>
      </c>
      <c r="AK29">
        <v>29.57</v>
      </c>
      <c r="AL29">
        <v>1</v>
      </c>
      <c r="AN29">
        <v>0</v>
      </c>
      <c r="AO29">
        <v>1</v>
      </c>
      <c r="AP29">
        <v>0</v>
      </c>
      <c r="AQ29">
        <v>0</v>
      </c>
      <c r="AR29">
        <v>0</v>
      </c>
      <c r="AS29" t="s">
        <v>3</v>
      </c>
      <c r="AT29">
        <v>2.9</v>
      </c>
      <c r="AU29" t="s">
        <v>3</v>
      </c>
      <c r="AV29">
        <v>0</v>
      </c>
      <c r="AW29">
        <v>2</v>
      </c>
      <c r="AX29">
        <v>59844467</v>
      </c>
      <c r="AY29">
        <v>1</v>
      </c>
      <c r="AZ29">
        <v>0</v>
      </c>
      <c r="BA29">
        <v>27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CX29">
        <f>Y29*Source!I37</f>
        <v>5.8</v>
      </c>
      <c r="CY29">
        <f t="shared" si="10"/>
        <v>58.48</v>
      </c>
      <c r="CZ29">
        <f t="shared" si="11"/>
        <v>8.1</v>
      </c>
      <c r="DA29">
        <f t="shared" si="12"/>
        <v>7.22</v>
      </c>
      <c r="DB29">
        <f t="shared" si="8"/>
        <v>23.49</v>
      </c>
      <c r="DC29">
        <f t="shared" si="9"/>
        <v>0</v>
      </c>
    </row>
    <row r="30" spans="1:107" x14ac:dyDescent="0.2">
      <c r="A30">
        <f>ROW(Source!A37)</f>
        <v>37</v>
      </c>
      <c r="B30">
        <v>59844155</v>
      </c>
      <c r="C30">
        <v>59844462</v>
      </c>
      <c r="D30">
        <v>42458681</v>
      </c>
      <c r="E30">
        <v>1</v>
      </c>
      <c r="F30">
        <v>1</v>
      </c>
      <c r="G30">
        <v>1</v>
      </c>
      <c r="H30">
        <v>2</v>
      </c>
      <c r="I30" t="s">
        <v>261</v>
      </c>
      <c r="J30" t="s">
        <v>262</v>
      </c>
      <c r="K30" t="s">
        <v>263</v>
      </c>
      <c r="L30">
        <v>1368</v>
      </c>
      <c r="N30">
        <v>1011</v>
      </c>
      <c r="O30" t="s">
        <v>200</v>
      </c>
      <c r="P30" t="s">
        <v>200</v>
      </c>
      <c r="Q30">
        <v>1</v>
      </c>
      <c r="W30">
        <v>0</v>
      </c>
      <c r="X30">
        <v>1514068676</v>
      </c>
      <c r="Y30">
        <v>0.17</v>
      </c>
      <c r="AA30">
        <v>0</v>
      </c>
      <c r="AB30">
        <v>8.5399999999999991</v>
      </c>
      <c r="AC30">
        <v>0</v>
      </c>
      <c r="AD30">
        <v>0</v>
      </c>
      <c r="AE30">
        <v>0</v>
      </c>
      <c r="AF30">
        <v>1.2</v>
      </c>
      <c r="AG30">
        <v>0</v>
      </c>
      <c r="AH30">
        <v>0</v>
      </c>
      <c r="AI30">
        <v>1</v>
      </c>
      <c r="AJ30">
        <v>7.12</v>
      </c>
      <c r="AK30">
        <v>29.57</v>
      </c>
      <c r="AL30">
        <v>1</v>
      </c>
      <c r="AN30">
        <v>0</v>
      </c>
      <c r="AO30">
        <v>1</v>
      </c>
      <c r="AP30">
        <v>0</v>
      </c>
      <c r="AQ30">
        <v>0</v>
      </c>
      <c r="AR30">
        <v>0</v>
      </c>
      <c r="AS30" t="s">
        <v>3</v>
      </c>
      <c r="AT30">
        <v>0.17</v>
      </c>
      <c r="AU30" t="s">
        <v>3</v>
      </c>
      <c r="AV30">
        <v>0</v>
      </c>
      <c r="AW30">
        <v>2</v>
      </c>
      <c r="AX30">
        <v>59844468</v>
      </c>
      <c r="AY30">
        <v>1</v>
      </c>
      <c r="AZ30">
        <v>0</v>
      </c>
      <c r="BA30">
        <v>28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CX30">
        <f>Y30*Source!I37</f>
        <v>0.34</v>
      </c>
      <c r="CY30">
        <f t="shared" si="10"/>
        <v>8.5399999999999991</v>
      </c>
      <c r="CZ30">
        <f t="shared" si="11"/>
        <v>1.2</v>
      </c>
      <c r="DA30">
        <f t="shared" si="12"/>
        <v>7.12</v>
      </c>
      <c r="DB30">
        <f t="shared" si="8"/>
        <v>0.2</v>
      </c>
      <c r="DC30">
        <f t="shared" si="9"/>
        <v>0</v>
      </c>
    </row>
    <row r="31" spans="1:107" x14ac:dyDescent="0.2">
      <c r="A31">
        <f>ROW(Source!A37)</f>
        <v>37</v>
      </c>
      <c r="B31">
        <v>59844155</v>
      </c>
      <c r="C31">
        <v>59844462</v>
      </c>
      <c r="D31">
        <v>42460530</v>
      </c>
      <c r="E31">
        <v>1</v>
      </c>
      <c r="F31">
        <v>1</v>
      </c>
      <c r="G31">
        <v>1</v>
      </c>
      <c r="H31">
        <v>2</v>
      </c>
      <c r="I31" t="s">
        <v>264</v>
      </c>
      <c r="J31" t="s">
        <v>265</v>
      </c>
      <c r="K31" t="s">
        <v>266</v>
      </c>
      <c r="L31">
        <v>1368</v>
      </c>
      <c r="N31">
        <v>1011</v>
      </c>
      <c r="O31" t="s">
        <v>200</v>
      </c>
      <c r="P31" t="s">
        <v>200</v>
      </c>
      <c r="Q31">
        <v>1</v>
      </c>
      <c r="W31">
        <v>0</v>
      </c>
      <c r="X31">
        <v>-144556207</v>
      </c>
      <c r="Y31">
        <v>2.88</v>
      </c>
      <c r="AA31">
        <v>0</v>
      </c>
      <c r="AB31">
        <v>18.010000000000002</v>
      </c>
      <c r="AC31">
        <v>0</v>
      </c>
      <c r="AD31">
        <v>0</v>
      </c>
      <c r="AE31">
        <v>0</v>
      </c>
      <c r="AF31">
        <v>5.13</v>
      </c>
      <c r="AG31">
        <v>0</v>
      </c>
      <c r="AH31">
        <v>0</v>
      </c>
      <c r="AI31">
        <v>1</v>
      </c>
      <c r="AJ31">
        <v>3.51</v>
      </c>
      <c r="AK31">
        <v>29.57</v>
      </c>
      <c r="AL31">
        <v>1</v>
      </c>
      <c r="AN31">
        <v>0</v>
      </c>
      <c r="AO31">
        <v>1</v>
      </c>
      <c r="AP31">
        <v>0</v>
      </c>
      <c r="AQ31">
        <v>0</v>
      </c>
      <c r="AR31">
        <v>0</v>
      </c>
      <c r="AS31" t="s">
        <v>3</v>
      </c>
      <c r="AT31">
        <v>2.88</v>
      </c>
      <c r="AU31" t="s">
        <v>3</v>
      </c>
      <c r="AV31">
        <v>0</v>
      </c>
      <c r="AW31">
        <v>2</v>
      </c>
      <c r="AX31">
        <v>59844469</v>
      </c>
      <c r="AY31">
        <v>1</v>
      </c>
      <c r="AZ31">
        <v>0</v>
      </c>
      <c r="BA31">
        <v>29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CX31">
        <f>Y31*Source!I37</f>
        <v>5.76</v>
      </c>
      <c r="CY31">
        <f t="shared" si="10"/>
        <v>18.010000000000002</v>
      </c>
      <c r="CZ31">
        <f t="shared" si="11"/>
        <v>5.13</v>
      </c>
      <c r="DA31">
        <f t="shared" si="12"/>
        <v>3.51</v>
      </c>
      <c r="DB31">
        <f t="shared" si="8"/>
        <v>14.77</v>
      </c>
      <c r="DC31">
        <f t="shared" si="9"/>
        <v>0</v>
      </c>
    </row>
    <row r="32" spans="1:107" x14ac:dyDescent="0.2">
      <c r="A32">
        <f>ROW(Source!A37)</f>
        <v>37</v>
      </c>
      <c r="B32">
        <v>59844155</v>
      </c>
      <c r="C32">
        <v>59844462</v>
      </c>
      <c r="D32">
        <v>42460936</v>
      </c>
      <c r="E32">
        <v>1</v>
      </c>
      <c r="F32">
        <v>1</v>
      </c>
      <c r="G32">
        <v>1</v>
      </c>
      <c r="H32">
        <v>2</v>
      </c>
      <c r="I32" t="s">
        <v>216</v>
      </c>
      <c r="J32" t="s">
        <v>217</v>
      </c>
      <c r="K32" t="s">
        <v>218</v>
      </c>
      <c r="L32">
        <v>1368</v>
      </c>
      <c r="N32">
        <v>1011</v>
      </c>
      <c r="O32" t="s">
        <v>200</v>
      </c>
      <c r="P32" t="s">
        <v>200</v>
      </c>
      <c r="Q32">
        <v>1</v>
      </c>
      <c r="W32">
        <v>0</v>
      </c>
      <c r="X32">
        <v>1230759911</v>
      </c>
      <c r="Y32">
        <v>0.05</v>
      </c>
      <c r="AA32">
        <v>0</v>
      </c>
      <c r="AB32">
        <v>858.62</v>
      </c>
      <c r="AC32">
        <v>343.01</v>
      </c>
      <c r="AD32">
        <v>0</v>
      </c>
      <c r="AE32">
        <v>0</v>
      </c>
      <c r="AF32">
        <v>87.17</v>
      </c>
      <c r="AG32">
        <v>11.6</v>
      </c>
      <c r="AH32">
        <v>0</v>
      </c>
      <c r="AI32">
        <v>1</v>
      </c>
      <c r="AJ32">
        <v>9.85</v>
      </c>
      <c r="AK32">
        <v>29.57</v>
      </c>
      <c r="AL32">
        <v>1</v>
      </c>
      <c r="AN32">
        <v>0</v>
      </c>
      <c r="AO32">
        <v>1</v>
      </c>
      <c r="AP32">
        <v>0</v>
      </c>
      <c r="AQ32">
        <v>0</v>
      </c>
      <c r="AR32">
        <v>0</v>
      </c>
      <c r="AS32" t="s">
        <v>3</v>
      </c>
      <c r="AT32">
        <v>0.05</v>
      </c>
      <c r="AU32" t="s">
        <v>3</v>
      </c>
      <c r="AV32">
        <v>0</v>
      </c>
      <c r="AW32">
        <v>2</v>
      </c>
      <c r="AX32">
        <v>59844470</v>
      </c>
      <c r="AY32">
        <v>1</v>
      </c>
      <c r="AZ32">
        <v>0</v>
      </c>
      <c r="BA32">
        <v>30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CX32">
        <f>Y32*Source!I37</f>
        <v>0.1</v>
      </c>
      <c r="CY32">
        <f t="shared" si="10"/>
        <v>858.62</v>
      </c>
      <c r="CZ32">
        <f t="shared" si="11"/>
        <v>87.17</v>
      </c>
      <c r="DA32">
        <f t="shared" si="12"/>
        <v>9.85</v>
      </c>
      <c r="DB32">
        <f t="shared" si="8"/>
        <v>4.3600000000000003</v>
      </c>
      <c r="DC32">
        <f t="shared" si="9"/>
        <v>0.57999999999999996</v>
      </c>
    </row>
    <row r="33" spans="1:107" x14ac:dyDescent="0.2">
      <c r="A33">
        <f>ROW(Source!A37)</f>
        <v>37</v>
      </c>
      <c r="B33">
        <v>59844155</v>
      </c>
      <c r="C33">
        <v>59844462</v>
      </c>
      <c r="D33">
        <v>42393463</v>
      </c>
      <c r="E33">
        <v>1</v>
      </c>
      <c r="F33">
        <v>1</v>
      </c>
      <c r="G33">
        <v>1</v>
      </c>
      <c r="H33">
        <v>3</v>
      </c>
      <c r="I33" t="s">
        <v>267</v>
      </c>
      <c r="J33" t="s">
        <v>268</v>
      </c>
      <c r="K33" t="s">
        <v>269</v>
      </c>
      <c r="L33">
        <v>1339</v>
      </c>
      <c r="N33">
        <v>1007</v>
      </c>
      <c r="O33" t="s">
        <v>41</v>
      </c>
      <c r="P33" t="s">
        <v>43</v>
      </c>
      <c r="Q33">
        <v>1</v>
      </c>
      <c r="W33">
        <v>0</v>
      </c>
      <c r="X33">
        <v>-756465305</v>
      </c>
      <c r="Y33">
        <v>1.4</v>
      </c>
      <c r="AA33">
        <v>54.26</v>
      </c>
      <c r="AB33">
        <v>0</v>
      </c>
      <c r="AC33">
        <v>0</v>
      </c>
      <c r="AD33">
        <v>0</v>
      </c>
      <c r="AE33">
        <v>6.23</v>
      </c>
      <c r="AF33">
        <v>0</v>
      </c>
      <c r="AG33">
        <v>0</v>
      </c>
      <c r="AH33">
        <v>0</v>
      </c>
      <c r="AI33">
        <v>8.7100000000000009</v>
      </c>
      <c r="AJ33">
        <v>1</v>
      </c>
      <c r="AK33">
        <v>1</v>
      </c>
      <c r="AL33">
        <v>1</v>
      </c>
      <c r="AN33">
        <v>0</v>
      </c>
      <c r="AO33">
        <v>1</v>
      </c>
      <c r="AP33">
        <v>0</v>
      </c>
      <c r="AQ33">
        <v>0</v>
      </c>
      <c r="AR33">
        <v>0</v>
      </c>
      <c r="AS33" t="s">
        <v>3</v>
      </c>
      <c r="AT33">
        <v>1.4</v>
      </c>
      <c r="AU33" t="s">
        <v>3</v>
      </c>
      <c r="AV33">
        <v>0</v>
      </c>
      <c r="AW33">
        <v>2</v>
      </c>
      <c r="AX33">
        <v>59844471</v>
      </c>
      <c r="AY33">
        <v>1</v>
      </c>
      <c r="AZ33">
        <v>0</v>
      </c>
      <c r="BA33">
        <v>31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CX33">
        <f>Y33*Source!I37</f>
        <v>2.8</v>
      </c>
      <c r="CY33">
        <f>AA33</f>
        <v>54.26</v>
      </c>
      <c r="CZ33">
        <f>AE33</f>
        <v>6.23</v>
      </c>
      <c r="DA33">
        <f>AI33</f>
        <v>8.7100000000000009</v>
      </c>
      <c r="DB33">
        <f t="shared" si="8"/>
        <v>8.7200000000000006</v>
      </c>
      <c r="DC33">
        <f t="shared" si="9"/>
        <v>0</v>
      </c>
    </row>
    <row r="34" spans="1:107" x14ac:dyDescent="0.2">
      <c r="A34">
        <f>ROW(Source!A37)</f>
        <v>37</v>
      </c>
      <c r="B34">
        <v>59844155</v>
      </c>
      <c r="C34">
        <v>59844462</v>
      </c>
      <c r="D34">
        <v>42400029</v>
      </c>
      <c r="E34">
        <v>1</v>
      </c>
      <c r="F34">
        <v>1</v>
      </c>
      <c r="G34">
        <v>1</v>
      </c>
      <c r="H34">
        <v>3</v>
      </c>
      <c r="I34" t="s">
        <v>270</v>
      </c>
      <c r="J34" t="s">
        <v>271</v>
      </c>
      <c r="K34" t="s">
        <v>272</v>
      </c>
      <c r="L34">
        <v>1348</v>
      </c>
      <c r="N34">
        <v>1009</v>
      </c>
      <c r="O34" t="s">
        <v>32</v>
      </c>
      <c r="P34" t="s">
        <v>32</v>
      </c>
      <c r="Q34">
        <v>1000</v>
      </c>
      <c r="W34">
        <v>0</v>
      </c>
      <c r="X34">
        <v>913614565</v>
      </c>
      <c r="Y34">
        <v>3.5000000000000001E-3</v>
      </c>
      <c r="AA34">
        <v>93573.04</v>
      </c>
      <c r="AB34">
        <v>0</v>
      </c>
      <c r="AC34">
        <v>0</v>
      </c>
      <c r="AD34">
        <v>0</v>
      </c>
      <c r="AE34">
        <v>11623.98</v>
      </c>
      <c r="AF34">
        <v>0</v>
      </c>
      <c r="AG34">
        <v>0</v>
      </c>
      <c r="AH34">
        <v>0</v>
      </c>
      <c r="AI34">
        <v>8.0500000000000007</v>
      </c>
      <c r="AJ34">
        <v>1</v>
      </c>
      <c r="AK34">
        <v>1</v>
      </c>
      <c r="AL34">
        <v>1</v>
      </c>
      <c r="AN34">
        <v>0</v>
      </c>
      <c r="AO34">
        <v>1</v>
      </c>
      <c r="AP34">
        <v>0</v>
      </c>
      <c r="AQ34">
        <v>0</v>
      </c>
      <c r="AR34">
        <v>0</v>
      </c>
      <c r="AS34" t="s">
        <v>3</v>
      </c>
      <c r="AT34">
        <v>3.5000000000000001E-3</v>
      </c>
      <c r="AU34" t="s">
        <v>3</v>
      </c>
      <c r="AV34">
        <v>0</v>
      </c>
      <c r="AW34">
        <v>2</v>
      </c>
      <c r="AX34">
        <v>59844472</v>
      </c>
      <c r="AY34">
        <v>1</v>
      </c>
      <c r="AZ34">
        <v>0</v>
      </c>
      <c r="BA34">
        <v>32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CX34">
        <f>Y34*Source!I37</f>
        <v>7.0000000000000001E-3</v>
      </c>
      <c r="CY34">
        <f>AA34</f>
        <v>93573.04</v>
      </c>
      <c r="CZ34">
        <f>AE34</f>
        <v>11623.98</v>
      </c>
      <c r="DA34">
        <f>AI34</f>
        <v>8.0500000000000007</v>
      </c>
      <c r="DB34">
        <f t="shared" si="8"/>
        <v>40.68</v>
      </c>
      <c r="DC34">
        <f t="shared" si="9"/>
        <v>0</v>
      </c>
    </row>
    <row r="35" spans="1:107" x14ac:dyDescent="0.2">
      <c r="A35">
        <f>ROW(Source!A37)</f>
        <v>37</v>
      </c>
      <c r="B35">
        <v>59844155</v>
      </c>
      <c r="C35">
        <v>59844462</v>
      </c>
      <c r="D35">
        <v>42393466</v>
      </c>
      <c r="E35">
        <v>1</v>
      </c>
      <c r="F35">
        <v>1</v>
      </c>
      <c r="G35">
        <v>1</v>
      </c>
      <c r="H35">
        <v>3</v>
      </c>
      <c r="I35" t="s">
        <v>273</v>
      </c>
      <c r="J35" t="s">
        <v>274</v>
      </c>
      <c r="K35" t="s">
        <v>275</v>
      </c>
      <c r="L35">
        <v>1346</v>
      </c>
      <c r="N35">
        <v>1009</v>
      </c>
      <c r="O35" t="s">
        <v>276</v>
      </c>
      <c r="P35" t="s">
        <v>276</v>
      </c>
      <c r="Q35">
        <v>1</v>
      </c>
      <c r="W35">
        <v>0</v>
      </c>
      <c r="X35">
        <v>-1817527483</v>
      </c>
      <c r="Y35">
        <v>0.24</v>
      </c>
      <c r="AA35">
        <v>55.11</v>
      </c>
      <c r="AB35">
        <v>0</v>
      </c>
      <c r="AC35">
        <v>0</v>
      </c>
      <c r="AD35">
        <v>0</v>
      </c>
      <c r="AE35">
        <v>6.09</v>
      </c>
      <c r="AF35">
        <v>0</v>
      </c>
      <c r="AG35">
        <v>0</v>
      </c>
      <c r="AH35">
        <v>0</v>
      </c>
      <c r="AI35">
        <v>9.0500000000000007</v>
      </c>
      <c r="AJ35">
        <v>1</v>
      </c>
      <c r="AK35">
        <v>1</v>
      </c>
      <c r="AL35">
        <v>1</v>
      </c>
      <c r="AN35">
        <v>0</v>
      </c>
      <c r="AO35">
        <v>1</v>
      </c>
      <c r="AP35">
        <v>0</v>
      </c>
      <c r="AQ35">
        <v>0</v>
      </c>
      <c r="AR35">
        <v>0</v>
      </c>
      <c r="AS35" t="s">
        <v>3</v>
      </c>
      <c r="AT35">
        <v>0.24</v>
      </c>
      <c r="AU35" t="s">
        <v>3</v>
      </c>
      <c r="AV35">
        <v>0</v>
      </c>
      <c r="AW35">
        <v>2</v>
      </c>
      <c r="AX35">
        <v>59844473</v>
      </c>
      <c r="AY35">
        <v>1</v>
      </c>
      <c r="AZ35">
        <v>0</v>
      </c>
      <c r="BA35">
        <v>33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CX35">
        <f>Y35*Source!I37</f>
        <v>0.48</v>
      </c>
      <c r="CY35">
        <f>AA35</f>
        <v>55.11</v>
      </c>
      <c r="CZ35">
        <f>AE35</f>
        <v>6.09</v>
      </c>
      <c r="DA35">
        <f>AI35</f>
        <v>9.0500000000000007</v>
      </c>
      <c r="DB35">
        <f t="shared" si="8"/>
        <v>1.46</v>
      </c>
      <c r="DC35">
        <f t="shared" si="9"/>
        <v>0</v>
      </c>
    </row>
    <row r="36" spans="1:107" x14ac:dyDescent="0.2">
      <c r="A36">
        <f>ROW(Source!A37)</f>
        <v>37</v>
      </c>
      <c r="B36">
        <v>59844155</v>
      </c>
      <c r="C36">
        <v>59844462</v>
      </c>
      <c r="D36">
        <v>42415113</v>
      </c>
      <c r="E36">
        <v>1</v>
      </c>
      <c r="F36">
        <v>1</v>
      </c>
      <c r="G36">
        <v>1</v>
      </c>
      <c r="H36">
        <v>3</v>
      </c>
      <c r="I36" t="s">
        <v>277</v>
      </c>
      <c r="J36" t="s">
        <v>278</v>
      </c>
      <c r="K36" t="s">
        <v>279</v>
      </c>
      <c r="L36">
        <v>1346</v>
      </c>
      <c r="N36">
        <v>1009</v>
      </c>
      <c r="O36" t="s">
        <v>276</v>
      </c>
      <c r="P36" t="s">
        <v>276</v>
      </c>
      <c r="Q36">
        <v>1</v>
      </c>
      <c r="W36">
        <v>0</v>
      </c>
      <c r="X36">
        <v>-979364594</v>
      </c>
      <c r="Y36">
        <v>15.2</v>
      </c>
      <c r="AA36">
        <v>54.23</v>
      </c>
      <c r="AB36">
        <v>0</v>
      </c>
      <c r="AC36">
        <v>0</v>
      </c>
      <c r="AD36">
        <v>0</v>
      </c>
      <c r="AE36">
        <v>12.64</v>
      </c>
      <c r="AF36">
        <v>0</v>
      </c>
      <c r="AG36">
        <v>0</v>
      </c>
      <c r="AH36">
        <v>0</v>
      </c>
      <c r="AI36">
        <v>4.29</v>
      </c>
      <c r="AJ36">
        <v>1</v>
      </c>
      <c r="AK36">
        <v>1</v>
      </c>
      <c r="AL36">
        <v>1</v>
      </c>
      <c r="AN36">
        <v>0</v>
      </c>
      <c r="AO36">
        <v>1</v>
      </c>
      <c r="AP36">
        <v>0</v>
      </c>
      <c r="AQ36">
        <v>0</v>
      </c>
      <c r="AR36">
        <v>0</v>
      </c>
      <c r="AS36" t="s">
        <v>3</v>
      </c>
      <c r="AT36">
        <v>15.2</v>
      </c>
      <c r="AU36" t="s">
        <v>3</v>
      </c>
      <c r="AV36">
        <v>0</v>
      </c>
      <c r="AW36">
        <v>2</v>
      </c>
      <c r="AX36">
        <v>59844474</v>
      </c>
      <c r="AY36">
        <v>1</v>
      </c>
      <c r="AZ36">
        <v>0</v>
      </c>
      <c r="BA36">
        <v>34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CX36">
        <f>Y36*Source!I37</f>
        <v>30.4</v>
      </c>
      <c r="CY36">
        <f>AA36</f>
        <v>54.23</v>
      </c>
      <c r="CZ36">
        <f>AE36</f>
        <v>12.64</v>
      </c>
      <c r="DA36">
        <f>AI36</f>
        <v>4.29</v>
      </c>
      <c r="DB36">
        <f t="shared" si="8"/>
        <v>192.13</v>
      </c>
      <c r="DC36">
        <f t="shared" si="9"/>
        <v>0</v>
      </c>
    </row>
    <row r="37" spans="1:107" x14ac:dyDescent="0.2">
      <c r="A37">
        <f>ROW(Source!A37)</f>
        <v>37</v>
      </c>
      <c r="B37">
        <v>59844155</v>
      </c>
      <c r="C37">
        <v>59844462</v>
      </c>
      <c r="D37">
        <v>42457830</v>
      </c>
      <c r="E37">
        <v>1</v>
      </c>
      <c r="F37">
        <v>1</v>
      </c>
      <c r="G37">
        <v>1</v>
      </c>
      <c r="H37">
        <v>3</v>
      </c>
      <c r="I37" t="s">
        <v>280</v>
      </c>
      <c r="J37" t="s">
        <v>281</v>
      </c>
      <c r="K37" t="s">
        <v>282</v>
      </c>
      <c r="L37">
        <v>1374</v>
      </c>
      <c r="N37">
        <v>1013</v>
      </c>
      <c r="O37" t="s">
        <v>283</v>
      </c>
      <c r="P37" t="s">
        <v>283</v>
      </c>
      <c r="Q37">
        <v>1</v>
      </c>
      <c r="W37">
        <v>0</v>
      </c>
      <c r="X37">
        <v>-915781824</v>
      </c>
      <c r="Y37">
        <v>3.84</v>
      </c>
      <c r="AA37">
        <v>1</v>
      </c>
      <c r="AB37">
        <v>0</v>
      </c>
      <c r="AC37">
        <v>0</v>
      </c>
      <c r="AD37">
        <v>0</v>
      </c>
      <c r="AE37">
        <v>1</v>
      </c>
      <c r="AF37">
        <v>0</v>
      </c>
      <c r="AG37">
        <v>0</v>
      </c>
      <c r="AH37">
        <v>0</v>
      </c>
      <c r="AI37">
        <v>1</v>
      </c>
      <c r="AJ37">
        <v>1</v>
      </c>
      <c r="AK37">
        <v>1</v>
      </c>
      <c r="AL37">
        <v>1</v>
      </c>
      <c r="AN37">
        <v>0</v>
      </c>
      <c r="AO37">
        <v>1</v>
      </c>
      <c r="AP37">
        <v>0</v>
      </c>
      <c r="AQ37">
        <v>0</v>
      </c>
      <c r="AR37">
        <v>0</v>
      </c>
      <c r="AS37" t="s">
        <v>3</v>
      </c>
      <c r="AT37">
        <v>3.84</v>
      </c>
      <c r="AU37" t="s">
        <v>3</v>
      </c>
      <c r="AV37">
        <v>0</v>
      </c>
      <c r="AW37">
        <v>2</v>
      </c>
      <c r="AX37">
        <v>59844475</v>
      </c>
      <c r="AY37">
        <v>1</v>
      </c>
      <c r="AZ37">
        <v>0</v>
      </c>
      <c r="BA37">
        <v>35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CX37">
        <f>Y37*Source!I37</f>
        <v>7.68</v>
      </c>
      <c r="CY37">
        <f>AA37</f>
        <v>1</v>
      </c>
      <c r="CZ37">
        <f>AE37</f>
        <v>1</v>
      </c>
      <c r="DA37">
        <f>AI37</f>
        <v>1</v>
      </c>
      <c r="DB37">
        <f t="shared" si="8"/>
        <v>3.84</v>
      </c>
      <c r="DC37">
        <f t="shared" si="9"/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35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44" x14ac:dyDescent="0.2">
      <c r="A1">
        <f>ROW(Source!A32)</f>
        <v>32</v>
      </c>
      <c r="B1">
        <v>59844432</v>
      </c>
      <c r="C1">
        <v>59844431</v>
      </c>
      <c r="D1">
        <v>29509036</v>
      </c>
      <c r="E1">
        <v>1</v>
      </c>
      <c r="F1">
        <v>1</v>
      </c>
      <c r="G1">
        <v>1</v>
      </c>
      <c r="H1">
        <v>1</v>
      </c>
      <c r="I1" t="s">
        <v>192</v>
      </c>
      <c r="J1" t="s">
        <v>3</v>
      </c>
      <c r="K1" t="s">
        <v>193</v>
      </c>
      <c r="L1">
        <v>1369</v>
      </c>
      <c r="N1">
        <v>1013</v>
      </c>
      <c r="O1" t="s">
        <v>194</v>
      </c>
      <c r="P1" t="s">
        <v>194</v>
      </c>
      <c r="Q1">
        <v>1</v>
      </c>
      <c r="X1">
        <v>453.6</v>
      </c>
      <c r="Y1">
        <v>0</v>
      </c>
      <c r="Z1">
        <v>0</v>
      </c>
      <c r="AA1">
        <v>0</v>
      </c>
      <c r="AB1">
        <v>8.4600000000000009</v>
      </c>
      <c r="AC1">
        <v>0</v>
      </c>
      <c r="AD1">
        <v>1</v>
      </c>
      <c r="AE1">
        <v>1</v>
      </c>
      <c r="AF1" t="s">
        <v>24</v>
      </c>
      <c r="AG1">
        <v>521.64</v>
      </c>
      <c r="AH1">
        <v>2</v>
      </c>
      <c r="AI1">
        <v>59844432</v>
      </c>
      <c r="AJ1">
        <v>1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  <row r="2" spans="1:44" x14ac:dyDescent="0.2">
      <c r="A2">
        <f>ROW(Source!A32)</f>
        <v>32</v>
      </c>
      <c r="B2">
        <v>59844433</v>
      </c>
      <c r="C2">
        <v>59844431</v>
      </c>
      <c r="D2">
        <v>121548</v>
      </c>
      <c r="E2">
        <v>1</v>
      </c>
      <c r="F2">
        <v>1</v>
      </c>
      <c r="G2">
        <v>1</v>
      </c>
      <c r="H2">
        <v>1</v>
      </c>
      <c r="I2" t="s">
        <v>49</v>
      </c>
      <c r="J2" t="s">
        <v>3</v>
      </c>
      <c r="K2" t="s">
        <v>195</v>
      </c>
      <c r="L2">
        <v>608254</v>
      </c>
      <c r="N2">
        <v>1013</v>
      </c>
      <c r="O2" t="s">
        <v>196</v>
      </c>
      <c r="P2" t="s">
        <v>196</v>
      </c>
      <c r="Q2">
        <v>1</v>
      </c>
      <c r="X2">
        <v>23.96</v>
      </c>
      <c r="Y2">
        <v>0</v>
      </c>
      <c r="Z2">
        <v>0</v>
      </c>
      <c r="AA2">
        <v>0</v>
      </c>
      <c r="AB2">
        <v>0</v>
      </c>
      <c r="AC2">
        <v>0</v>
      </c>
      <c r="AD2">
        <v>1</v>
      </c>
      <c r="AE2">
        <v>2</v>
      </c>
      <c r="AF2" t="s">
        <v>23</v>
      </c>
      <c r="AG2">
        <v>29.950000000000003</v>
      </c>
      <c r="AH2">
        <v>2</v>
      </c>
      <c r="AI2">
        <v>59844433</v>
      </c>
      <c r="AJ2">
        <v>2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</row>
    <row r="3" spans="1:44" x14ac:dyDescent="0.2">
      <c r="A3">
        <f>ROW(Source!A32)</f>
        <v>32</v>
      </c>
      <c r="B3">
        <v>59844434</v>
      </c>
      <c r="C3">
        <v>59844431</v>
      </c>
      <c r="D3">
        <v>42458401</v>
      </c>
      <c r="E3">
        <v>1</v>
      </c>
      <c r="F3">
        <v>1</v>
      </c>
      <c r="G3">
        <v>1</v>
      </c>
      <c r="H3">
        <v>2</v>
      </c>
      <c r="I3" t="s">
        <v>197</v>
      </c>
      <c r="J3" t="s">
        <v>198</v>
      </c>
      <c r="K3" t="s">
        <v>199</v>
      </c>
      <c r="L3">
        <v>1368</v>
      </c>
      <c r="N3">
        <v>1011</v>
      </c>
      <c r="O3" t="s">
        <v>200</v>
      </c>
      <c r="P3" t="s">
        <v>200</v>
      </c>
      <c r="Q3">
        <v>1</v>
      </c>
      <c r="X3">
        <v>0.73</v>
      </c>
      <c r="Y3">
        <v>0</v>
      </c>
      <c r="Z3">
        <v>112</v>
      </c>
      <c r="AA3">
        <v>13.5</v>
      </c>
      <c r="AB3">
        <v>0</v>
      </c>
      <c r="AC3">
        <v>0</v>
      </c>
      <c r="AD3">
        <v>1</v>
      </c>
      <c r="AE3">
        <v>0</v>
      </c>
      <c r="AF3" t="s">
        <v>23</v>
      </c>
      <c r="AG3">
        <v>0.91249999999999998</v>
      </c>
      <c r="AH3">
        <v>2</v>
      </c>
      <c r="AI3">
        <v>59844434</v>
      </c>
      <c r="AJ3">
        <v>3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</row>
    <row r="4" spans="1:44" x14ac:dyDescent="0.2">
      <c r="A4">
        <f>ROW(Source!A32)</f>
        <v>32</v>
      </c>
      <c r="B4">
        <v>59844435</v>
      </c>
      <c r="C4">
        <v>59844431</v>
      </c>
      <c r="D4">
        <v>42458429</v>
      </c>
      <c r="E4">
        <v>1</v>
      </c>
      <c r="F4">
        <v>1</v>
      </c>
      <c r="G4">
        <v>1</v>
      </c>
      <c r="H4">
        <v>2</v>
      </c>
      <c r="I4" t="s">
        <v>201</v>
      </c>
      <c r="J4" t="s">
        <v>202</v>
      </c>
      <c r="K4" t="s">
        <v>203</v>
      </c>
      <c r="L4">
        <v>1368</v>
      </c>
      <c r="N4">
        <v>1011</v>
      </c>
      <c r="O4" t="s">
        <v>200</v>
      </c>
      <c r="P4" t="s">
        <v>200</v>
      </c>
      <c r="Q4">
        <v>1</v>
      </c>
      <c r="X4">
        <v>22.96</v>
      </c>
      <c r="Y4">
        <v>0</v>
      </c>
      <c r="Z4">
        <v>96.9</v>
      </c>
      <c r="AA4">
        <v>13.5</v>
      </c>
      <c r="AB4">
        <v>0</v>
      </c>
      <c r="AC4">
        <v>0</v>
      </c>
      <c r="AD4">
        <v>1</v>
      </c>
      <c r="AE4">
        <v>0</v>
      </c>
      <c r="AF4" t="s">
        <v>23</v>
      </c>
      <c r="AG4">
        <v>28.700000000000003</v>
      </c>
      <c r="AH4">
        <v>2</v>
      </c>
      <c r="AI4">
        <v>59844435</v>
      </c>
      <c r="AJ4">
        <v>4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</row>
    <row r="5" spans="1:44" x14ac:dyDescent="0.2">
      <c r="A5">
        <f>ROW(Source!A32)</f>
        <v>32</v>
      </c>
      <c r="B5">
        <v>59844436</v>
      </c>
      <c r="C5">
        <v>59844431</v>
      </c>
      <c r="D5">
        <v>42458501</v>
      </c>
      <c r="E5">
        <v>1</v>
      </c>
      <c r="F5">
        <v>1</v>
      </c>
      <c r="G5">
        <v>1</v>
      </c>
      <c r="H5">
        <v>2</v>
      </c>
      <c r="I5" t="s">
        <v>204</v>
      </c>
      <c r="J5" t="s">
        <v>205</v>
      </c>
      <c r="K5" t="s">
        <v>206</v>
      </c>
      <c r="L5">
        <v>1368</v>
      </c>
      <c r="N5">
        <v>1011</v>
      </c>
      <c r="O5" t="s">
        <v>200</v>
      </c>
      <c r="P5" t="s">
        <v>200</v>
      </c>
      <c r="Q5">
        <v>1</v>
      </c>
      <c r="X5">
        <v>0.27</v>
      </c>
      <c r="Y5">
        <v>0</v>
      </c>
      <c r="Z5">
        <v>99.89</v>
      </c>
      <c r="AA5">
        <v>10.06</v>
      </c>
      <c r="AB5">
        <v>0</v>
      </c>
      <c r="AC5">
        <v>0</v>
      </c>
      <c r="AD5">
        <v>1</v>
      </c>
      <c r="AE5">
        <v>0</v>
      </c>
      <c r="AF5" t="s">
        <v>23</v>
      </c>
      <c r="AG5">
        <v>0.33750000000000002</v>
      </c>
      <c r="AH5">
        <v>2</v>
      </c>
      <c r="AI5">
        <v>59844436</v>
      </c>
      <c r="AJ5">
        <v>5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</row>
    <row r="6" spans="1:44" x14ac:dyDescent="0.2">
      <c r="A6">
        <f>ROW(Source!A32)</f>
        <v>32</v>
      </c>
      <c r="B6">
        <v>59844437</v>
      </c>
      <c r="C6">
        <v>59844431</v>
      </c>
      <c r="D6">
        <v>42458679</v>
      </c>
      <c r="E6">
        <v>1</v>
      </c>
      <c r="F6">
        <v>1</v>
      </c>
      <c r="G6">
        <v>1</v>
      </c>
      <c r="H6">
        <v>2</v>
      </c>
      <c r="I6" t="s">
        <v>207</v>
      </c>
      <c r="J6" t="s">
        <v>208</v>
      </c>
      <c r="K6" t="s">
        <v>209</v>
      </c>
      <c r="L6">
        <v>1368</v>
      </c>
      <c r="N6">
        <v>1011</v>
      </c>
      <c r="O6" t="s">
        <v>200</v>
      </c>
      <c r="P6" t="s">
        <v>200</v>
      </c>
      <c r="Q6">
        <v>1</v>
      </c>
      <c r="X6">
        <v>2.02</v>
      </c>
      <c r="Y6">
        <v>0</v>
      </c>
      <c r="Z6">
        <v>8.1</v>
      </c>
      <c r="AA6">
        <v>0</v>
      </c>
      <c r="AB6">
        <v>0</v>
      </c>
      <c r="AC6">
        <v>0</v>
      </c>
      <c r="AD6">
        <v>1</v>
      </c>
      <c r="AE6">
        <v>0</v>
      </c>
      <c r="AF6" t="s">
        <v>23</v>
      </c>
      <c r="AG6">
        <v>2.5249999999999999</v>
      </c>
      <c r="AH6">
        <v>2</v>
      </c>
      <c r="AI6">
        <v>59844437</v>
      </c>
      <c r="AJ6">
        <v>6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</row>
    <row r="7" spans="1:44" x14ac:dyDescent="0.2">
      <c r="A7">
        <f>ROW(Source!A32)</f>
        <v>32</v>
      </c>
      <c r="B7">
        <v>59844438</v>
      </c>
      <c r="C7">
        <v>59844431</v>
      </c>
      <c r="D7">
        <v>42459173</v>
      </c>
      <c r="E7">
        <v>1</v>
      </c>
      <c r="F7">
        <v>1</v>
      </c>
      <c r="G7">
        <v>1</v>
      </c>
      <c r="H7">
        <v>2</v>
      </c>
      <c r="I7" t="s">
        <v>210</v>
      </c>
      <c r="J7" t="s">
        <v>211</v>
      </c>
      <c r="K7" t="s">
        <v>212</v>
      </c>
      <c r="L7">
        <v>1368</v>
      </c>
      <c r="N7">
        <v>1011</v>
      </c>
      <c r="O7" t="s">
        <v>200</v>
      </c>
      <c r="P7" t="s">
        <v>200</v>
      </c>
      <c r="Q7">
        <v>1</v>
      </c>
      <c r="X7">
        <v>19.04</v>
      </c>
      <c r="Y7">
        <v>0</v>
      </c>
      <c r="Z7">
        <v>1.9</v>
      </c>
      <c r="AA7">
        <v>0</v>
      </c>
      <c r="AB7">
        <v>0</v>
      </c>
      <c r="AC7">
        <v>0</v>
      </c>
      <c r="AD7">
        <v>1</v>
      </c>
      <c r="AE7">
        <v>0</v>
      </c>
      <c r="AF7" t="s">
        <v>23</v>
      </c>
      <c r="AG7">
        <v>23.799999999999997</v>
      </c>
      <c r="AH7">
        <v>2</v>
      </c>
      <c r="AI7">
        <v>59844438</v>
      </c>
      <c r="AJ7">
        <v>7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</row>
    <row r="8" spans="1:44" x14ac:dyDescent="0.2">
      <c r="A8">
        <f>ROW(Source!A32)</f>
        <v>32</v>
      </c>
      <c r="B8">
        <v>59844439</v>
      </c>
      <c r="C8">
        <v>59844431</v>
      </c>
      <c r="D8">
        <v>42460615</v>
      </c>
      <c r="E8">
        <v>1</v>
      </c>
      <c r="F8">
        <v>1</v>
      </c>
      <c r="G8">
        <v>1</v>
      </c>
      <c r="H8">
        <v>2</v>
      </c>
      <c r="I8" t="s">
        <v>213</v>
      </c>
      <c r="J8" t="s">
        <v>214</v>
      </c>
      <c r="K8" t="s">
        <v>215</v>
      </c>
      <c r="L8">
        <v>1368</v>
      </c>
      <c r="N8">
        <v>1011</v>
      </c>
      <c r="O8" t="s">
        <v>200</v>
      </c>
      <c r="P8" t="s">
        <v>200</v>
      </c>
      <c r="Q8">
        <v>1</v>
      </c>
      <c r="X8">
        <v>1.35</v>
      </c>
      <c r="Y8">
        <v>0</v>
      </c>
      <c r="Z8">
        <v>3.27</v>
      </c>
      <c r="AA8">
        <v>0</v>
      </c>
      <c r="AB8">
        <v>0</v>
      </c>
      <c r="AC8">
        <v>0</v>
      </c>
      <c r="AD8">
        <v>1</v>
      </c>
      <c r="AE8">
        <v>0</v>
      </c>
      <c r="AF8" t="s">
        <v>23</v>
      </c>
      <c r="AG8">
        <v>1.6875</v>
      </c>
      <c r="AH8">
        <v>2</v>
      </c>
      <c r="AI8">
        <v>59844439</v>
      </c>
      <c r="AJ8">
        <v>8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</row>
    <row r="9" spans="1:44" x14ac:dyDescent="0.2">
      <c r="A9">
        <f>ROW(Source!A32)</f>
        <v>32</v>
      </c>
      <c r="B9">
        <v>59844440</v>
      </c>
      <c r="C9">
        <v>59844431</v>
      </c>
      <c r="D9">
        <v>42460936</v>
      </c>
      <c r="E9">
        <v>1</v>
      </c>
      <c r="F9">
        <v>1</v>
      </c>
      <c r="G9">
        <v>1</v>
      </c>
      <c r="H9">
        <v>2</v>
      </c>
      <c r="I9" t="s">
        <v>216</v>
      </c>
      <c r="J9" t="s">
        <v>217</v>
      </c>
      <c r="K9" t="s">
        <v>218</v>
      </c>
      <c r="L9">
        <v>1368</v>
      </c>
      <c r="N9">
        <v>1011</v>
      </c>
      <c r="O9" t="s">
        <v>200</v>
      </c>
      <c r="P9" t="s">
        <v>200</v>
      </c>
      <c r="Q9">
        <v>1</v>
      </c>
      <c r="X9">
        <v>1.65</v>
      </c>
      <c r="Y9">
        <v>0</v>
      </c>
      <c r="Z9">
        <v>87.17</v>
      </c>
      <c r="AA9">
        <v>11.6</v>
      </c>
      <c r="AB9">
        <v>0</v>
      </c>
      <c r="AC9">
        <v>0</v>
      </c>
      <c r="AD9">
        <v>1</v>
      </c>
      <c r="AE9">
        <v>0</v>
      </c>
      <c r="AF9" t="s">
        <v>23</v>
      </c>
      <c r="AG9">
        <v>2.0625</v>
      </c>
      <c r="AH9">
        <v>2</v>
      </c>
      <c r="AI9">
        <v>59844440</v>
      </c>
      <c r="AJ9">
        <v>9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</row>
    <row r="10" spans="1:44" x14ac:dyDescent="0.2">
      <c r="A10">
        <f>ROW(Source!A32)</f>
        <v>32</v>
      </c>
      <c r="B10">
        <v>59844441</v>
      </c>
      <c r="C10">
        <v>59844431</v>
      </c>
      <c r="D10">
        <v>42399620</v>
      </c>
      <c r="E10">
        <v>1</v>
      </c>
      <c r="F10">
        <v>1</v>
      </c>
      <c r="G10">
        <v>1</v>
      </c>
      <c r="H10">
        <v>3</v>
      </c>
      <c r="I10" t="s">
        <v>219</v>
      </c>
      <c r="J10" t="s">
        <v>220</v>
      </c>
      <c r="K10" t="s">
        <v>221</v>
      </c>
      <c r="L10">
        <v>1348</v>
      </c>
      <c r="N10">
        <v>1009</v>
      </c>
      <c r="O10" t="s">
        <v>32</v>
      </c>
      <c r="P10" t="s">
        <v>32</v>
      </c>
      <c r="Q10">
        <v>1000</v>
      </c>
      <c r="X10">
        <v>0.04</v>
      </c>
      <c r="Y10">
        <v>4455.2</v>
      </c>
      <c r="Z10">
        <v>0</v>
      </c>
      <c r="AA10">
        <v>0</v>
      </c>
      <c r="AB10">
        <v>0</v>
      </c>
      <c r="AC10">
        <v>0</v>
      </c>
      <c r="AD10">
        <v>1</v>
      </c>
      <c r="AE10">
        <v>0</v>
      </c>
      <c r="AF10" t="s">
        <v>3</v>
      </c>
      <c r="AG10">
        <v>0.04</v>
      </c>
      <c r="AH10">
        <v>2</v>
      </c>
      <c r="AI10">
        <v>59844441</v>
      </c>
      <c r="AJ10">
        <v>10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</row>
    <row r="11" spans="1:44" x14ac:dyDescent="0.2">
      <c r="A11">
        <f>ROW(Source!A32)</f>
        <v>32</v>
      </c>
      <c r="B11">
        <v>59844442</v>
      </c>
      <c r="C11">
        <v>59844431</v>
      </c>
      <c r="D11">
        <v>42400004</v>
      </c>
      <c r="E11">
        <v>1</v>
      </c>
      <c r="F11">
        <v>1</v>
      </c>
      <c r="G11">
        <v>1</v>
      </c>
      <c r="H11">
        <v>3</v>
      </c>
      <c r="I11" t="s">
        <v>222</v>
      </c>
      <c r="J11" t="s">
        <v>223</v>
      </c>
      <c r="K11" t="s">
        <v>224</v>
      </c>
      <c r="L11">
        <v>1348</v>
      </c>
      <c r="N11">
        <v>1009</v>
      </c>
      <c r="O11" t="s">
        <v>32</v>
      </c>
      <c r="P11" t="s">
        <v>32</v>
      </c>
      <c r="Q11">
        <v>1000</v>
      </c>
      <c r="X11">
        <v>4.0000000000000001E-3</v>
      </c>
      <c r="Y11">
        <v>9423.99</v>
      </c>
      <c r="Z11">
        <v>0</v>
      </c>
      <c r="AA11">
        <v>0</v>
      </c>
      <c r="AB11">
        <v>0</v>
      </c>
      <c r="AC11">
        <v>0</v>
      </c>
      <c r="AD11">
        <v>1</v>
      </c>
      <c r="AE11">
        <v>0</v>
      </c>
      <c r="AF11" t="s">
        <v>3</v>
      </c>
      <c r="AG11">
        <v>4.0000000000000001E-3</v>
      </c>
      <c r="AH11">
        <v>2</v>
      </c>
      <c r="AI11">
        <v>59844442</v>
      </c>
      <c r="AJ11">
        <v>11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</row>
    <row r="12" spans="1:44" x14ac:dyDescent="0.2">
      <c r="A12">
        <f>ROW(Source!A32)</f>
        <v>32</v>
      </c>
      <c r="B12">
        <v>59844443</v>
      </c>
      <c r="C12">
        <v>59844431</v>
      </c>
      <c r="D12">
        <v>42394270</v>
      </c>
      <c r="E12">
        <v>1</v>
      </c>
      <c r="F12">
        <v>1</v>
      </c>
      <c r="G12">
        <v>1</v>
      </c>
      <c r="H12">
        <v>3</v>
      </c>
      <c r="I12" t="s">
        <v>225</v>
      </c>
      <c r="J12" t="s">
        <v>226</v>
      </c>
      <c r="K12" t="s">
        <v>227</v>
      </c>
      <c r="L12">
        <v>1327</v>
      </c>
      <c r="N12">
        <v>1005</v>
      </c>
      <c r="O12" t="s">
        <v>228</v>
      </c>
      <c r="P12" t="s">
        <v>228</v>
      </c>
      <c r="Q12">
        <v>1</v>
      </c>
      <c r="X12">
        <v>10.1</v>
      </c>
      <c r="Y12">
        <v>10.199999999999999</v>
      </c>
      <c r="Z12">
        <v>0</v>
      </c>
      <c r="AA12">
        <v>0</v>
      </c>
      <c r="AB12">
        <v>0</v>
      </c>
      <c r="AC12">
        <v>0</v>
      </c>
      <c r="AD12">
        <v>1</v>
      </c>
      <c r="AE12">
        <v>0</v>
      </c>
      <c r="AF12" t="s">
        <v>3</v>
      </c>
      <c r="AG12">
        <v>10.1</v>
      </c>
      <c r="AH12">
        <v>2</v>
      </c>
      <c r="AI12">
        <v>59844443</v>
      </c>
      <c r="AJ12">
        <v>12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</row>
    <row r="13" spans="1:44" x14ac:dyDescent="0.2">
      <c r="A13">
        <f>ROW(Source!A32)</f>
        <v>32</v>
      </c>
      <c r="B13">
        <v>59844444</v>
      </c>
      <c r="C13">
        <v>59844431</v>
      </c>
      <c r="D13">
        <v>42400354</v>
      </c>
      <c r="E13">
        <v>1</v>
      </c>
      <c r="F13">
        <v>1</v>
      </c>
      <c r="G13">
        <v>1</v>
      </c>
      <c r="H13">
        <v>3</v>
      </c>
      <c r="I13" t="s">
        <v>229</v>
      </c>
      <c r="J13" t="s">
        <v>230</v>
      </c>
      <c r="K13" t="s">
        <v>231</v>
      </c>
      <c r="L13">
        <v>1348</v>
      </c>
      <c r="N13">
        <v>1009</v>
      </c>
      <c r="O13" t="s">
        <v>32</v>
      </c>
      <c r="P13" t="s">
        <v>32</v>
      </c>
      <c r="Q13">
        <v>1000</v>
      </c>
      <c r="X13">
        <v>3.6999999999999998E-2</v>
      </c>
      <c r="Y13">
        <v>11978</v>
      </c>
      <c r="Z13">
        <v>0</v>
      </c>
      <c r="AA13">
        <v>0</v>
      </c>
      <c r="AB13">
        <v>0</v>
      </c>
      <c r="AC13">
        <v>0</v>
      </c>
      <c r="AD13">
        <v>1</v>
      </c>
      <c r="AE13">
        <v>0</v>
      </c>
      <c r="AF13" t="s">
        <v>3</v>
      </c>
      <c r="AG13">
        <v>3.6999999999999998E-2</v>
      </c>
      <c r="AH13">
        <v>2</v>
      </c>
      <c r="AI13">
        <v>59844444</v>
      </c>
      <c r="AJ13">
        <v>13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</row>
    <row r="14" spans="1:44" x14ac:dyDescent="0.2">
      <c r="A14">
        <f>ROW(Source!A32)</f>
        <v>32</v>
      </c>
      <c r="B14">
        <v>59844445</v>
      </c>
      <c r="C14">
        <v>59844431</v>
      </c>
      <c r="D14">
        <v>42401809</v>
      </c>
      <c r="E14">
        <v>1</v>
      </c>
      <c r="F14">
        <v>1</v>
      </c>
      <c r="G14">
        <v>1</v>
      </c>
      <c r="H14">
        <v>3</v>
      </c>
      <c r="I14" t="s">
        <v>232</v>
      </c>
      <c r="J14" t="s">
        <v>233</v>
      </c>
      <c r="K14" t="s">
        <v>234</v>
      </c>
      <c r="L14">
        <v>1339</v>
      </c>
      <c r="N14">
        <v>1007</v>
      </c>
      <c r="O14" t="s">
        <v>41</v>
      </c>
      <c r="P14" t="s">
        <v>43</v>
      </c>
      <c r="Q14">
        <v>1</v>
      </c>
      <c r="X14">
        <v>0.69</v>
      </c>
      <c r="Y14">
        <v>558.33000000000004</v>
      </c>
      <c r="Z14">
        <v>0</v>
      </c>
      <c r="AA14">
        <v>0</v>
      </c>
      <c r="AB14">
        <v>0</v>
      </c>
      <c r="AC14">
        <v>0</v>
      </c>
      <c r="AD14">
        <v>1</v>
      </c>
      <c r="AE14">
        <v>0</v>
      </c>
      <c r="AF14" t="s">
        <v>3</v>
      </c>
      <c r="AG14">
        <v>0.69</v>
      </c>
      <c r="AH14">
        <v>2</v>
      </c>
      <c r="AI14">
        <v>59844445</v>
      </c>
      <c r="AJ14">
        <v>14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</row>
    <row r="15" spans="1:44" x14ac:dyDescent="0.2">
      <c r="A15">
        <f>ROW(Source!A32)</f>
        <v>32</v>
      </c>
      <c r="B15">
        <v>59844446</v>
      </c>
      <c r="C15">
        <v>59844431</v>
      </c>
      <c r="D15">
        <v>42401491</v>
      </c>
      <c r="E15">
        <v>1</v>
      </c>
      <c r="F15">
        <v>1</v>
      </c>
      <c r="G15">
        <v>1</v>
      </c>
      <c r="H15">
        <v>3</v>
      </c>
      <c r="I15" t="s">
        <v>235</v>
      </c>
      <c r="J15" t="s">
        <v>236</v>
      </c>
      <c r="K15" t="s">
        <v>237</v>
      </c>
      <c r="L15">
        <v>1339</v>
      </c>
      <c r="N15">
        <v>1007</v>
      </c>
      <c r="O15" t="s">
        <v>41</v>
      </c>
      <c r="P15" t="s">
        <v>43</v>
      </c>
      <c r="Q15">
        <v>1</v>
      </c>
      <c r="X15">
        <v>0.08</v>
      </c>
      <c r="Y15">
        <v>1287.01</v>
      </c>
      <c r="Z15">
        <v>0</v>
      </c>
      <c r="AA15">
        <v>0</v>
      </c>
      <c r="AB15">
        <v>0</v>
      </c>
      <c r="AC15">
        <v>0</v>
      </c>
      <c r="AD15">
        <v>1</v>
      </c>
      <c r="AE15">
        <v>0</v>
      </c>
      <c r="AF15" t="s">
        <v>3</v>
      </c>
      <c r="AG15">
        <v>0.08</v>
      </c>
      <c r="AH15">
        <v>2</v>
      </c>
      <c r="AI15">
        <v>59844446</v>
      </c>
      <c r="AJ15">
        <v>15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</row>
    <row r="16" spans="1:44" x14ac:dyDescent="0.2">
      <c r="A16">
        <f>ROW(Source!A32)</f>
        <v>32</v>
      </c>
      <c r="B16">
        <v>59844447</v>
      </c>
      <c r="C16">
        <v>59844431</v>
      </c>
      <c r="D16">
        <v>42401664</v>
      </c>
      <c r="E16">
        <v>1</v>
      </c>
      <c r="F16">
        <v>1</v>
      </c>
      <c r="G16">
        <v>1</v>
      </c>
      <c r="H16">
        <v>3</v>
      </c>
      <c r="I16" t="s">
        <v>238</v>
      </c>
      <c r="J16" t="s">
        <v>239</v>
      </c>
      <c r="K16" t="s">
        <v>240</v>
      </c>
      <c r="L16">
        <v>1339</v>
      </c>
      <c r="N16">
        <v>1007</v>
      </c>
      <c r="O16" t="s">
        <v>41</v>
      </c>
      <c r="P16" t="s">
        <v>43</v>
      </c>
      <c r="Q16">
        <v>1</v>
      </c>
      <c r="X16">
        <v>0.2</v>
      </c>
      <c r="Y16">
        <v>1100</v>
      </c>
      <c r="Z16">
        <v>0</v>
      </c>
      <c r="AA16">
        <v>0</v>
      </c>
      <c r="AB16">
        <v>0</v>
      </c>
      <c r="AC16">
        <v>0</v>
      </c>
      <c r="AD16">
        <v>1</v>
      </c>
      <c r="AE16">
        <v>0</v>
      </c>
      <c r="AF16" t="s">
        <v>3</v>
      </c>
      <c r="AG16">
        <v>0.2</v>
      </c>
      <c r="AH16">
        <v>2</v>
      </c>
      <c r="AI16">
        <v>59844447</v>
      </c>
      <c r="AJ16">
        <v>16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</row>
    <row r="17" spans="1:44" x14ac:dyDescent="0.2">
      <c r="A17">
        <f>ROW(Source!A32)</f>
        <v>32</v>
      </c>
      <c r="B17">
        <v>59844448</v>
      </c>
      <c r="C17">
        <v>59844431</v>
      </c>
      <c r="D17">
        <v>42401672</v>
      </c>
      <c r="E17">
        <v>1</v>
      </c>
      <c r="F17">
        <v>1</v>
      </c>
      <c r="G17">
        <v>1</v>
      </c>
      <c r="H17">
        <v>3</v>
      </c>
      <c r="I17" t="s">
        <v>241</v>
      </c>
      <c r="J17" t="s">
        <v>242</v>
      </c>
      <c r="K17" t="s">
        <v>243</v>
      </c>
      <c r="L17">
        <v>1339</v>
      </c>
      <c r="N17">
        <v>1007</v>
      </c>
      <c r="O17" t="s">
        <v>41</v>
      </c>
      <c r="P17" t="s">
        <v>43</v>
      </c>
      <c r="Q17">
        <v>1</v>
      </c>
      <c r="X17">
        <v>0.69</v>
      </c>
      <c r="Y17">
        <v>1056</v>
      </c>
      <c r="Z17">
        <v>0</v>
      </c>
      <c r="AA17">
        <v>0</v>
      </c>
      <c r="AB17">
        <v>0</v>
      </c>
      <c r="AC17">
        <v>0</v>
      </c>
      <c r="AD17">
        <v>1</v>
      </c>
      <c r="AE17">
        <v>0</v>
      </c>
      <c r="AF17" t="s">
        <v>3</v>
      </c>
      <c r="AG17">
        <v>0.69</v>
      </c>
      <c r="AH17">
        <v>2</v>
      </c>
      <c r="AI17">
        <v>59844448</v>
      </c>
      <c r="AJ17">
        <v>17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</row>
    <row r="18" spans="1:44" x14ac:dyDescent="0.2">
      <c r="A18">
        <f>ROW(Source!A32)</f>
        <v>32</v>
      </c>
      <c r="B18">
        <v>59844449</v>
      </c>
      <c r="C18">
        <v>59844431</v>
      </c>
      <c r="D18">
        <v>42417330</v>
      </c>
      <c r="E18">
        <v>1</v>
      </c>
      <c r="F18">
        <v>1</v>
      </c>
      <c r="G18">
        <v>1</v>
      </c>
      <c r="H18">
        <v>3</v>
      </c>
      <c r="I18" t="s">
        <v>244</v>
      </c>
      <c r="J18" t="s">
        <v>245</v>
      </c>
      <c r="K18" t="s">
        <v>246</v>
      </c>
      <c r="L18">
        <v>1327</v>
      </c>
      <c r="N18">
        <v>1005</v>
      </c>
      <c r="O18" t="s">
        <v>228</v>
      </c>
      <c r="P18" t="s">
        <v>228</v>
      </c>
      <c r="Q18">
        <v>1</v>
      </c>
      <c r="X18">
        <v>49.5</v>
      </c>
      <c r="Y18">
        <v>35.54</v>
      </c>
      <c r="Z18">
        <v>0</v>
      </c>
      <c r="AA18">
        <v>0</v>
      </c>
      <c r="AB18">
        <v>0</v>
      </c>
      <c r="AC18">
        <v>0</v>
      </c>
      <c r="AD18">
        <v>1</v>
      </c>
      <c r="AE18">
        <v>0</v>
      </c>
      <c r="AF18" t="s">
        <v>3</v>
      </c>
      <c r="AG18">
        <v>49.5</v>
      </c>
      <c r="AH18">
        <v>2</v>
      </c>
      <c r="AI18">
        <v>59844449</v>
      </c>
      <c r="AJ18">
        <v>18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</row>
    <row r="19" spans="1:44" x14ac:dyDescent="0.2">
      <c r="A19">
        <f>ROW(Source!A32)</f>
        <v>32</v>
      </c>
      <c r="B19">
        <v>59844450</v>
      </c>
      <c r="C19">
        <v>59844431</v>
      </c>
      <c r="D19">
        <v>42417346</v>
      </c>
      <c r="E19">
        <v>1</v>
      </c>
      <c r="F19">
        <v>1</v>
      </c>
      <c r="G19">
        <v>1</v>
      </c>
      <c r="H19">
        <v>3</v>
      </c>
      <c r="I19" t="s">
        <v>30</v>
      </c>
      <c r="J19" t="s">
        <v>33</v>
      </c>
      <c r="K19" t="s">
        <v>31</v>
      </c>
      <c r="L19">
        <v>1348</v>
      </c>
      <c r="N19">
        <v>1009</v>
      </c>
      <c r="O19" t="s">
        <v>32</v>
      </c>
      <c r="P19" t="s">
        <v>32</v>
      </c>
      <c r="Q19">
        <v>1000</v>
      </c>
      <c r="X19">
        <v>1</v>
      </c>
      <c r="Y19">
        <v>5649.99</v>
      </c>
      <c r="Z19">
        <v>0</v>
      </c>
      <c r="AA19">
        <v>0</v>
      </c>
      <c r="AB19">
        <v>0</v>
      </c>
      <c r="AC19">
        <v>0</v>
      </c>
      <c r="AD19">
        <v>1</v>
      </c>
      <c r="AE19">
        <v>0</v>
      </c>
      <c r="AF19" t="s">
        <v>3</v>
      </c>
      <c r="AG19">
        <v>1</v>
      </c>
      <c r="AH19">
        <v>2</v>
      </c>
      <c r="AI19">
        <v>59844450</v>
      </c>
      <c r="AJ19">
        <v>19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</row>
    <row r="20" spans="1:44" x14ac:dyDescent="0.2">
      <c r="A20">
        <f>ROW(Source!A32)</f>
        <v>32</v>
      </c>
      <c r="B20">
        <v>59844451</v>
      </c>
      <c r="C20">
        <v>59844431</v>
      </c>
      <c r="D20">
        <v>42431065</v>
      </c>
      <c r="E20">
        <v>1</v>
      </c>
      <c r="F20">
        <v>1</v>
      </c>
      <c r="G20">
        <v>1</v>
      </c>
      <c r="H20">
        <v>3</v>
      </c>
      <c r="I20" t="s">
        <v>39</v>
      </c>
      <c r="J20" t="s">
        <v>42</v>
      </c>
      <c r="K20" t="s">
        <v>40</v>
      </c>
      <c r="L20">
        <v>1339</v>
      </c>
      <c r="N20">
        <v>1007</v>
      </c>
      <c r="O20" t="s">
        <v>41</v>
      </c>
      <c r="P20" t="s">
        <v>43</v>
      </c>
      <c r="Q20">
        <v>1</v>
      </c>
      <c r="X20">
        <v>101.5</v>
      </c>
      <c r="Y20">
        <v>665</v>
      </c>
      <c r="Z20">
        <v>0</v>
      </c>
      <c r="AA20">
        <v>0</v>
      </c>
      <c r="AB20">
        <v>0</v>
      </c>
      <c r="AC20">
        <v>0</v>
      </c>
      <c r="AD20">
        <v>1</v>
      </c>
      <c r="AE20">
        <v>0</v>
      </c>
      <c r="AF20" t="s">
        <v>3</v>
      </c>
      <c r="AG20">
        <v>101.5</v>
      </c>
      <c r="AH20">
        <v>2</v>
      </c>
      <c r="AI20">
        <v>59844451</v>
      </c>
      <c r="AJ20">
        <v>21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</row>
    <row r="21" spans="1:44" x14ac:dyDescent="0.2">
      <c r="A21">
        <f>ROW(Source!A32)</f>
        <v>32</v>
      </c>
      <c r="B21">
        <v>59844452</v>
      </c>
      <c r="C21">
        <v>59844431</v>
      </c>
      <c r="D21">
        <v>42435265</v>
      </c>
      <c r="E21">
        <v>1</v>
      </c>
      <c r="F21">
        <v>1</v>
      </c>
      <c r="G21">
        <v>1</v>
      </c>
      <c r="H21">
        <v>3</v>
      </c>
      <c r="I21" t="s">
        <v>247</v>
      </c>
      <c r="J21" t="s">
        <v>248</v>
      </c>
      <c r="K21" t="s">
        <v>249</v>
      </c>
      <c r="L21">
        <v>1348</v>
      </c>
      <c r="N21">
        <v>1009</v>
      </c>
      <c r="O21" t="s">
        <v>32</v>
      </c>
      <c r="P21" t="s">
        <v>32</v>
      </c>
      <c r="Q21">
        <v>1000</v>
      </c>
      <c r="X21">
        <v>4.5999999999999999E-2</v>
      </c>
      <c r="Y21">
        <v>734.5</v>
      </c>
      <c r="Z21">
        <v>0</v>
      </c>
      <c r="AA21">
        <v>0</v>
      </c>
      <c r="AB21">
        <v>0</v>
      </c>
      <c r="AC21">
        <v>0</v>
      </c>
      <c r="AD21">
        <v>1</v>
      </c>
      <c r="AE21">
        <v>0</v>
      </c>
      <c r="AF21" t="s">
        <v>3</v>
      </c>
      <c r="AG21">
        <v>4.5999999999999999E-2</v>
      </c>
      <c r="AH21">
        <v>2</v>
      </c>
      <c r="AI21">
        <v>59844452</v>
      </c>
      <c r="AJ21">
        <v>22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</row>
    <row r="22" spans="1:44" x14ac:dyDescent="0.2">
      <c r="A22">
        <f>ROW(Source!A32)</f>
        <v>32</v>
      </c>
      <c r="B22">
        <v>59844453</v>
      </c>
      <c r="C22">
        <v>59844431</v>
      </c>
      <c r="D22">
        <v>42436062</v>
      </c>
      <c r="E22">
        <v>1</v>
      </c>
      <c r="F22">
        <v>1</v>
      </c>
      <c r="G22">
        <v>1</v>
      </c>
      <c r="H22">
        <v>3</v>
      </c>
      <c r="I22" t="s">
        <v>250</v>
      </c>
      <c r="J22" t="s">
        <v>251</v>
      </c>
      <c r="K22" t="s">
        <v>252</v>
      </c>
      <c r="L22">
        <v>1339</v>
      </c>
      <c r="N22">
        <v>1007</v>
      </c>
      <c r="O22" t="s">
        <v>41</v>
      </c>
      <c r="P22" t="s">
        <v>43</v>
      </c>
      <c r="Q22">
        <v>1</v>
      </c>
      <c r="X22">
        <v>2.9369999999999998</v>
      </c>
      <c r="Y22">
        <v>2.44</v>
      </c>
      <c r="Z22">
        <v>0</v>
      </c>
      <c r="AA22">
        <v>0</v>
      </c>
      <c r="AB22">
        <v>0</v>
      </c>
      <c r="AC22">
        <v>0</v>
      </c>
      <c r="AD22">
        <v>1</v>
      </c>
      <c r="AE22">
        <v>0</v>
      </c>
      <c r="AF22" t="s">
        <v>3</v>
      </c>
      <c r="AG22">
        <v>2.9369999999999998</v>
      </c>
      <c r="AH22">
        <v>2</v>
      </c>
      <c r="AI22">
        <v>59844453</v>
      </c>
      <c r="AJ22">
        <v>23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</row>
    <row r="23" spans="1:44" x14ac:dyDescent="0.2">
      <c r="A23">
        <f>ROW(Source!A37)</f>
        <v>37</v>
      </c>
      <c r="B23">
        <v>59844463</v>
      </c>
      <c r="C23">
        <v>59844462</v>
      </c>
      <c r="D23">
        <v>42651183</v>
      </c>
      <c r="E23">
        <v>1</v>
      </c>
      <c r="F23">
        <v>1</v>
      </c>
      <c r="G23">
        <v>1</v>
      </c>
      <c r="H23">
        <v>1</v>
      </c>
      <c r="I23" t="s">
        <v>253</v>
      </c>
      <c r="J23" t="s">
        <v>3</v>
      </c>
      <c r="K23" t="s">
        <v>254</v>
      </c>
      <c r="L23">
        <v>1369</v>
      </c>
      <c r="N23">
        <v>1013</v>
      </c>
      <c r="O23" t="s">
        <v>194</v>
      </c>
      <c r="P23" t="s">
        <v>194</v>
      </c>
      <c r="Q23">
        <v>1</v>
      </c>
      <c r="X23">
        <v>20.9</v>
      </c>
      <c r="Y23">
        <v>0</v>
      </c>
      <c r="Z23">
        <v>0</v>
      </c>
      <c r="AA23">
        <v>0</v>
      </c>
      <c r="AB23">
        <v>9.18</v>
      </c>
      <c r="AC23">
        <v>0</v>
      </c>
      <c r="AD23">
        <v>1</v>
      </c>
      <c r="AE23">
        <v>1</v>
      </c>
      <c r="AF23" t="s">
        <v>3</v>
      </c>
      <c r="AG23">
        <v>20.9</v>
      </c>
      <c r="AH23">
        <v>2</v>
      </c>
      <c r="AI23">
        <v>59844463</v>
      </c>
      <c r="AJ23">
        <v>25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</row>
    <row r="24" spans="1:44" x14ac:dyDescent="0.2">
      <c r="A24">
        <f>ROW(Source!A37)</f>
        <v>37</v>
      </c>
      <c r="B24">
        <v>59844464</v>
      </c>
      <c r="C24">
        <v>59844462</v>
      </c>
      <c r="D24">
        <v>121548</v>
      </c>
      <c r="E24">
        <v>1</v>
      </c>
      <c r="F24">
        <v>1</v>
      </c>
      <c r="G24">
        <v>1</v>
      </c>
      <c r="H24">
        <v>1</v>
      </c>
      <c r="I24" t="s">
        <v>49</v>
      </c>
      <c r="J24" t="s">
        <v>3</v>
      </c>
      <c r="K24" t="s">
        <v>195</v>
      </c>
      <c r="L24">
        <v>608254</v>
      </c>
      <c r="N24">
        <v>1013</v>
      </c>
      <c r="O24" t="s">
        <v>196</v>
      </c>
      <c r="P24" t="s">
        <v>196</v>
      </c>
      <c r="Q24">
        <v>1</v>
      </c>
      <c r="X24">
        <v>0.3</v>
      </c>
      <c r="Y24">
        <v>0</v>
      </c>
      <c r="Z24">
        <v>0</v>
      </c>
      <c r="AA24">
        <v>0</v>
      </c>
      <c r="AB24">
        <v>0</v>
      </c>
      <c r="AC24">
        <v>0</v>
      </c>
      <c r="AD24">
        <v>1</v>
      </c>
      <c r="AE24">
        <v>2</v>
      </c>
      <c r="AF24" t="s">
        <v>3</v>
      </c>
      <c r="AG24">
        <v>0.3</v>
      </c>
      <c r="AH24">
        <v>2</v>
      </c>
      <c r="AI24">
        <v>59844464</v>
      </c>
      <c r="AJ24">
        <v>26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</row>
    <row r="25" spans="1:44" x14ac:dyDescent="0.2">
      <c r="A25">
        <f>ROW(Source!A37)</f>
        <v>37</v>
      </c>
      <c r="B25">
        <v>59844465</v>
      </c>
      <c r="C25">
        <v>59844462</v>
      </c>
      <c r="D25">
        <v>42458408</v>
      </c>
      <c r="E25">
        <v>1</v>
      </c>
      <c r="F25">
        <v>1</v>
      </c>
      <c r="G25">
        <v>1</v>
      </c>
      <c r="H25">
        <v>2</v>
      </c>
      <c r="I25" t="s">
        <v>255</v>
      </c>
      <c r="J25" t="s">
        <v>256</v>
      </c>
      <c r="K25" t="s">
        <v>257</v>
      </c>
      <c r="L25">
        <v>1368</v>
      </c>
      <c r="N25">
        <v>1011</v>
      </c>
      <c r="O25" t="s">
        <v>200</v>
      </c>
      <c r="P25" t="s">
        <v>200</v>
      </c>
      <c r="Q25">
        <v>1</v>
      </c>
      <c r="X25">
        <v>0.06</v>
      </c>
      <c r="Y25">
        <v>0</v>
      </c>
      <c r="Z25">
        <v>99.78</v>
      </c>
      <c r="AA25">
        <v>13.5</v>
      </c>
      <c r="AB25">
        <v>0</v>
      </c>
      <c r="AC25">
        <v>0</v>
      </c>
      <c r="AD25">
        <v>1</v>
      </c>
      <c r="AE25">
        <v>0</v>
      </c>
      <c r="AF25" t="s">
        <v>3</v>
      </c>
      <c r="AG25">
        <v>0.06</v>
      </c>
      <c r="AH25">
        <v>2</v>
      </c>
      <c r="AI25">
        <v>59844465</v>
      </c>
      <c r="AJ25">
        <v>27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</row>
    <row r="26" spans="1:44" x14ac:dyDescent="0.2">
      <c r="A26">
        <f>ROW(Source!A37)</f>
        <v>37</v>
      </c>
      <c r="B26">
        <v>59844466</v>
      </c>
      <c r="C26">
        <v>59844462</v>
      </c>
      <c r="D26">
        <v>42458448</v>
      </c>
      <c r="E26">
        <v>1</v>
      </c>
      <c r="F26">
        <v>1</v>
      </c>
      <c r="G26">
        <v>1</v>
      </c>
      <c r="H26">
        <v>2</v>
      </c>
      <c r="I26" t="s">
        <v>258</v>
      </c>
      <c r="J26" t="s">
        <v>259</v>
      </c>
      <c r="K26" t="s">
        <v>260</v>
      </c>
      <c r="L26">
        <v>1368</v>
      </c>
      <c r="N26">
        <v>1011</v>
      </c>
      <c r="O26" t="s">
        <v>200</v>
      </c>
      <c r="P26" t="s">
        <v>200</v>
      </c>
      <c r="Q26">
        <v>1</v>
      </c>
      <c r="X26">
        <v>0.24</v>
      </c>
      <c r="Y26">
        <v>0</v>
      </c>
      <c r="Z26">
        <v>131.16</v>
      </c>
      <c r="AA26">
        <v>13.5</v>
      </c>
      <c r="AB26">
        <v>0</v>
      </c>
      <c r="AC26">
        <v>0</v>
      </c>
      <c r="AD26">
        <v>1</v>
      </c>
      <c r="AE26">
        <v>0</v>
      </c>
      <c r="AF26" t="s">
        <v>3</v>
      </c>
      <c r="AG26">
        <v>0.24</v>
      </c>
      <c r="AH26">
        <v>2</v>
      </c>
      <c r="AI26">
        <v>59844466</v>
      </c>
      <c r="AJ26">
        <v>28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</row>
    <row r="27" spans="1:44" x14ac:dyDescent="0.2">
      <c r="A27">
        <f>ROW(Source!A37)</f>
        <v>37</v>
      </c>
      <c r="B27">
        <v>59844467</v>
      </c>
      <c r="C27">
        <v>59844462</v>
      </c>
      <c r="D27">
        <v>42458679</v>
      </c>
      <c r="E27">
        <v>1</v>
      </c>
      <c r="F27">
        <v>1</v>
      </c>
      <c r="G27">
        <v>1</v>
      </c>
      <c r="H27">
        <v>2</v>
      </c>
      <c r="I27" t="s">
        <v>207</v>
      </c>
      <c r="J27" t="s">
        <v>208</v>
      </c>
      <c r="K27" t="s">
        <v>209</v>
      </c>
      <c r="L27">
        <v>1368</v>
      </c>
      <c r="N27">
        <v>1011</v>
      </c>
      <c r="O27" t="s">
        <v>200</v>
      </c>
      <c r="P27" t="s">
        <v>200</v>
      </c>
      <c r="Q27">
        <v>1</v>
      </c>
      <c r="X27">
        <v>2.9</v>
      </c>
      <c r="Y27">
        <v>0</v>
      </c>
      <c r="Z27">
        <v>8.1</v>
      </c>
      <c r="AA27">
        <v>0</v>
      </c>
      <c r="AB27">
        <v>0</v>
      </c>
      <c r="AC27">
        <v>0</v>
      </c>
      <c r="AD27">
        <v>1</v>
      </c>
      <c r="AE27">
        <v>0</v>
      </c>
      <c r="AF27" t="s">
        <v>3</v>
      </c>
      <c r="AG27">
        <v>2.9</v>
      </c>
      <c r="AH27">
        <v>2</v>
      </c>
      <c r="AI27">
        <v>59844467</v>
      </c>
      <c r="AJ27">
        <v>29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</row>
    <row r="28" spans="1:44" x14ac:dyDescent="0.2">
      <c r="A28">
        <f>ROW(Source!A37)</f>
        <v>37</v>
      </c>
      <c r="B28">
        <v>59844468</v>
      </c>
      <c r="C28">
        <v>59844462</v>
      </c>
      <c r="D28">
        <v>42458681</v>
      </c>
      <c r="E28">
        <v>1</v>
      </c>
      <c r="F28">
        <v>1</v>
      </c>
      <c r="G28">
        <v>1</v>
      </c>
      <c r="H28">
        <v>2</v>
      </c>
      <c r="I28" t="s">
        <v>261</v>
      </c>
      <c r="J28" t="s">
        <v>262</v>
      </c>
      <c r="K28" t="s">
        <v>263</v>
      </c>
      <c r="L28">
        <v>1368</v>
      </c>
      <c r="N28">
        <v>1011</v>
      </c>
      <c r="O28" t="s">
        <v>200</v>
      </c>
      <c r="P28" t="s">
        <v>200</v>
      </c>
      <c r="Q28">
        <v>1</v>
      </c>
      <c r="X28">
        <v>0.17</v>
      </c>
      <c r="Y28">
        <v>0</v>
      </c>
      <c r="Z28">
        <v>1.2</v>
      </c>
      <c r="AA28">
        <v>0</v>
      </c>
      <c r="AB28">
        <v>0</v>
      </c>
      <c r="AC28">
        <v>0</v>
      </c>
      <c r="AD28">
        <v>1</v>
      </c>
      <c r="AE28">
        <v>0</v>
      </c>
      <c r="AF28" t="s">
        <v>3</v>
      </c>
      <c r="AG28">
        <v>0.17</v>
      </c>
      <c r="AH28">
        <v>2</v>
      </c>
      <c r="AI28">
        <v>59844468</v>
      </c>
      <c r="AJ28">
        <v>30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</row>
    <row r="29" spans="1:44" x14ac:dyDescent="0.2">
      <c r="A29">
        <f>ROW(Source!A37)</f>
        <v>37</v>
      </c>
      <c r="B29">
        <v>59844469</v>
      </c>
      <c r="C29">
        <v>59844462</v>
      </c>
      <c r="D29">
        <v>42460530</v>
      </c>
      <c r="E29">
        <v>1</v>
      </c>
      <c r="F29">
        <v>1</v>
      </c>
      <c r="G29">
        <v>1</v>
      </c>
      <c r="H29">
        <v>2</v>
      </c>
      <c r="I29" t="s">
        <v>264</v>
      </c>
      <c r="J29" t="s">
        <v>265</v>
      </c>
      <c r="K29" t="s">
        <v>266</v>
      </c>
      <c r="L29">
        <v>1368</v>
      </c>
      <c r="N29">
        <v>1011</v>
      </c>
      <c r="O29" t="s">
        <v>200</v>
      </c>
      <c r="P29" t="s">
        <v>200</v>
      </c>
      <c r="Q29">
        <v>1</v>
      </c>
      <c r="X29">
        <v>2.88</v>
      </c>
      <c r="Y29">
        <v>0</v>
      </c>
      <c r="Z29">
        <v>5.13</v>
      </c>
      <c r="AA29">
        <v>0</v>
      </c>
      <c r="AB29">
        <v>0</v>
      </c>
      <c r="AC29">
        <v>0</v>
      </c>
      <c r="AD29">
        <v>1</v>
      </c>
      <c r="AE29">
        <v>0</v>
      </c>
      <c r="AF29" t="s">
        <v>3</v>
      </c>
      <c r="AG29">
        <v>2.88</v>
      </c>
      <c r="AH29">
        <v>2</v>
      </c>
      <c r="AI29">
        <v>59844469</v>
      </c>
      <c r="AJ29">
        <v>31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</row>
    <row r="30" spans="1:44" x14ac:dyDescent="0.2">
      <c r="A30">
        <f>ROW(Source!A37)</f>
        <v>37</v>
      </c>
      <c r="B30">
        <v>59844470</v>
      </c>
      <c r="C30">
        <v>59844462</v>
      </c>
      <c r="D30">
        <v>42460936</v>
      </c>
      <c r="E30">
        <v>1</v>
      </c>
      <c r="F30">
        <v>1</v>
      </c>
      <c r="G30">
        <v>1</v>
      </c>
      <c r="H30">
        <v>2</v>
      </c>
      <c r="I30" t="s">
        <v>216</v>
      </c>
      <c r="J30" t="s">
        <v>217</v>
      </c>
      <c r="K30" t="s">
        <v>218</v>
      </c>
      <c r="L30">
        <v>1368</v>
      </c>
      <c r="N30">
        <v>1011</v>
      </c>
      <c r="O30" t="s">
        <v>200</v>
      </c>
      <c r="P30" t="s">
        <v>200</v>
      </c>
      <c r="Q30">
        <v>1</v>
      </c>
      <c r="X30">
        <v>0.05</v>
      </c>
      <c r="Y30">
        <v>0</v>
      </c>
      <c r="Z30">
        <v>87.17</v>
      </c>
      <c r="AA30">
        <v>11.6</v>
      </c>
      <c r="AB30">
        <v>0</v>
      </c>
      <c r="AC30">
        <v>0</v>
      </c>
      <c r="AD30">
        <v>1</v>
      </c>
      <c r="AE30">
        <v>0</v>
      </c>
      <c r="AF30" t="s">
        <v>3</v>
      </c>
      <c r="AG30">
        <v>0.05</v>
      </c>
      <c r="AH30">
        <v>2</v>
      </c>
      <c r="AI30">
        <v>59844470</v>
      </c>
      <c r="AJ30">
        <v>32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</row>
    <row r="31" spans="1:44" x14ac:dyDescent="0.2">
      <c r="A31">
        <f>ROW(Source!A37)</f>
        <v>37</v>
      </c>
      <c r="B31">
        <v>59844471</v>
      </c>
      <c r="C31">
        <v>59844462</v>
      </c>
      <c r="D31">
        <v>42393463</v>
      </c>
      <c r="E31">
        <v>1</v>
      </c>
      <c r="F31">
        <v>1</v>
      </c>
      <c r="G31">
        <v>1</v>
      </c>
      <c r="H31">
        <v>3</v>
      </c>
      <c r="I31" t="s">
        <v>267</v>
      </c>
      <c r="J31" t="s">
        <v>268</v>
      </c>
      <c r="K31" t="s">
        <v>269</v>
      </c>
      <c r="L31">
        <v>1339</v>
      </c>
      <c r="N31">
        <v>1007</v>
      </c>
      <c r="O31" t="s">
        <v>41</v>
      </c>
      <c r="P31" t="s">
        <v>43</v>
      </c>
      <c r="Q31">
        <v>1</v>
      </c>
      <c r="X31">
        <v>1.4</v>
      </c>
      <c r="Y31">
        <v>6.23</v>
      </c>
      <c r="Z31">
        <v>0</v>
      </c>
      <c r="AA31">
        <v>0</v>
      </c>
      <c r="AB31">
        <v>0</v>
      </c>
      <c r="AC31">
        <v>0</v>
      </c>
      <c r="AD31">
        <v>1</v>
      </c>
      <c r="AE31">
        <v>0</v>
      </c>
      <c r="AF31" t="s">
        <v>3</v>
      </c>
      <c r="AG31">
        <v>1.4</v>
      </c>
      <c r="AH31">
        <v>2</v>
      </c>
      <c r="AI31">
        <v>59844471</v>
      </c>
      <c r="AJ31">
        <v>33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</row>
    <row r="32" spans="1:44" x14ac:dyDescent="0.2">
      <c r="A32">
        <f>ROW(Source!A37)</f>
        <v>37</v>
      </c>
      <c r="B32">
        <v>59844472</v>
      </c>
      <c r="C32">
        <v>59844462</v>
      </c>
      <c r="D32">
        <v>42400029</v>
      </c>
      <c r="E32">
        <v>1</v>
      </c>
      <c r="F32">
        <v>1</v>
      </c>
      <c r="G32">
        <v>1</v>
      </c>
      <c r="H32">
        <v>3</v>
      </c>
      <c r="I32" t="s">
        <v>270</v>
      </c>
      <c r="J32" t="s">
        <v>271</v>
      </c>
      <c r="K32" t="s">
        <v>272</v>
      </c>
      <c r="L32">
        <v>1348</v>
      </c>
      <c r="N32">
        <v>1009</v>
      </c>
      <c r="O32" t="s">
        <v>32</v>
      </c>
      <c r="P32" t="s">
        <v>32</v>
      </c>
      <c r="Q32">
        <v>1000</v>
      </c>
      <c r="X32">
        <v>3.5000000000000001E-3</v>
      </c>
      <c r="Y32">
        <v>11623.98</v>
      </c>
      <c r="Z32">
        <v>0</v>
      </c>
      <c r="AA32">
        <v>0</v>
      </c>
      <c r="AB32">
        <v>0</v>
      </c>
      <c r="AC32">
        <v>0</v>
      </c>
      <c r="AD32">
        <v>1</v>
      </c>
      <c r="AE32">
        <v>0</v>
      </c>
      <c r="AF32" t="s">
        <v>3</v>
      </c>
      <c r="AG32">
        <v>3.5000000000000001E-3</v>
      </c>
      <c r="AH32">
        <v>2</v>
      </c>
      <c r="AI32">
        <v>59844472</v>
      </c>
      <c r="AJ32">
        <v>34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</row>
    <row r="33" spans="1:44" x14ac:dyDescent="0.2">
      <c r="A33">
        <f>ROW(Source!A37)</f>
        <v>37</v>
      </c>
      <c r="B33">
        <v>59844473</v>
      </c>
      <c r="C33">
        <v>59844462</v>
      </c>
      <c r="D33">
        <v>42393466</v>
      </c>
      <c r="E33">
        <v>1</v>
      </c>
      <c r="F33">
        <v>1</v>
      </c>
      <c r="G33">
        <v>1</v>
      </c>
      <c r="H33">
        <v>3</v>
      </c>
      <c r="I33" t="s">
        <v>273</v>
      </c>
      <c r="J33" t="s">
        <v>274</v>
      </c>
      <c r="K33" t="s">
        <v>275</v>
      </c>
      <c r="L33">
        <v>1346</v>
      </c>
      <c r="N33">
        <v>1009</v>
      </c>
      <c r="O33" t="s">
        <v>276</v>
      </c>
      <c r="P33" t="s">
        <v>276</v>
      </c>
      <c r="Q33">
        <v>1</v>
      </c>
      <c r="X33">
        <v>0.24</v>
      </c>
      <c r="Y33">
        <v>6.09</v>
      </c>
      <c r="Z33">
        <v>0</v>
      </c>
      <c r="AA33">
        <v>0</v>
      </c>
      <c r="AB33">
        <v>0</v>
      </c>
      <c r="AC33">
        <v>0</v>
      </c>
      <c r="AD33">
        <v>1</v>
      </c>
      <c r="AE33">
        <v>0</v>
      </c>
      <c r="AF33" t="s">
        <v>3</v>
      </c>
      <c r="AG33">
        <v>0.24</v>
      </c>
      <c r="AH33">
        <v>2</v>
      </c>
      <c r="AI33">
        <v>59844473</v>
      </c>
      <c r="AJ33">
        <v>35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</row>
    <row r="34" spans="1:44" x14ac:dyDescent="0.2">
      <c r="A34">
        <f>ROW(Source!A37)</f>
        <v>37</v>
      </c>
      <c r="B34">
        <v>59844474</v>
      </c>
      <c r="C34">
        <v>59844462</v>
      </c>
      <c r="D34">
        <v>42415113</v>
      </c>
      <c r="E34">
        <v>1</v>
      </c>
      <c r="F34">
        <v>1</v>
      </c>
      <c r="G34">
        <v>1</v>
      </c>
      <c r="H34">
        <v>3</v>
      </c>
      <c r="I34" t="s">
        <v>277</v>
      </c>
      <c r="J34" t="s">
        <v>278</v>
      </c>
      <c r="K34" t="s">
        <v>279</v>
      </c>
      <c r="L34">
        <v>1346</v>
      </c>
      <c r="N34">
        <v>1009</v>
      </c>
      <c r="O34" t="s">
        <v>276</v>
      </c>
      <c r="P34" t="s">
        <v>276</v>
      </c>
      <c r="Q34">
        <v>1</v>
      </c>
      <c r="X34">
        <v>15.2</v>
      </c>
      <c r="Y34">
        <v>12.64</v>
      </c>
      <c r="Z34">
        <v>0</v>
      </c>
      <c r="AA34">
        <v>0</v>
      </c>
      <c r="AB34">
        <v>0</v>
      </c>
      <c r="AC34">
        <v>0</v>
      </c>
      <c r="AD34">
        <v>1</v>
      </c>
      <c r="AE34">
        <v>0</v>
      </c>
      <c r="AF34" t="s">
        <v>3</v>
      </c>
      <c r="AG34">
        <v>15.2</v>
      </c>
      <c r="AH34">
        <v>2</v>
      </c>
      <c r="AI34">
        <v>59844474</v>
      </c>
      <c r="AJ34">
        <v>36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</row>
    <row r="35" spans="1:44" x14ac:dyDescent="0.2">
      <c r="A35">
        <f>ROW(Source!A37)</f>
        <v>37</v>
      </c>
      <c r="B35">
        <v>59844475</v>
      </c>
      <c r="C35">
        <v>59844462</v>
      </c>
      <c r="D35">
        <v>42457830</v>
      </c>
      <c r="E35">
        <v>1</v>
      </c>
      <c r="F35">
        <v>1</v>
      </c>
      <c r="G35">
        <v>1</v>
      </c>
      <c r="H35">
        <v>3</v>
      </c>
      <c r="I35" t="s">
        <v>280</v>
      </c>
      <c r="J35" t="s">
        <v>281</v>
      </c>
      <c r="K35" t="s">
        <v>282</v>
      </c>
      <c r="L35">
        <v>1374</v>
      </c>
      <c r="N35">
        <v>1013</v>
      </c>
      <c r="O35" t="s">
        <v>283</v>
      </c>
      <c r="P35" t="s">
        <v>283</v>
      </c>
      <c r="Q35">
        <v>1</v>
      </c>
      <c r="X35">
        <v>3.84</v>
      </c>
      <c r="Y35">
        <v>1</v>
      </c>
      <c r="Z35">
        <v>0</v>
      </c>
      <c r="AA35">
        <v>0</v>
      </c>
      <c r="AB35">
        <v>0</v>
      </c>
      <c r="AC35">
        <v>0</v>
      </c>
      <c r="AD35">
        <v>1</v>
      </c>
      <c r="AE35">
        <v>0</v>
      </c>
      <c r="AF35" t="s">
        <v>3</v>
      </c>
      <c r="AG35">
        <v>3.84</v>
      </c>
      <c r="AH35">
        <v>2</v>
      </c>
      <c r="AI35">
        <v>59844475</v>
      </c>
      <c r="AJ35">
        <v>37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4</vt:i4>
      </vt:variant>
    </vt:vector>
  </HeadingPairs>
  <TitlesOfParts>
    <vt:vector size="10" baseType="lpstr">
      <vt:lpstr>Смета 12 гр. по ФЕР</vt:lpstr>
      <vt:lpstr>Смета Коммерческая</vt:lpstr>
      <vt:lpstr>Source</vt:lpstr>
      <vt:lpstr>SourceObSm</vt:lpstr>
      <vt:lpstr>SmtRes</vt:lpstr>
      <vt:lpstr>EtalonRes</vt:lpstr>
      <vt:lpstr>'Смета 12 гр. по ФЕР'!Заголовки_для_печати</vt:lpstr>
      <vt:lpstr>'Смета Коммерческая'!Заголовки_для_печати</vt:lpstr>
      <vt:lpstr>'Смета 12 гр. по ФЕР'!Область_печати</vt:lpstr>
      <vt:lpstr>'Смета Коммерческая'!Область_печати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Светлана</cp:lastModifiedBy>
  <dcterms:created xsi:type="dcterms:W3CDTF">2020-01-30T13:21:08Z</dcterms:created>
  <dcterms:modified xsi:type="dcterms:W3CDTF">2020-01-30T13:22:31Z</dcterms:modified>
</cp:coreProperties>
</file>