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lcovpa\Desktop\для форума\"/>
    </mc:Choice>
  </mc:AlternateContent>
  <bookViews>
    <workbookView xWindow="0" yWindow="0" windowWidth="28800" windowHeight="12300"/>
  </bookViews>
  <sheets>
    <sheet name="Смета по ТСН-2001" sheetId="5" r:id="rId1"/>
    <sheet name="Дефектная ведомость" sheetId="6" r:id="rId2"/>
    <sheet name="RV_DATA" sheetId="8" state="hidden" r:id="rId3"/>
    <sheet name="Расчет стоимости ресурсов" sheetId="7" r:id="rId4"/>
    <sheet name="Source" sheetId="1" state="hidden" r:id="rId5"/>
    <sheet name="SourceObSm" sheetId="2" state="hidden" r:id="rId6"/>
    <sheet name="SmtRes" sheetId="3" state="hidden" r:id="rId7"/>
    <sheet name="EtalonRes" sheetId="4" state="hidden" r:id="rId8"/>
  </sheets>
  <definedNames>
    <definedName name="_xlnm.Print_Titles" localSheetId="1">'Дефектная ведомость'!$18:$18</definedName>
    <definedName name="_xlnm.Print_Titles" localSheetId="3">'Расчет стоимости ресурсов'!$4:$7</definedName>
    <definedName name="_xlnm.Print_Titles" localSheetId="0">'Смета по ТСН-2001'!$34:$34</definedName>
    <definedName name="_xlnm.Print_Area" localSheetId="1">'Дефектная ведомость'!$A$1:$E$58</definedName>
    <definedName name="_xlnm.Print_Area" localSheetId="3">'Расчет стоимости ресурсов'!$A$1:$F$84</definedName>
    <definedName name="_xlnm.Print_Area" localSheetId="0">'Смета по ТСН-2001'!$A$1:$K$280</definedName>
  </definedNames>
  <calcPr calcId="162913"/>
</workbook>
</file>

<file path=xl/calcChain.xml><?xml version="1.0" encoding="utf-8"?>
<calcChain xmlns="http://schemas.openxmlformats.org/spreadsheetml/2006/main">
  <c r="E82" i="7" l="1"/>
  <c r="E81" i="7"/>
  <c r="E80" i="7"/>
  <c r="E78" i="7"/>
  <c r="E79" i="7" s="1"/>
  <c r="E77" i="7"/>
  <c r="E76" i="7"/>
  <c r="E75" i="7"/>
  <c r="E74" i="7"/>
  <c r="E73" i="7"/>
  <c r="A72" i="7"/>
  <c r="E69" i="7"/>
  <c r="E68" i="7"/>
  <c r="E67" i="7"/>
  <c r="E65" i="7"/>
  <c r="E66" i="7" s="1"/>
  <c r="E64" i="7"/>
  <c r="E63" i="7"/>
  <c r="E62" i="7"/>
  <c r="E61" i="7"/>
  <c r="E60" i="7"/>
  <c r="A59" i="7"/>
  <c r="E56" i="7"/>
  <c r="E55" i="7"/>
  <c r="E54" i="7"/>
  <c r="E52" i="7"/>
  <c r="E51" i="7"/>
  <c r="E50" i="7"/>
  <c r="E49" i="7"/>
  <c r="E48" i="7"/>
  <c r="E47" i="7"/>
  <c r="A46" i="7"/>
  <c r="E44" i="7"/>
  <c r="F43" i="7"/>
  <c r="E43" i="7"/>
  <c r="D43" i="7"/>
  <c r="F42" i="7"/>
  <c r="E42" i="7"/>
  <c r="D42" i="7"/>
  <c r="F41" i="7"/>
  <c r="E41" i="7"/>
  <c r="D41" i="7"/>
  <c r="F37" i="7"/>
  <c r="E37" i="7"/>
  <c r="D37" i="7"/>
  <c r="F40" i="7"/>
  <c r="E40" i="7"/>
  <c r="D40" i="7"/>
  <c r="F38" i="7"/>
  <c r="E38" i="7"/>
  <c r="D38" i="7"/>
  <c r="F39" i="7"/>
  <c r="E39" i="7"/>
  <c r="D39" i="7"/>
  <c r="A35" i="7"/>
  <c r="E34" i="7"/>
  <c r="F30" i="7"/>
  <c r="E30" i="7"/>
  <c r="D30" i="7"/>
  <c r="F29" i="7"/>
  <c r="E29" i="7"/>
  <c r="D29" i="7"/>
  <c r="F33" i="7"/>
  <c r="E33" i="7"/>
  <c r="D33" i="7"/>
  <c r="F32" i="7"/>
  <c r="E32" i="7"/>
  <c r="D32" i="7"/>
  <c r="F28" i="7"/>
  <c r="E28" i="7"/>
  <c r="D28" i="7"/>
  <c r="F27" i="7"/>
  <c r="E27" i="7"/>
  <c r="D27" i="7"/>
  <c r="F20" i="7"/>
  <c r="E20" i="7"/>
  <c r="D20" i="7"/>
  <c r="F22" i="7"/>
  <c r="E22" i="7"/>
  <c r="D22" i="7"/>
  <c r="F21" i="7"/>
  <c r="E21" i="7"/>
  <c r="D21" i="7"/>
  <c r="F19" i="7"/>
  <c r="E19" i="7"/>
  <c r="D19" i="7"/>
  <c r="F25" i="7"/>
  <c r="E25" i="7"/>
  <c r="D25" i="7"/>
  <c r="F26" i="7"/>
  <c r="E26" i="7"/>
  <c r="D26" i="7"/>
  <c r="F24" i="7"/>
  <c r="E24" i="7"/>
  <c r="D24" i="7"/>
  <c r="F31" i="7"/>
  <c r="E31" i="7"/>
  <c r="D31" i="7"/>
  <c r="F23" i="7"/>
  <c r="E23" i="7"/>
  <c r="D23" i="7"/>
  <c r="E17" i="7"/>
  <c r="F13" i="7"/>
  <c r="E13" i="7"/>
  <c r="D13" i="7"/>
  <c r="F14" i="7"/>
  <c r="E14" i="7"/>
  <c r="D14" i="7"/>
  <c r="F15" i="7"/>
  <c r="E15" i="7"/>
  <c r="D15" i="7"/>
  <c r="F16" i="7"/>
  <c r="E16" i="7"/>
  <c r="D16" i="7"/>
  <c r="E11" i="7"/>
  <c r="F10" i="7"/>
  <c r="E10" i="7"/>
  <c r="D10" i="7"/>
  <c r="A8" i="7"/>
  <c r="A3" i="7"/>
  <c r="U48" i="8"/>
  <c r="T48" i="8"/>
  <c r="S48" i="8"/>
  <c r="R48" i="8"/>
  <c r="P48" i="8"/>
  <c r="O48" i="8"/>
  <c r="N48" i="8"/>
  <c r="M48" i="8"/>
  <c r="K48" i="8"/>
  <c r="I48" i="8"/>
  <c r="H48" i="8"/>
  <c r="G48" i="8"/>
  <c r="F48" i="8"/>
  <c r="E48" i="8"/>
  <c r="D48" i="8"/>
  <c r="A48" i="8"/>
  <c r="U47" i="8"/>
  <c r="T47" i="8"/>
  <c r="S47" i="8"/>
  <c r="R47" i="8"/>
  <c r="P47" i="8"/>
  <c r="O47" i="8"/>
  <c r="N47" i="8"/>
  <c r="M47" i="8"/>
  <c r="K47" i="8"/>
  <c r="I47" i="8"/>
  <c r="H47" i="8"/>
  <c r="G47" i="8"/>
  <c r="F47" i="8"/>
  <c r="E47" i="8"/>
  <c r="D47" i="8"/>
  <c r="A47" i="8"/>
  <c r="U46" i="8"/>
  <c r="T46" i="8"/>
  <c r="S46" i="8"/>
  <c r="R46" i="8"/>
  <c r="P46" i="8"/>
  <c r="O46" i="8"/>
  <c r="N46" i="8"/>
  <c r="M46" i="8"/>
  <c r="K46" i="8"/>
  <c r="I46" i="8"/>
  <c r="H46" i="8"/>
  <c r="G46" i="8"/>
  <c r="F46" i="8"/>
  <c r="E46" i="8"/>
  <c r="D46" i="8"/>
  <c r="A46" i="8"/>
  <c r="U45" i="8"/>
  <c r="T45" i="8"/>
  <c r="S45" i="8"/>
  <c r="R45" i="8"/>
  <c r="P45" i="8"/>
  <c r="O45" i="8"/>
  <c r="N45" i="8"/>
  <c r="M45" i="8"/>
  <c r="K45" i="8"/>
  <c r="I45" i="8"/>
  <c r="H45" i="8"/>
  <c r="G45" i="8"/>
  <c r="F45" i="8"/>
  <c r="E45" i="8"/>
  <c r="D45" i="8"/>
  <c r="A45" i="8"/>
  <c r="U44" i="8"/>
  <c r="T44" i="8"/>
  <c r="S44" i="8"/>
  <c r="R44" i="8"/>
  <c r="P44" i="8"/>
  <c r="O44" i="8"/>
  <c r="N44" i="8"/>
  <c r="M44" i="8"/>
  <c r="K44" i="8"/>
  <c r="I44" i="8"/>
  <c r="H44" i="8"/>
  <c r="G44" i="8"/>
  <c r="F44" i="8"/>
  <c r="E44" i="8"/>
  <c r="D44" i="8"/>
  <c r="A44" i="8"/>
  <c r="U43" i="8"/>
  <c r="T43" i="8"/>
  <c r="S43" i="8"/>
  <c r="R43" i="8"/>
  <c r="P43" i="8"/>
  <c r="O43" i="8"/>
  <c r="N43" i="8"/>
  <c r="M43" i="8"/>
  <c r="K43" i="8"/>
  <c r="I43" i="8"/>
  <c r="H43" i="8"/>
  <c r="G43" i="8"/>
  <c r="F43" i="8"/>
  <c r="E43" i="8"/>
  <c r="D43" i="8"/>
  <c r="A43" i="8"/>
  <c r="U42" i="8"/>
  <c r="T42" i="8"/>
  <c r="S42" i="8"/>
  <c r="R42" i="8"/>
  <c r="P42" i="8"/>
  <c r="O42" i="8"/>
  <c r="N42" i="8"/>
  <c r="M42" i="8"/>
  <c r="K42" i="8"/>
  <c r="I42" i="8"/>
  <c r="H42" i="8"/>
  <c r="G42" i="8"/>
  <c r="F42" i="8"/>
  <c r="E42" i="8"/>
  <c r="D42" i="8"/>
  <c r="A42" i="8"/>
  <c r="G41" i="8"/>
  <c r="A41" i="8"/>
  <c r="U40" i="8"/>
  <c r="T40" i="8"/>
  <c r="R40" i="8"/>
  <c r="Q40" i="8"/>
  <c r="S40" i="8"/>
  <c r="P40" i="8"/>
  <c r="O40" i="8"/>
  <c r="M40" i="8"/>
  <c r="L40" i="8"/>
  <c r="N40" i="8"/>
  <c r="K40" i="8"/>
  <c r="J40" i="8"/>
  <c r="I40" i="8"/>
  <c r="H40" i="8"/>
  <c r="G40" i="8"/>
  <c r="F40" i="8"/>
  <c r="E40" i="8"/>
  <c r="A40" i="8"/>
  <c r="U39" i="8"/>
  <c r="T39" i="8"/>
  <c r="R39" i="8"/>
  <c r="Q39" i="8"/>
  <c r="S39" i="8"/>
  <c r="P39" i="8"/>
  <c r="O39" i="8"/>
  <c r="M39" i="8"/>
  <c r="L39" i="8"/>
  <c r="N39" i="8"/>
  <c r="K39" i="8"/>
  <c r="J39" i="8"/>
  <c r="I39" i="8"/>
  <c r="H39" i="8"/>
  <c r="G39" i="8"/>
  <c r="F39" i="8"/>
  <c r="E39" i="8"/>
  <c r="A39" i="8"/>
  <c r="U38" i="8"/>
  <c r="T38" i="8"/>
  <c r="R38" i="8"/>
  <c r="Q38" i="8"/>
  <c r="S38" i="8"/>
  <c r="P38" i="8"/>
  <c r="O38" i="8"/>
  <c r="M38" i="8"/>
  <c r="L38" i="8"/>
  <c r="N38" i="8"/>
  <c r="K38" i="8"/>
  <c r="J38" i="8"/>
  <c r="I38" i="8"/>
  <c r="H38" i="8"/>
  <c r="G38" i="8"/>
  <c r="F38" i="8"/>
  <c r="E38" i="8"/>
  <c r="A38" i="8"/>
  <c r="U37" i="8"/>
  <c r="T37" i="8"/>
  <c r="R37" i="8"/>
  <c r="Q37" i="8"/>
  <c r="S37" i="8"/>
  <c r="P37" i="8"/>
  <c r="O37" i="8"/>
  <c r="M37" i="8"/>
  <c r="L37" i="8"/>
  <c r="N37" i="8"/>
  <c r="K37" i="8"/>
  <c r="J37" i="8"/>
  <c r="I37" i="8"/>
  <c r="H37" i="8"/>
  <c r="G37" i="8"/>
  <c r="F37" i="8"/>
  <c r="E37" i="8"/>
  <c r="A37" i="8"/>
  <c r="U36" i="8"/>
  <c r="T36" i="8"/>
  <c r="R36" i="8"/>
  <c r="Q36" i="8"/>
  <c r="S36" i="8"/>
  <c r="P36" i="8"/>
  <c r="O36" i="8"/>
  <c r="M36" i="8"/>
  <c r="L36" i="8"/>
  <c r="N36" i="8"/>
  <c r="K36" i="8"/>
  <c r="J36" i="8"/>
  <c r="I36" i="8"/>
  <c r="H36" i="8"/>
  <c r="G36" i="8"/>
  <c r="F36" i="8"/>
  <c r="E36" i="8"/>
  <c r="A36" i="8"/>
  <c r="U35" i="8"/>
  <c r="T35" i="8"/>
  <c r="S35" i="8"/>
  <c r="R35" i="8"/>
  <c r="P35" i="8"/>
  <c r="O35" i="8"/>
  <c r="N35" i="8"/>
  <c r="M35" i="8"/>
  <c r="K35" i="8"/>
  <c r="I35" i="8"/>
  <c r="H35" i="8"/>
  <c r="G35" i="8"/>
  <c r="F35" i="8"/>
  <c r="E35" i="8"/>
  <c r="D35" i="8"/>
  <c r="A35" i="8"/>
  <c r="U34" i="8"/>
  <c r="T34" i="8"/>
  <c r="S34" i="8"/>
  <c r="R34" i="8"/>
  <c r="P34" i="8"/>
  <c r="O34" i="8"/>
  <c r="N34" i="8"/>
  <c r="M34" i="8"/>
  <c r="K34" i="8"/>
  <c r="I34" i="8"/>
  <c r="H34" i="8"/>
  <c r="G34" i="8"/>
  <c r="F34" i="8"/>
  <c r="E34" i="8"/>
  <c r="D34" i="8"/>
  <c r="A34" i="8"/>
  <c r="U33" i="8"/>
  <c r="T33" i="8"/>
  <c r="S33" i="8"/>
  <c r="R33" i="8"/>
  <c r="P33" i="8"/>
  <c r="O33" i="8"/>
  <c r="N33" i="8"/>
  <c r="M33" i="8"/>
  <c r="K33" i="8"/>
  <c r="I33" i="8"/>
  <c r="H33" i="8"/>
  <c r="G33" i="8"/>
  <c r="F33" i="8"/>
  <c r="E33" i="8"/>
  <c r="D33" i="8"/>
  <c r="A33" i="8"/>
  <c r="U32" i="8"/>
  <c r="T32" i="8"/>
  <c r="R32" i="8"/>
  <c r="Q32" i="8"/>
  <c r="S32" i="8"/>
  <c r="P32" i="8"/>
  <c r="O32" i="8"/>
  <c r="M32" i="8"/>
  <c r="L32" i="8"/>
  <c r="N32" i="8"/>
  <c r="K32" i="8"/>
  <c r="J32" i="8"/>
  <c r="I32" i="8"/>
  <c r="H32" i="8"/>
  <c r="G32" i="8"/>
  <c r="F32" i="8"/>
  <c r="E32" i="8"/>
  <c r="A32" i="8"/>
  <c r="U31" i="8"/>
  <c r="T31" i="8"/>
  <c r="R31" i="8"/>
  <c r="Q31" i="8"/>
  <c r="S31" i="8"/>
  <c r="P31" i="8"/>
  <c r="O31" i="8"/>
  <c r="M31" i="8"/>
  <c r="L31" i="8"/>
  <c r="N31" i="8"/>
  <c r="K31" i="8"/>
  <c r="J31" i="8"/>
  <c r="I31" i="8"/>
  <c r="H31" i="8"/>
  <c r="G31" i="8"/>
  <c r="F31" i="8"/>
  <c r="E31" i="8"/>
  <c r="A31" i="8"/>
  <c r="U30" i="8"/>
  <c r="T30" i="8"/>
  <c r="R30" i="8"/>
  <c r="Q30" i="8"/>
  <c r="S30" i="8"/>
  <c r="P30" i="8"/>
  <c r="O30" i="8"/>
  <c r="M30" i="8"/>
  <c r="L30" i="8"/>
  <c r="N30" i="8"/>
  <c r="K30" i="8"/>
  <c r="J30" i="8"/>
  <c r="I30" i="8"/>
  <c r="H30" i="8"/>
  <c r="G30" i="8"/>
  <c r="F30" i="8"/>
  <c r="E30" i="8"/>
  <c r="A30" i="8"/>
  <c r="U29" i="8"/>
  <c r="T29" i="8"/>
  <c r="S29" i="8"/>
  <c r="R29" i="8"/>
  <c r="P29" i="8"/>
  <c r="O29" i="8"/>
  <c r="N29" i="8"/>
  <c r="M29" i="8"/>
  <c r="K29" i="8"/>
  <c r="I29" i="8"/>
  <c r="H29" i="8"/>
  <c r="G29" i="8"/>
  <c r="F29" i="8"/>
  <c r="E29" i="8"/>
  <c r="D29" i="8"/>
  <c r="A29" i="8"/>
  <c r="U28" i="8"/>
  <c r="T28" i="8"/>
  <c r="S28" i="8"/>
  <c r="R28" i="8"/>
  <c r="P28" i="8"/>
  <c r="O28" i="8"/>
  <c r="N28" i="8"/>
  <c r="M28" i="8"/>
  <c r="K28" i="8"/>
  <c r="I28" i="8"/>
  <c r="H28" i="8"/>
  <c r="G28" i="8"/>
  <c r="F28" i="8"/>
  <c r="E28" i="8"/>
  <c r="D28" i="8"/>
  <c r="A28" i="8"/>
  <c r="U27" i="8"/>
  <c r="T27" i="8"/>
  <c r="S27" i="8"/>
  <c r="R27" i="8"/>
  <c r="P27" i="8"/>
  <c r="O27" i="8"/>
  <c r="N27" i="8"/>
  <c r="M27" i="8"/>
  <c r="K27" i="8"/>
  <c r="I27" i="8"/>
  <c r="H27" i="8"/>
  <c r="G27" i="8"/>
  <c r="F27" i="8"/>
  <c r="E27" i="8"/>
  <c r="D27" i="8"/>
  <c r="A27" i="8"/>
  <c r="U26" i="8"/>
  <c r="T26" i="8"/>
  <c r="S26" i="8"/>
  <c r="R26" i="8"/>
  <c r="P26" i="8"/>
  <c r="O26" i="8"/>
  <c r="N26" i="8"/>
  <c r="M26" i="8"/>
  <c r="K26" i="8"/>
  <c r="I26" i="8"/>
  <c r="H26" i="8"/>
  <c r="G26" i="8"/>
  <c r="F26" i="8"/>
  <c r="E26" i="8"/>
  <c r="D26" i="8"/>
  <c r="A26" i="8"/>
  <c r="U25" i="8"/>
  <c r="T25" i="8"/>
  <c r="S25" i="8"/>
  <c r="R25" i="8"/>
  <c r="P25" i="8"/>
  <c r="O25" i="8"/>
  <c r="N25" i="8"/>
  <c r="M25" i="8"/>
  <c r="K25" i="8"/>
  <c r="I25" i="8"/>
  <c r="H25" i="8"/>
  <c r="G25" i="8"/>
  <c r="F25" i="8"/>
  <c r="E25" i="8"/>
  <c r="D25" i="8"/>
  <c r="A25" i="8"/>
  <c r="U24" i="8"/>
  <c r="T24" i="8"/>
  <c r="S24" i="8"/>
  <c r="R24" i="8"/>
  <c r="P24" i="8"/>
  <c r="O24" i="8"/>
  <c r="N24" i="8"/>
  <c r="M24" i="8"/>
  <c r="K24" i="8"/>
  <c r="I24" i="8"/>
  <c r="H24" i="8"/>
  <c r="G24" i="8"/>
  <c r="F24" i="8"/>
  <c r="E24" i="8"/>
  <c r="D24" i="8"/>
  <c r="A24" i="8"/>
  <c r="U23" i="8"/>
  <c r="T23" i="8"/>
  <c r="R23" i="8"/>
  <c r="Q23" i="8"/>
  <c r="S23" i="8"/>
  <c r="P23" i="8"/>
  <c r="O23" i="8"/>
  <c r="M23" i="8"/>
  <c r="L23" i="8"/>
  <c r="N23" i="8"/>
  <c r="K23" i="8"/>
  <c r="J23" i="8"/>
  <c r="I23" i="8"/>
  <c r="H23" i="8"/>
  <c r="G23" i="8"/>
  <c r="F23" i="8"/>
  <c r="E23" i="8"/>
  <c r="A23" i="8"/>
  <c r="U22" i="8"/>
  <c r="T22" i="8"/>
  <c r="S22" i="8"/>
  <c r="R22" i="8"/>
  <c r="P22" i="8"/>
  <c r="O22" i="8"/>
  <c r="N22" i="8"/>
  <c r="M22" i="8"/>
  <c r="K22" i="8"/>
  <c r="I22" i="8"/>
  <c r="H22" i="8"/>
  <c r="G22" i="8"/>
  <c r="F22" i="8"/>
  <c r="E22" i="8"/>
  <c r="D22" i="8"/>
  <c r="A22" i="8"/>
  <c r="U21" i="8"/>
  <c r="T21" i="8"/>
  <c r="S21" i="8"/>
  <c r="R21" i="8"/>
  <c r="P21" i="8"/>
  <c r="O21" i="8"/>
  <c r="N21" i="8"/>
  <c r="M21" i="8"/>
  <c r="K21" i="8"/>
  <c r="I21" i="8"/>
  <c r="H21" i="8"/>
  <c r="G21" i="8"/>
  <c r="F21" i="8"/>
  <c r="E21" i="8"/>
  <c r="D21" i="8"/>
  <c r="A21" i="8"/>
  <c r="U20" i="8"/>
  <c r="T20" i="8"/>
  <c r="S20" i="8"/>
  <c r="R20" i="8"/>
  <c r="P20" i="8"/>
  <c r="O20" i="8"/>
  <c r="N20" i="8"/>
  <c r="M20" i="8"/>
  <c r="K20" i="8"/>
  <c r="I20" i="8"/>
  <c r="H20" i="8"/>
  <c r="G20" i="8"/>
  <c r="F20" i="8"/>
  <c r="E20" i="8"/>
  <c r="D20" i="8"/>
  <c r="A20" i="8"/>
  <c r="U19" i="8"/>
  <c r="T19" i="8"/>
  <c r="R19" i="8"/>
  <c r="Q19" i="8"/>
  <c r="S19" i="8"/>
  <c r="P19" i="8"/>
  <c r="O19" i="8"/>
  <c r="M19" i="8"/>
  <c r="L19" i="8"/>
  <c r="N19" i="8"/>
  <c r="K19" i="8"/>
  <c r="J19" i="8"/>
  <c r="I19" i="8"/>
  <c r="H19" i="8"/>
  <c r="G19" i="8"/>
  <c r="F19" i="8"/>
  <c r="E19" i="8"/>
  <c r="A19" i="8"/>
  <c r="U18" i="8"/>
  <c r="T18" i="8"/>
  <c r="R18" i="8"/>
  <c r="Q18" i="8"/>
  <c r="S18" i="8"/>
  <c r="P18" i="8"/>
  <c r="O18" i="8"/>
  <c r="M18" i="8"/>
  <c r="L18" i="8"/>
  <c r="N18" i="8"/>
  <c r="K18" i="8"/>
  <c r="J18" i="8"/>
  <c r="I18" i="8"/>
  <c r="H18" i="8"/>
  <c r="G18" i="8"/>
  <c r="F18" i="8"/>
  <c r="E18" i="8"/>
  <c r="A18" i="8"/>
  <c r="U17" i="8"/>
  <c r="T17" i="8"/>
  <c r="S17" i="8"/>
  <c r="R17" i="8"/>
  <c r="P17" i="8"/>
  <c r="O17" i="8"/>
  <c r="N17" i="8"/>
  <c r="M17" i="8"/>
  <c r="K17" i="8"/>
  <c r="I17" i="8"/>
  <c r="H17" i="8"/>
  <c r="G17" i="8"/>
  <c r="F17" i="8"/>
  <c r="E17" i="8"/>
  <c r="D17" i="8"/>
  <c r="A17" i="8"/>
  <c r="U16" i="8"/>
  <c r="T16" i="8"/>
  <c r="R16" i="8"/>
  <c r="Q16" i="8"/>
  <c r="S16" i="8"/>
  <c r="P16" i="8"/>
  <c r="O16" i="8"/>
  <c r="M16" i="8"/>
  <c r="L16" i="8"/>
  <c r="N16" i="8"/>
  <c r="K16" i="8"/>
  <c r="J16" i="8"/>
  <c r="I16" i="8"/>
  <c r="H16" i="8"/>
  <c r="G16" i="8"/>
  <c r="F16" i="8"/>
  <c r="E16" i="8"/>
  <c r="A16" i="8"/>
  <c r="U15" i="8"/>
  <c r="T15" i="8"/>
  <c r="R15" i="8"/>
  <c r="Q15" i="8"/>
  <c r="S15" i="8"/>
  <c r="P15" i="8"/>
  <c r="O15" i="8"/>
  <c r="M15" i="8"/>
  <c r="L15" i="8"/>
  <c r="N15" i="8"/>
  <c r="K15" i="8"/>
  <c r="J15" i="8"/>
  <c r="I15" i="8"/>
  <c r="H15" i="8"/>
  <c r="G15" i="8"/>
  <c r="F15" i="8"/>
  <c r="E15" i="8"/>
  <c r="A15" i="8"/>
  <c r="U14" i="8"/>
  <c r="T14" i="8"/>
  <c r="R14" i="8"/>
  <c r="Q14" i="8"/>
  <c r="S14" i="8"/>
  <c r="P14" i="8"/>
  <c r="O14" i="8"/>
  <c r="M14" i="8"/>
  <c r="L14" i="8"/>
  <c r="N14" i="8"/>
  <c r="K14" i="8"/>
  <c r="J14" i="8"/>
  <c r="I14" i="8"/>
  <c r="H14" i="8"/>
  <c r="G14" i="8"/>
  <c r="F14" i="8"/>
  <c r="E14" i="8"/>
  <c r="A14" i="8"/>
  <c r="U13" i="8"/>
  <c r="T13" i="8"/>
  <c r="R13" i="8"/>
  <c r="Q13" i="8"/>
  <c r="S13" i="8"/>
  <c r="P13" i="8"/>
  <c r="O13" i="8"/>
  <c r="M13" i="8"/>
  <c r="L13" i="8"/>
  <c r="N13" i="8"/>
  <c r="K13" i="8"/>
  <c r="J13" i="8"/>
  <c r="I13" i="8"/>
  <c r="H13" i="8"/>
  <c r="G13" i="8"/>
  <c r="F13" i="8"/>
  <c r="E13" i="8"/>
  <c r="A13" i="8"/>
  <c r="U12" i="8"/>
  <c r="T12" i="8"/>
  <c r="R12" i="8"/>
  <c r="Q12" i="8"/>
  <c r="S12" i="8"/>
  <c r="P12" i="8"/>
  <c r="O12" i="8"/>
  <c r="M12" i="8"/>
  <c r="L12" i="8"/>
  <c r="N12" i="8"/>
  <c r="K12" i="8"/>
  <c r="J12" i="8"/>
  <c r="I12" i="8"/>
  <c r="H12" i="8"/>
  <c r="G12" i="8"/>
  <c r="F12" i="8"/>
  <c r="E12" i="8"/>
  <c r="A12" i="8"/>
  <c r="U11" i="8"/>
  <c r="T11" i="8"/>
  <c r="R11" i="8"/>
  <c r="Q11" i="8"/>
  <c r="S11" i="8"/>
  <c r="P11" i="8"/>
  <c r="O11" i="8"/>
  <c r="M11" i="8"/>
  <c r="L11" i="8"/>
  <c r="N11" i="8"/>
  <c r="K11" i="8"/>
  <c r="J11" i="8"/>
  <c r="I11" i="8"/>
  <c r="H11" i="8"/>
  <c r="G11" i="8"/>
  <c r="F11" i="8"/>
  <c r="E11" i="8"/>
  <c r="A11" i="8"/>
  <c r="U10" i="8"/>
  <c r="T10" i="8"/>
  <c r="R10" i="8"/>
  <c r="Q10" i="8"/>
  <c r="S10" i="8"/>
  <c r="P10" i="8"/>
  <c r="O10" i="8"/>
  <c r="M10" i="8"/>
  <c r="L10" i="8"/>
  <c r="N10" i="8"/>
  <c r="K10" i="8"/>
  <c r="J10" i="8"/>
  <c r="I10" i="8"/>
  <c r="H10" i="8"/>
  <c r="G10" i="8"/>
  <c r="F10" i="8"/>
  <c r="E10" i="8"/>
  <c r="A10" i="8"/>
  <c r="U9" i="8"/>
  <c r="T9" i="8"/>
  <c r="R9" i="8"/>
  <c r="Q9" i="8"/>
  <c r="S9" i="8"/>
  <c r="P9" i="8"/>
  <c r="O9" i="8"/>
  <c r="M9" i="8"/>
  <c r="L9" i="8"/>
  <c r="N9" i="8"/>
  <c r="K9" i="8"/>
  <c r="J9" i="8"/>
  <c r="I9" i="8"/>
  <c r="H9" i="8"/>
  <c r="G9" i="8"/>
  <c r="F9" i="8"/>
  <c r="E9" i="8"/>
  <c r="A9" i="8"/>
  <c r="U8" i="8"/>
  <c r="T8" i="8"/>
  <c r="R8" i="8"/>
  <c r="Q8" i="8"/>
  <c r="S8" i="8"/>
  <c r="P8" i="8"/>
  <c r="O8" i="8"/>
  <c r="M8" i="8"/>
  <c r="L8" i="8"/>
  <c r="N8" i="8"/>
  <c r="K8" i="8"/>
  <c r="J8" i="8"/>
  <c r="I8" i="8"/>
  <c r="H8" i="8"/>
  <c r="G8" i="8"/>
  <c r="F8" i="8"/>
  <c r="E8" i="8"/>
  <c r="A8" i="8"/>
  <c r="U7" i="8"/>
  <c r="T7" i="8"/>
  <c r="R7" i="8"/>
  <c r="Q7" i="8"/>
  <c r="S7" i="8"/>
  <c r="P7" i="8"/>
  <c r="O7" i="8"/>
  <c r="M7" i="8"/>
  <c r="L7" i="8"/>
  <c r="N7" i="8"/>
  <c r="K7" i="8"/>
  <c r="J7" i="8"/>
  <c r="I7" i="8"/>
  <c r="H7" i="8"/>
  <c r="G7" i="8"/>
  <c r="F7" i="8"/>
  <c r="E7" i="8"/>
  <c r="A7" i="8"/>
  <c r="G6" i="8"/>
  <c r="A6" i="8"/>
  <c r="D53" i="6"/>
  <c r="C53" i="6"/>
  <c r="B53" i="6"/>
  <c r="A53" i="6"/>
  <c r="D52" i="6"/>
  <c r="C52" i="6"/>
  <c r="B52" i="6"/>
  <c r="A52" i="6"/>
  <c r="D51" i="6"/>
  <c r="C51" i="6"/>
  <c r="B51" i="6"/>
  <c r="A51" i="6"/>
  <c r="D50" i="6"/>
  <c r="C50" i="6"/>
  <c r="B50" i="6"/>
  <c r="A50" i="6"/>
  <c r="D49" i="6"/>
  <c r="C49" i="6"/>
  <c r="B49" i="6"/>
  <c r="A49" i="6"/>
  <c r="D48" i="6"/>
  <c r="C48" i="6"/>
  <c r="B48" i="6"/>
  <c r="A48" i="6"/>
  <c r="D47" i="6"/>
  <c r="C47" i="6"/>
  <c r="B47" i="6"/>
  <c r="A47" i="6"/>
  <c r="A46" i="6"/>
  <c r="D45" i="6"/>
  <c r="C45" i="6"/>
  <c r="B45" i="6"/>
  <c r="A45" i="6"/>
  <c r="D44" i="6"/>
  <c r="C44" i="6"/>
  <c r="B44" i="6"/>
  <c r="A44" i="6"/>
  <c r="D43" i="6"/>
  <c r="C43" i="6"/>
  <c r="B43" i="6"/>
  <c r="A43" i="6"/>
  <c r="D42" i="6"/>
  <c r="C42" i="6"/>
  <c r="B42" i="6"/>
  <c r="A42" i="6"/>
  <c r="D41" i="6"/>
  <c r="C41" i="6"/>
  <c r="B41" i="6"/>
  <c r="A41" i="6"/>
  <c r="D40" i="6"/>
  <c r="C40" i="6"/>
  <c r="B40" i="6"/>
  <c r="A40" i="6"/>
  <c r="D39" i="6"/>
  <c r="C39" i="6"/>
  <c r="B39" i="6"/>
  <c r="A39" i="6"/>
  <c r="D38" i="6"/>
  <c r="C38" i="6"/>
  <c r="B38" i="6"/>
  <c r="A38" i="6"/>
  <c r="D37" i="6"/>
  <c r="C37" i="6"/>
  <c r="B37" i="6"/>
  <c r="A37" i="6"/>
  <c r="D36" i="6"/>
  <c r="C36" i="6"/>
  <c r="B36" i="6"/>
  <c r="A36" i="6"/>
  <c r="D35" i="6"/>
  <c r="C35" i="6"/>
  <c r="B35" i="6"/>
  <c r="A35" i="6"/>
  <c r="D34" i="6"/>
  <c r="C34" i="6"/>
  <c r="B34" i="6"/>
  <c r="A34" i="6"/>
  <c r="D33" i="6"/>
  <c r="C33" i="6"/>
  <c r="B33" i="6"/>
  <c r="A33" i="6"/>
  <c r="D32" i="6"/>
  <c r="C32" i="6"/>
  <c r="B32" i="6"/>
  <c r="A32" i="6"/>
  <c r="D31" i="6"/>
  <c r="C31" i="6"/>
  <c r="B31" i="6"/>
  <c r="A31" i="6"/>
  <c r="D30" i="6"/>
  <c r="C30" i="6"/>
  <c r="B30" i="6"/>
  <c r="A30" i="6"/>
  <c r="D29" i="6"/>
  <c r="C29" i="6"/>
  <c r="B29" i="6"/>
  <c r="A29" i="6"/>
  <c r="D28" i="6"/>
  <c r="C28" i="6"/>
  <c r="B28" i="6"/>
  <c r="A28" i="6"/>
  <c r="D27" i="6"/>
  <c r="C27" i="6"/>
  <c r="B27" i="6"/>
  <c r="A27" i="6"/>
  <c r="D26" i="6"/>
  <c r="C26" i="6"/>
  <c r="B26" i="6"/>
  <c r="A26" i="6"/>
  <c r="D25" i="6"/>
  <c r="C25" i="6"/>
  <c r="B25" i="6"/>
  <c r="A25" i="6"/>
  <c r="D24" i="6"/>
  <c r="C24" i="6"/>
  <c r="B24" i="6"/>
  <c r="A24" i="6"/>
  <c r="D23" i="6"/>
  <c r="C23" i="6"/>
  <c r="B23" i="6"/>
  <c r="A23" i="6"/>
  <c r="D22" i="6"/>
  <c r="C22" i="6"/>
  <c r="B22" i="6"/>
  <c r="A22" i="6"/>
  <c r="D21" i="6"/>
  <c r="C21" i="6"/>
  <c r="B21" i="6"/>
  <c r="A21" i="6"/>
  <c r="D20" i="6"/>
  <c r="C20" i="6"/>
  <c r="B20" i="6"/>
  <c r="A20" i="6"/>
  <c r="A19" i="6"/>
  <c r="A12" i="6"/>
  <c r="A11" i="6"/>
  <c r="A1" i="6"/>
  <c r="H278" i="5"/>
  <c r="H275" i="5"/>
  <c r="C278" i="5"/>
  <c r="C275" i="5"/>
  <c r="J272" i="5"/>
  <c r="H272" i="5"/>
  <c r="C272" i="5"/>
  <c r="J271" i="5"/>
  <c r="H271" i="5"/>
  <c r="C271" i="5"/>
  <c r="J270" i="5"/>
  <c r="H270" i="5"/>
  <c r="C270" i="5"/>
  <c r="J269" i="5"/>
  <c r="H269" i="5"/>
  <c r="C269" i="5"/>
  <c r="J268" i="5"/>
  <c r="H268" i="5"/>
  <c r="C268" i="5"/>
  <c r="J267" i="5"/>
  <c r="H267" i="5"/>
  <c r="C267" i="5"/>
  <c r="J266" i="5"/>
  <c r="H266" i="5"/>
  <c r="C266" i="5"/>
  <c r="J265" i="5"/>
  <c r="H265" i="5"/>
  <c r="C265" i="5"/>
  <c r="J264" i="5"/>
  <c r="H264" i="5"/>
  <c r="C264" i="5"/>
  <c r="J263" i="5"/>
  <c r="H263" i="5"/>
  <c r="C263" i="5"/>
  <c r="J262" i="5"/>
  <c r="H262" i="5"/>
  <c r="C262" i="5"/>
  <c r="J261" i="5"/>
  <c r="H261" i="5"/>
  <c r="C261" i="5"/>
  <c r="J260" i="5"/>
  <c r="H260" i="5"/>
  <c r="C260" i="5"/>
  <c r="J259" i="5"/>
  <c r="H259" i="5"/>
  <c r="C259" i="5"/>
  <c r="I258" i="5"/>
  <c r="J258" i="5"/>
  <c r="I257" i="5"/>
  <c r="J257" i="5"/>
  <c r="H256" i="5"/>
  <c r="J256" i="5"/>
  <c r="A256" i="5"/>
  <c r="J254" i="5"/>
  <c r="H254" i="5"/>
  <c r="C254" i="5"/>
  <c r="J253" i="5"/>
  <c r="H253" i="5"/>
  <c r="C253" i="5"/>
  <c r="J252" i="5"/>
  <c r="H252" i="5"/>
  <c r="C252" i="5"/>
  <c r="J251" i="5"/>
  <c r="H251" i="5"/>
  <c r="C251" i="5"/>
  <c r="J250" i="5"/>
  <c r="H250" i="5"/>
  <c r="C250" i="5"/>
  <c r="J249" i="5"/>
  <c r="H249" i="5"/>
  <c r="C249" i="5"/>
  <c r="J248" i="5"/>
  <c r="H248" i="5"/>
  <c r="C248" i="5"/>
  <c r="J247" i="5"/>
  <c r="H247" i="5"/>
  <c r="C247" i="5"/>
  <c r="J246" i="5"/>
  <c r="H246" i="5"/>
  <c r="C246" i="5"/>
  <c r="J245" i="5"/>
  <c r="H245" i="5"/>
  <c r="C245" i="5"/>
  <c r="J244" i="5"/>
  <c r="H244" i="5"/>
  <c r="C244" i="5"/>
  <c r="J243" i="5"/>
  <c r="H243" i="5"/>
  <c r="C243" i="5"/>
  <c r="J242" i="5"/>
  <c r="H242" i="5"/>
  <c r="C242" i="5"/>
  <c r="J241" i="5"/>
  <c r="H241" i="5"/>
  <c r="C241" i="5"/>
  <c r="J29" i="5"/>
  <c r="J26" i="5"/>
  <c r="J25" i="5"/>
  <c r="J24" i="5"/>
  <c r="J23" i="5"/>
  <c r="J22" i="5"/>
  <c r="J21" i="5"/>
  <c r="I29" i="5"/>
  <c r="I27" i="5"/>
  <c r="I26" i="5"/>
  <c r="I25" i="5"/>
  <c r="I24" i="5"/>
  <c r="I23" i="5"/>
  <c r="I22" i="5"/>
  <c r="I21" i="5"/>
  <c r="I240" i="5"/>
  <c r="J240" i="5"/>
  <c r="I239" i="5"/>
  <c r="J239" i="5"/>
  <c r="H238" i="5"/>
  <c r="J238" i="5"/>
  <c r="A238" i="5"/>
  <c r="I236" i="5"/>
  <c r="J236" i="5"/>
  <c r="I235" i="5"/>
  <c r="J235" i="5"/>
  <c r="H234" i="5"/>
  <c r="J234" i="5"/>
  <c r="A234" i="5"/>
  <c r="O231" i="5"/>
  <c r="H231" i="5"/>
  <c r="P231" i="5"/>
  <c r="J231" i="5"/>
  <c r="K230" i="5"/>
  <c r="J230" i="5"/>
  <c r="I230" i="5"/>
  <c r="H230" i="5"/>
  <c r="G230" i="5"/>
  <c r="F230" i="5"/>
  <c r="V230" i="5"/>
  <c r="T230" i="5"/>
  <c r="R230" i="5"/>
  <c r="U230" i="5"/>
  <c r="S230" i="5"/>
  <c r="Q230" i="5"/>
  <c r="E230" i="5"/>
  <c r="D230" i="5"/>
  <c r="B230" i="5"/>
  <c r="A230" i="5"/>
  <c r="O228" i="5"/>
  <c r="H228" i="5"/>
  <c r="P228" i="5"/>
  <c r="J228" i="5"/>
  <c r="K227" i="5"/>
  <c r="J227" i="5"/>
  <c r="I227" i="5"/>
  <c r="H227" i="5"/>
  <c r="G227" i="5"/>
  <c r="F227" i="5"/>
  <c r="V227" i="5"/>
  <c r="T227" i="5"/>
  <c r="R227" i="5"/>
  <c r="U227" i="5"/>
  <c r="S227" i="5"/>
  <c r="Q227" i="5"/>
  <c r="E227" i="5"/>
  <c r="D227" i="5"/>
  <c r="B227" i="5"/>
  <c r="A227" i="5"/>
  <c r="O225" i="5"/>
  <c r="H225" i="5"/>
  <c r="P225" i="5"/>
  <c r="J225" i="5"/>
  <c r="K224" i="5"/>
  <c r="J224" i="5"/>
  <c r="I224" i="5"/>
  <c r="H224" i="5"/>
  <c r="G224" i="5"/>
  <c r="F224" i="5"/>
  <c r="V224" i="5"/>
  <c r="T224" i="5"/>
  <c r="R224" i="5"/>
  <c r="U224" i="5"/>
  <c r="S224" i="5"/>
  <c r="Q224" i="5"/>
  <c r="E224" i="5"/>
  <c r="D224" i="5"/>
  <c r="B224" i="5"/>
  <c r="A224" i="5"/>
  <c r="O222" i="5"/>
  <c r="H222" i="5"/>
  <c r="P222" i="5"/>
  <c r="J222" i="5"/>
  <c r="K221" i="5"/>
  <c r="J221" i="5"/>
  <c r="I221" i="5"/>
  <c r="H221" i="5"/>
  <c r="G221" i="5"/>
  <c r="F221" i="5"/>
  <c r="V221" i="5"/>
  <c r="T221" i="5"/>
  <c r="R221" i="5"/>
  <c r="U221" i="5"/>
  <c r="S221" i="5"/>
  <c r="Q221" i="5"/>
  <c r="E221" i="5"/>
  <c r="D221" i="5"/>
  <c r="B221" i="5"/>
  <c r="A221" i="5"/>
  <c r="O219" i="5"/>
  <c r="H219" i="5"/>
  <c r="P219" i="5"/>
  <c r="J219" i="5"/>
  <c r="K218" i="5"/>
  <c r="J218" i="5"/>
  <c r="I218" i="5"/>
  <c r="H218" i="5"/>
  <c r="G218" i="5"/>
  <c r="F218" i="5"/>
  <c r="V218" i="5"/>
  <c r="T218" i="5"/>
  <c r="R218" i="5"/>
  <c r="U218" i="5"/>
  <c r="S218" i="5"/>
  <c r="Q218" i="5"/>
  <c r="E218" i="5"/>
  <c r="D218" i="5"/>
  <c r="B218" i="5"/>
  <c r="A218" i="5"/>
  <c r="O216" i="5"/>
  <c r="H216" i="5"/>
  <c r="P216" i="5"/>
  <c r="J216" i="5"/>
  <c r="K215" i="5"/>
  <c r="J215" i="5"/>
  <c r="I215" i="5"/>
  <c r="H215" i="5"/>
  <c r="G215" i="5"/>
  <c r="F215" i="5"/>
  <c r="V215" i="5"/>
  <c r="T215" i="5"/>
  <c r="R215" i="5"/>
  <c r="U215" i="5"/>
  <c r="S215" i="5"/>
  <c r="Q215" i="5"/>
  <c r="E215" i="5"/>
  <c r="D215" i="5"/>
  <c r="B215" i="5"/>
  <c r="A215" i="5"/>
  <c r="O213" i="5"/>
  <c r="H213" i="5"/>
  <c r="P213" i="5"/>
  <c r="J213" i="5"/>
  <c r="K212" i="5"/>
  <c r="J212" i="5"/>
  <c r="I212" i="5"/>
  <c r="H212" i="5"/>
  <c r="G212" i="5"/>
  <c r="F212" i="5"/>
  <c r="V212" i="5"/>
  <c r="T212" i="5"/>
  <c r="R212" i="5"/>
  <c r="U212" i="5"/>
  <c r="S212" i="5"/>
  <c r="Q212" i="5"/>
  <c r="E212" i="5"/>
  <c r="D212" i="5"/>
  <c r="B212" i="5"/>
  <c r="A212" i="5"/>
  <c r="A211" i="5"/>
  <c r="O208" i="5"/>
  <c r="H208" i="5"/>
  <c r="P208" i="5"/>
  <c r="J208" i="5"/>
  <c r="I207" i="5"/>
  <c r="H207" i="5"/>
  <c r="G207" i="5"/>
  <c r="E207" i="5"/>
  <c r="K206" i="5"/>
  <c r="J206" i="5"/>
  <c r="I206" i="5"/>
  <c r="E206" i="5"/>
  <c r="K205" i="5"/>
  <c r="J205" i="5"/>
  <c r="I205" i="5"/>
  <c r="E205" i="5"/>
  <c r="K204" i="5"/>
  <c r="J204" i="5"/>
  <c r="I204" i="5"/>
  <c r="H204" i="5"/>
  <c r="G204" i="5"/>
  <c r="F204" i="5"/>
  <c r="V203" i="5"/>
  <c r="T203" i="5"/>
  <c r="R203" i="5"/>
  <c r="U203" i="5"/>
  <c r="S203" i="5"/>
  <c r="Q203" i="5"/>
  <c r="E203" i="5"/>
  <c r="D203" i="5"/>
  <c r="B203" i="5"/>
  <c r="A203" i="5"/>
  <c r="O201" i="5"/>
  <c r="H201" i="5"/>
  <c r="P201" i="5"/>
  <c r="J201" i="5"/>
  <c r="I200" i="5"/>
  <c r="H200" i="5"/>
  <c r="G200" i="5"/>
  <c r="E200" i="5"/>
  <c r="K199" i="5"/>
  <c r="J199" i="5"/>
  <c r="I199" i="5"/>
  <c r="E199" i="5"/>
  <c r="K198" i="5"/>
  <c r="J198" i="5"/>
  <c r="I198" i="5"/>
  <c r="E198" i="5"/>
  <c r="K197" i="5"/>
  <c r="J197" i="5"/>
  <c r="I197" i="5"/>
  <c r="E197" i="5"/>
  <c r="K196" i="5"/>
  <c r="J196" i="5"/>
  <c r="I196" i="5"/>
  <c r="H196" i="5"/>
  <c r="G196" i="5"/>
  <c r="F196" i="5"/>
  <c r="K195" i="5"/>
  <c r="J195" i="5"/>
  <c r="I195" i="5"/>
  <c r="H195" i="5"/>
  <c r="G195" i="5"/>
  <c r="F195" i="5"/>
  <c r="K194" i="5"/>
  <c r="J194" i="5"/>
  <c r="I194" i="5"/>
  <c r="H194" i="5"/>
  <c r="G194" i="5"/>
  <c r="F194" i="5"/>
  <c r="K193" i="5"/>
  <c r="J193" i="5"/>
  <c r="I193" i="5"/>
  <c r="H193" i="5"/>
  <c r="G193" i="5"/>
  <c r="F193" i="5"/>
  <c r="V192" i="5"/>
  <c r="T192" i="5"/>
  <c r="R192" i="5"/>
  <c r="U192" i="5"/>
  <c r="S192" i="5"/>
  <c r="Q192" i="5"/>
  <c r="E192" i="5"/>
  <c r="D192" i="5"/>
  <c r="B192" i="5"/>
  <c r="A192" i="5"/>
  <c r="O190" i="5"/>
  <c r="H190" i="5"/>
  <c r="P190" i="5"/>
  <c r="J190" i="5"/>
  <c r="I189" i="5"/>
  <c r="H189" i="5"/>
  <c r="G189" i="5"/>
  <c r="E189" i="5"/>
  <c r="K188" i="5"/>
  <c r="J188" i="5"/>
  <c r="I188" i="5"/>
  <c r="E188" i="5"/>
  <c r="K187" i="5"/>
  <c r="J187" i="5"/>
  <c r="I187" i="5"/>
  <c r="E187" i="5"/>
  <c r="K186" i="5"/>
  <c r="J186" i="5"/>
  <c r="I186" i="5"/>
  <c r="E186" i="5"/>
  <c r="K185" i="5"/>
  <c r="J185" i="5"/>
  <c r="I185" i="5"/>
  <c r="H185" i="5"/>
  <c r="G185" i="5"/>
  <c r="F185" i="5"/>
  <c r="K184" i="5"/>
  <c r="J184" i="5"/>
  <c r="I184" i="5"/>
  <c r="H184" i="5"/>
  <c r="G184" i="5"/>
  <c r="F184" i="5"/>
  <c r="K183" i="5"/>
  <c r="J183" i="5"/>
  <c r="I183" i="5"/>
  <c r="H183" i="5"/>
  <c r="G183" i="5"/>
  <c r="F183" i="5"/>
  <c r="K182" i="5"/>
  <c r="J182" i="5"/>
  <c r="I182" i="5"/>
  <c r="H182" i="5"/>
  <c r="G182" i="5"/>
  <c r="F182" i="5"/>
  <c r="C181" i="5"/>
  <c r="V180" i="5"/>
  <c r="T180" i="5"/>
  <c r="R180" i="5"/>
  <c r="U180" i="5"/>
  <c r="S180" i="5"/>
  <c r="Q180" i="5"/>
  <c r="E180" i="5"/>
  <c r="D180" i="5"/>
  <c r="B180" i="5"/>
  <c r="A180" i="5"/>
  <c r="O178" i="5"/>
  <c r="H178" i="5"/>
  <c r="P178" i="5"/>
  <c r="J178" i="5"/>
  <c r="I177" i="5"/>
  <c r="H177" i="5"/>
  <c r="G177" i="5"/>
  <c r="E177" i="5"/>
  <c r="K176" i="5"/>
  <c r="J176" i="5"/>
  <c r="I176" i="5"/>
  <c r="E176" i="5"/>
  <c r="K175" i="5"/>
  <c r="J175" i="5"/>
  <c r="I175" i="5"/>
  <c r="E175" i="5"/>
  <c r="K174" i="5"/>
  <c r="J174" i="5"/>
  <c r="I174" i="5"/>
  <c r="H174" i="5"/>
  <c r="G174" i="5"/>
  <c r="F174" i="5"/>
  <c r="K173" i="5"/>
  <c r="J173" i="5"/>
  <c r="I173" i="5"/>
  <c r="H173" i="5"/>
  <c r="G173" i="5"/>
  <c r="F173" i="5"/>
  <c r="V172" i="5"/>
  <c r="T172" i="5"/>
  <c r="R172" i="5"/>
  <c r="U172" i="5"/>
  <c r="S172" i="5"/>
  <c r="Q172" i="5"/>
  <c r="E172" i="5"/>
  <c r="D172" i="5"/>
  <c r="B172" i="5"/>
  <c r="A172" i="5"/>
  <c r="O170" i="5"/>
  <c r="H170" i="5"/>
  <c r="P170" i="5"/>
  <c r="J170" i="5"/>
  <c r="K169" i="5"/>
  <c r="J169" i="5"/>
  <c r="I169" i="5"/>
  <c r="H169" i="5"/>
  <c r="G169" i="5"/>
  <c r="F169" i="5"/>
  <c r="V169" i="5"/>
  <c r="T169" i="5"/>
  <c r="R169" i="5"/>
  <c r="U169" i="5"/>
  <c r="S169" i="5"/>
  <c r="Q169" i="5"/>
  <c r="E169" i="5"/>
  <c r="D169" i="5"/>
  <c r="B169" i="5"/>
  <c r="A169" i="5"/>
  <c r="O167" i="5"/>
  <c r="H167" i="5"/>
  <c r="P167" i="5"/>
  <c r="J167" i="5"/>
  <c r="K166" i="5"/>
  <c r="J166" i="5"/>
  <c r="I166" i="5"/>
  <c r="H166" i="5"/>
  <c r="G166" i="5"/>
  <c r="F166" i="5"/>
  <c r="V166" i="5"/>
  <c r="T166" i="5"/>
  <c r="R166" i="5"/>
  <c r="U166" i="5"/>
  <c r="S166" i="5"/>
  <c r="Q166" i="5"/>
  <c r="E166" i="5"/>
  <c r="D166" i="5"/>
  <c r="B166" i="5"/>
  <c r="A166" i="5"/>
  <c r="O164" i="5"/>
  <c r="H164" i="5"/>
  <c r="P164" i="5"/>
  <c r="J164" i="5"/>
  <c r="K163" i="5"/>
  <c r="J163" i="5"/>
  <c r="I163" i="5"/>
  <c r="H163" i="5"/>
  <c r="G163" i="5"/>
  <c r="F163" i="5"/>
  <c r="V163" i="5"/>
  <c r="T163" i="5"/>
  <c r="R163" i="5"/>
  <c r="U163" i="5"/>
  <c r="S163" i="5"/>
  <c r="Q163" i="5"/>
  <c r="E163" i="5"/>
  <c r="D163" i="5"/>
  <c r="B163" i="5"/>
  <c r="A163" i="5"/>
  <c r="O161" i="5"/>
  <c r="H161" i="5"/>
  <c r="P161" i="5"/>
  <c r="J161" i="5"/>
  <c r="I160" i="5"/>
  <c r="H160" i="5"/>
  <c r="G160" i="5"/>
  <c r="E160" i="5"/>
  <c r="K159" i="5"/>
  <c r="J159" i="5"/>
  <c r="I159" i="5"/>
  <c r="E159" i="5"/>
  <c r="K158" i="5"/>
  <c r="J158" i="5"/>
  <c r="I158" i="5"/>
  <c r="E158" i="5"/>
  <c r="K157" i="5"/>
  <c r="J157" i="5"/>
  <c r="I157" i="5"/>
  <c r="E157" i="5"/>
  <c r="K156" i="5"/>
  <c r="J156" i="5"/>
  <c r="I156" i="5"/>
  <c r="H156" i="5"/>
  <c r="G156" i="5"/>
  <c r="F156" i="5"/>
  <c r="K155" i="5"/>
  <c r="J155" i="5"/>
  <c r="I155" i="5"/>
  <c r="H155" i="5"/>
  <c r="G155" i="5"/>
  <c r="F155" i="5"/>
  <c r="K154" i="5"/>
  <c r="J154" i="5"/>
  <c r="I154" i="5"/>
  <c r="H154" i="5"/>
  <c r="G154" i="5"/>
  <c r="F154" i="5"/>
  <c r="K153" i="5"/>
  <c r="J153" i="5"/>
  <c r="I153" i="5"/>
  <c r="H153" i="5"/>
  <c r="G153" i="5"/>
  <c r="F153" i="5"/>
  <c r="C152" i="5"/>
  <c r="V151" i="5"/>
  <c r="T151" i="5"/>
  <c r="R151" i="5"/>
  <c r="U151" i="5"/>
  <c r="S151" i="5"/>
  <c r="Q151" i="5"/>
  <c r="E151" i="5"/>
  <c r="D151" i="5"/>
  <c r="B151" i="5"/>
  <c r="A151" i="5"/>
  <c r="O149" i="5"/>
  <c r="H149" i="5"/>
  <c r="P149" i="5"/>
  <c r="J149" i="5"/>
  <c r="I148" i="5"/>
  <c r="H148" i="5"/>
  <c r="G148" i="5"/>
  <c r="E148" i="5"/>
  <c r="K147" i="5"/>
  <c r="J147" i="5"/>
  <c r="I147" i="5"/>
  <c r="E147" i="5"/>
  <c r="K146" i="5"/>
  <c r="J146" i="5"/>
  <c r="I146" i="5"/>
  <c r="E146" i="5"/>
  <c r="K145" i="5"/>
  <c r="J145" i="5"/>
  <c r="I145" i="5"/>
  <c r="E145" i="5"/>
  <c r="K144" i="5"/>
  <c r="J144" i="5"/>
  <c r="I144" i="5"/>
  <c r="H144" i="5"/>
  <c r="G144" i="5"/>
  <c r="F144" i="5"/>
  <c r="K143" i="5"/>
  <c r="J143" i="5"/>
  <c r="I143" i="5"/>
  <c r="H143" i="5"/>
  <c r="G143" i="5"/>
  <c r="F143" i="5"/>
  <c r="K142" i="5"/>
  <c r="J142" i="5"/>
  <c r="I142" i="5"/>
  <c r="H142" i="5"/>
  <c r="G142" i="5"/>
  <c r="F142" i="5"/>
  <c r="K141" i="5"/>
  <c r="J141" i="5"/>
  <c r="I141" i="5"/>
  <c r="H141" i="5"/>
  <c r="G141" i="5"/>
  <c r="F141" i="5"/>
  <c r="C140" i="5"/>
  <c r="V139" i="5"/>
  <c r="T139" i="5"/>
  <c r="R139" i="5"/>
  <c r="U139" i="5"/>
  <c r="S139" i="5"/>
  <c r="Q139" i="5"/>
  <c r="E139" i="5"/>
  <c r="D139" i="5"/>
  <c r="B139" i="5"/>
  <c r="A139" i="5"/>
  <c r="O137" i="5"/>
  <c r="H137" i="5"/>
  <c r="P137" i="5"/>
  <c r="J137" i="5"/>
  <c r="I136" i="5"/>
  <c r="H136" i="5"/>
  <c r="G136" i="5"/>
  <c r="E136" i="5"/>
  <c r="K135" i="5"/>
  <c r="J135" i="5"/>
  <c r="I135" i="5"/>
  <c r="E135" i="5"/>
  <c r="K134" i="5"/>
  <c r="J134" i="5"/>
  <c r="I134" i="5"/>
  <c r="E134" i="5"/>
  <c r="K133" i="5"/>
  <c r="J133" i="5"/>
  <c r="I133" i="5"/>
  <c r="E133" i="5"/>
  <c r="K132" i="5"/>
  <c r="J132" i="5"/>
  <c r="I132" i="5"/>
  <c r="H132" i="5"/>
  <c r="G132" i="5"/>
  <c r="F132" i="5"/>
  <c r="K131" i="5"/>
  <c r="J131" i="5"/>
  <c r="I131" i="5"/>
  <c r="H131" i="5"/>
  <c r="G131" i="5"/>
  <c r="F131" i="5"/>
  <c r="K130" i="5"/>
  <c r="J130" i="5"/>
  <c r="I130" i="5"/>
  <c r="H130" i="5"/>
  <c r="G130" i="5"/>
  <c r="F130" i="5"/>
  <c r="K129" i="5"/>
  <c r="J129" i="5"/>
  <c r="I129" i="5"/>
  <c r="H129" i="5"/>
  <c r="G129" i="5"/>
  <c r="F129" i="5"/>
  <c r="C128" i="5"/>
  <c r="V127" i="5"/>
  <c r="T127" i="5"/>
  <c r="R127" i="5"/>
  <c r="U127" i="5"/>
  <c r="S127" i="5"/>
  <c r="Q127" i="5"/>
  <c r="E127" i="5"/>
  <c r="D127" i="5"/>
  <c r="B127" i="5"/>
  <c r="A127" i="5"/>
  <c r="O125" i="5"/>
  <c r="H125" i="5"/>
  <c r="P125" i="5"/>
  <c r="J125" i="5"/>
  <c r="I124" i="5"/>
  <c r="H124" i="5"/>
  <c r="G124" i="5"/>
  <c r="E124" i="5"/>
  <c r="K123" i="5"/>
  <c r="J123" i="5"/>
  <c r="I123" i="5"/>
  <c r="E123" i="5"/>
  <c r="K122" i="5"/>
  <c r="J122" i="5"/>
  <c r="I122" i="5"/>
  <c r="E122" i="5"/>
  <c r="K121" i="5"/>
  <c r="J121" i="5"/>
  <c r="I121" i="5"/>
  <c r="E121" i="5"/>
  <c r="K120" i="5"/>
  <c r="J120" i="5"/>
  <c r="H120" i="5"/>
  <c r="I120" i="5"/>
  <c r="F120" i="5"/>
  <c r="V120" i="5"/>
  <c r="T120" i="5"/>
  <c r="R120" i="5"/>
  <c r="U120" i="5"/>
  <c r="S120" i="5"/>
  <c r="Q120" i="5"/>
  <c r="E120" i="5"/>
  <c r="D120" i="5"/>
  <c r="B120" i="5"/>
  <c r="A120" i="5"/>
  <c r="K119" i="5"/>
  <c r="J119" i="5"/>
  <c r="H119" i="5"/>
  <c r="I119" i="5"/>
  <c r="F119" i="5"/>
  <c r="V119" i="5"/>
  <c r="T119" i="5"/>
  <c r="R119" i="5"/>
  <c r="U119" i="5"/>
  <c r="S119" i="5"/>
  <c r="Q119" i="5"/>
  <c r="E119" i="5"/>
  <c r="D119" i="5"/>
  <c r="B119" i="5"/>
  <c r="A119" i="5"/>
  <c r="K118" i="5"/>
  <c r="J118" i="5"/>
  <c r="H118" i="5"/>
  <c r="I118" i="5"/>
  <c r="F118" i="5"/>
  <c r="V118" i="5"/>
  <c r="T118" i="5"/>
  <c r="R118" i="5"/>
  <c r="U118" i="5"/>
  <c r="S118" i="5"/>
  <c r="Q118" i="5"/>
  <c r="E118" i="5"/>
  <c r="D118" i="5"/>
  <c r="B118" i="5"/>
  <c r="A118" i="5"/>
  <c r="K117" i="5"/>
  <c r="J117" i="5"/>
  <c r="H117" i="5"/>
  <c r="I117" i="5"/>
  <c r="F117" i="5"/>
  <c r="V117" i="5"/>
  <c r="T117" i="5"/>
  <c r="R117" i="5"/>
  <c r="U117" i="5"/>
  <c r="S117" i="5"/>
  <c r="Q117" i="5"/>
  <c r="E117" i="5"/>
  <c r="D117" i="5"/>
  <c r="B117" i="5"/>
  <c r="A117" i="5"/>
  <c r="K116" i="5"/>
  <c r="J116" i="5"/>
  <c r="I116" i="5"/>
  <c r="H116" i="5"/>
  <c r="G116" i="5"/>
  <c r="F116" i="5"/>
  <c r="K115" i="5"/>
  <c r="J115" i="5"/>
  <c r="I115" i="5"/>
  <c r="H115" i="5"/>
  <c r="G115" i="5"/>
  <c r="F115" i="5"/>
  <c r="K114" i="5"/>
  <c r="J114" i="5"/>
  <c r="I114" i="5"/>
  <c r="H114" i="5"/>
  <c r="G114" i="5"/>
  <c r="F114" i="5"/>
  <c r="K113" i="5"/>
  <c r="J113" i="5"/>
  <c r="I113" i="5"/>
  <c r="H113" i="5"/>
  <c r="G113" i="5"/>
  <c r="F113" i="5"/>
  <c r="V112" i="5"/>
  <c r="T112" i="5"/>
  <c r="R112" i="5"/>
  <c r="U112" i="5"/>
  <c r="S112" i="5"/>
  <c r="Q112" i="5"/>
  <c r="E112" i="5"/>
  <c r="D112" i="5"/>
  <c r="B112" i="5"/>
  <c r="A112" i="5"/>
  <c r="O110" i="5"/>
  <c r="H110" i="5"/>
  <c r="P110" i="5"/>
  <c r="J110" i="5"/>
  <c r="I109" i="5"/>
  <c r="H109" i="5"/>
  <c r="G109" i="5"/>
  <c r="E109" i="5"/>
  <c r="K108" i="5"/>
  <c r="J108" i="5"/>
  <c r="I108" i="5"/>
  <c r="E108" i="5"/>
  <c r="K107" i="5"/>
  <c r="J107" i="5"/>
  <c r="I107" i="5"/>
  <c r="E107" i="5"/>
  <c r="K106" i="5"/>
  <c r="J106" i="5"/>
  <c r="I106" i="5"/>
  <c r="E106" i="5"/>
  <c r="K105" i="5"/>
  <c r="J105" i="5"/>
  <c r="H105" i="5"/>
  <c r="I105" i="5"/>
  <c r="F105" i="5"/>
  <c r="V105" i="5"/>
  <c r="T105" i="5"/>
  <c r="R105" i="5"/>
  <c r="U105" i="5"/>
  <c r="S105" i="5"/>
  <c r="Q105" i="5"/>
  <c r="E105" i="5"/>
  <c r="D105" i="5"/>
  <c r="B105" i="5"/>
  <c r="A105" i="5"/>
  <c r="K104" i="5"/>
  <c r="J104" i="5"/>
  <c r="H104" i="5"/>
  <c r="I104" i="5"/>
  <c r="F104" i="5"/>
  <c r="V104" i="5"/>
  <c r="T104" i="5"/>
  <c r="R104" i="5"/>
  <c r="U104" i="5"/>
  <c r="S104" i="5"/>
  <c r="Q104" i="5"/>
  <c r="E104" i="5"/>
  <c r="D104" i="5"/>
  <c r="B104" i="5"/>
  <c r="A104" i="5"/>
  <c r="K103" i="5"/>
  <c r="J103" i="5"/>
  <c r="H103" i="5"/>
  <c r="I103" i="5"/>
  <c r="F103" i="5"/>
  <c r="V103" i="5"/>
  <c r="T103" i="5"/>
  <c r="R103" i="5"/>
  <c r="U103" i="5"/>
  <c r="S103" i="5"/>
  <c r="Q103" i="5"/>
  <c r="E103" i="5"/>
  <c r="D103" i="5"/>
  <c r="B103" i="5"/>
  <c r="A103" i="5"/>
  <c r="K102" i="5"/>
  <c r="J102" i="5"/>
  <c r="I102" i="5"/>
  <c r="H102" i="5"/>
  <c r="G102" i="5"/>
  <c r="F102" i="5"/>
  <c r="K101" i="5"/>
  <c r="J101" i="5"/>
  <c r="I101" i="5"/>
  <c r="H101" i="5"/>
  <c r="G101" i="5"/>
  <c r="F101" i="5"/>
  <c r="K100" i="5"/>
  <c r="J100" i="5"/>
  <c r="I100" i="5"/>
  <c r="H100" i="5"/>
  <c r="G100" i="5"/>
  <c r="F100" i="5"/>
  <c r="K99" i="5"/>
  <c r="J99" i="5"/>
  <c r="I99" i="5"/>
  <c r="H99" i="5"/>
  <c r="G99" i="5"/>
  <c r="F99" i="5"/>
  <c r="C98" i="5"/>
  <c r="V97" i="5"/>
  <c r="T97" i="5"/>
  <c r="R97" i="5"/>
  <c r="U97" i="5"/>
  <c r="S97" i="5"/>
  <c r="Q97" i="5"/>
  <c r="E97" i="5"/>
  <c r="D97" i="5"/>
  <c r="B97" i="5"/>
  <c r="A97" i="5"/>
  <c r="O95" i="5"/>
  <c r="H95" i="5"/>
  <c r="P95" i="5"/>
  <c r="J95" i="5"/>
  <c r="I94" i="5"/>
  <c r="H94" i="5"/>
  <c r="G94" i="5"/>
  <c r="E94" i="5"/>
  <c r="K93" i="5"/>
  <c r="J93" i="5"/>
  <c r="I93" i="5"/>
  <c r="E93" i="5"/>
  <c r="K92" i="5"/>
  <c r="J92" i="5"/>
  <c r="I92" i="5"/>
  <c r="E92" i="5"/>
  <c r="K91" i="5"/>
  <c r="J91" i="5"/>
  <c r="I91" i="5"/>
  <c r="E91" i="5"/>
  <c r="K90" i="5"/>
  <c r="J90" i="5"/>
  <c r="I90" i="5"/>
  <c r="H90" i="5"/>
  <c r="G90" i="5"/>
  <c r="F90" i="5"/>
  <c r="K89" i="5"/>
  <c r="J89" i="5"/>
  <c r="I89" i="5"/>
  <c r="H89" i="5"/>
  <c r="G89" i="5"/>
  <c r="F89" i="5"/>
  <c r="K88" i="5"/>
  <c r="J88" i="5"/>
  <c r="I88" i="5"/>
  <c r="H88" i="5"/>
  <c r="G88" i="5"/>
  <c r="F88" i="5"/>
  <c r="K87" i="5"/>
  <c r="J87" i="5"/>
  <c r="I87" i="5"/>
  <c r="H87" i="5"/>
  <c r="G87" i="5"/>
  <c r="F87" i="5"/>
  <c r="V86" i="5"/>
  <c r="T86" i="5"/>
  <c r="R86" i="5"/>
  <c r="U86" i="5"/>
  <c r="S86" i="5"/>
  <c r="Q86" i="5"/>
  <c r="E86" i="5"/>
  <c r="D86" i="5"/>
  <c r="B86" i="5"/>
  <c r="A86" i="5"/>
  <c r="O84" i="5"/>
  <c r="H84" i="5"/>
  <c r="P84" i="5"/>
  <c r="J84" i="5"/>
  <c r="I83" i="5"/>
  <c r="H83" i="5"/>
  <c r="G83" i="5"/>
  <c r="E83" i="5"/>
  <c r="K82" i="5"/>
  <c r="J82" i="5"/>
  <c r="I82" i="5"/>
  <c r="E82" i="5"/>
  <c r="K81" i="5"/>
  <c r="J81" i="5"/>
  <c r="I81" i="5"/>
  <c r="E81" i="5"/>
  <c r="K80" i="5"/>
  <c r="J80" i="5"/>
  <c r="H80" i="5"/>
  <c r="I80" i="5"/>
  <c r="F80" i="5"/>
  <c r="V80" i="5"/>
  <c r="T80" i="5"/>
  <c r="R80" i="5"/>
  <c r="U80" i="5"/>
  <c r="S80" i="5"/>
  <c r="Q80" i="5"/>
  <c r="E80" i="5"/>
  <c r="D80" i="5"/>
  <c r="B80" i="5"/>
  <c r="A80" i="5"/>
  <c r="K79" i="5"/>
  <c r="J79" i="5"/>
  <c r="I79" i="5"/>
  <c r="H79" i="5"/>
  <c r="G79" i="5"/>
  <c r="F79" i="5"/>
  <c r="K78" i="5"/>
  <c r="J78" i="5"/>
  <c r="I78" i="5"/>
  <c r="H78" i="5"/>
  <c r="G78" i="5"/>
  <c r="F78" i="5"/>
  <c r="V77" i="5"/>
  <c r="T77" i="5"/>
  <c r="R77" i="5"/>
  <c r="U77" i="5"/>
  <c r="S77" i="5"/>
  <c r="Q77" i="5"/>
  <c r="E77" i="5"/>
  <c r="D77" i="5"/>
  <c r="B77" i="5"/>
  <c r="A77" i="5"/>
  <c r="O75" i="5"/>
  <c r="H75" i="5"/>
  <c r="P75" i="5"/>
  <c r="J75" i="5"/>
  <c r="I74" i="5"/>
  <c r="H74" i="5"/>
  <c r="G74" i="5"/>
  <c r="E74" i="5"/>
  <c r="K73" i="5"/>
  <c r="J73" i="5"/>
  <c r="I73" i="5"/>
  <c r="E73" i="5"/>
  <c r="K72" i="5"/>
  <c r="J72" i="5"/>
  <c r="I72" i="5"/>
  <c r="E72" i="5"/>
  <c r="K71" i="5"/>
  <c r="J71" i="5"/>
  <c r="I71" i="5"/>
  <c r="E71" i="5"/>
  <c r="K70" i="5"/>
  <c r="J70" i="5"/>
  <c r="I70" i="5"/>
  <c r="H70" i="5"/>
  <c r="G70" i="5"/>
  <c r="F70" i="5"/>
  <c r="K69" i="5"/>
  <c r="J69" i="5"/>
  <c r="I69" i="5"/>
  <c r="H69" i="5"/>
  <c r="G69" i="5"/>
  <c r="F69" i="5"/>
  <c r="K68" i="5"/>
  <c r="J68" i="5"/>
  <c r="I68" i="5"/>
  <c r="H68" i="5"/>
  <c r="G68" i="5"/>
  <c r="F68" i="5"/>
  <c r="K67" i="5"/>
  <c r="J67" i="5"/>
  <c r="I67" i="5"/>
  <c r="H67" i="5"/>
  <c r="G67" i="5"/>
  <c r="F67" i="5"/>
  <c r="V66" i="5"/>
  <c r="T66" i="5"/>
  <c r="R66" i="5"/>
  <c r="U66" i="5"/>
  <c r="S66" i="5"/>
  <c r="Q66" i="5"/>
  <c r="E66" i="5"/>
  <c r="D66" i="5"/>
  <c r="B66" i="5"/>
  <c r="A66" i="5"/>
  <c r="O64" i="5"/>
  <c r="H64" i="5"/>
  <c r="P64" i="5"/>
  <c r="J64" i="5"/>
  <c r="I63" i="5"/>
  <c r="H63" i="5"/>
  <c r="G63" i="5"/>
  <c r="E63" i="5"/>
  <c r="K62" i="5"/>
  <c r="J62" i="5"/>
  <c r="I62" i="5"/>
  <c r="E62" i="5"/>
  <c r="K61" i="5"/>
  <c r="J61" i="5"/>
  <c r="I61" i="5"/>
  <c r="E61" i="5"/>
  <c r="K60" i="5"/>
  <c r="J60" i="5"/>
  <c r="I60" i="5"/>
  <c r="E60" i="5"/>
  <c r="K59" i="5"/>
  <c r="J59" i="5"/>
  <c r="I59" i="5"/>
  <c r="H59" i="5"/>
  <c r="G59" i="5"/>
  <c r="F59" i="5"/>
  <c r="K58" i="5"/>
  <c r="J58" i="5"/>
  <c r="I58" i="5"/>
  <c r="H58" i="5"/>
  <c r="G58" i="5"/>
  <c r="F58" i="5"/>
  <c r="K57" i="5"/>
  <c r="J57" i="5"/>
  <c r="I57" i="5"/>
  <c r="H57" i="5"/>
  <c r="G57" i="5"/>
  <c r="F57" i="5"/>
  <c r="K56" i="5"/>
  <c r="J56" i="5"/>
  <c r="I56" i="5"/>
  <c r="H56" i="5"/>
  <c r="G56" i="5"/>
  <c r="F56" i="5"/>
  <c r="V55" i="5"/>
  <c r="T55" i="5"/>
  <c r="R55" i="5"/>
  <c r="U55" i="5"/>
  <c r="S55" i="5"/>
  <c r="Q55" i="5"/>
  <c r="E55" i="5"/>
  <c r="D55" i="5"/>
  <c r="B55" i="5"/>
  <c r="A55" i="5"/>
  <c r="O53" i="5"/>
  <c r="H53" i="5"/>
  <c r="P53" i="5"/>
  <c r="J53" i="5"/>
  <c r="I52" i="5"/>
  <c r="H52" i="5"/>
  <c r="G52" i="5"/>
  <c r="E52" i="5"/>
  <c r="K51" i="5"/>
  <c r="J51" i="5"/>
  <c r="I51" i="5"/>
  <c r="E51" i="5"/>
  <c r="K50" i="5"/>
  <c r="J50" i="5"/>
  <c r="I50" i="5"/>
  <c r="E50" i="5"/>
  <c r="K49" i="5"/>
  <c r="J49" i="5"/>
  <c r="I49" i="5"/>
  <c r="H49" i="5"/>
  <c r="G49" i="5"/>
  <c r="F49" i="5"/>
  <c r="K48" i="5"/>
  <c r="J48" i="5"/>
  <c r="I48" i="5"/>
  <c r="H48" i="5"/>
  <c r="G48" i="5"/>
  <c r="F48" i="5"/>
  <c r="V47" i="5"/>
  <c r="T47" i="5"/>
  <c r="R47" i="5"/>
  <c r="U47" i="5"/>
  <c r="S47" i="5"/>
  <c r="Q47" i="5"/>
  <c r="E47" i="5"/>
  <c r="D47" i="5"/>
  <c r="B47" i="5"/>
  <c r="A47" i="5"/>
  <c r="O45" i="5"/>
  <c r="H45" i="5"/>
  <c r="P45" i="5"/>
  <c r="J45" i="5"/>
  <c r="I44" i="5"/>
  <c r="H44" i="5"/>
  <c r="G44" i="5"/>
  <c r="E44" i="5"/>
  <c r="K43" i="5"/>
  <c r="J43" i="5"/>
  <c r="I43" i="5"/>
  <c r="E43" i="5"/>
  <c r="K42" i="5"/>
  <c r="J42" i="5"/>
  <c r="I42" i="5"/>
  <c r="E42" i="5"/>
  <c r="K41" i="5"/>
  <c r="J41" i="5"/>
  <c r="I41" i="5"/>
  <c r="E41" i="5"/>
  <c r="K40" i="5"/>
  <c r="J40" i="5"/>
  <c r="I40" i="5"/>
  <c r="H40" i="5"/>
  <c r="G40" i="5"/>
  <c r="F40" i="5"/>
  <c r="K39" i="5"/>
  <c r="J39" i="5"/>
  <c r="I39" i="5"/>
  <c r="H39" i="5"/>
  <c r="G39" i="5"/>
  <c r="F39" i="5"/>
  <c r="K38" i="5"/>
  <c r="J38" i="5"/>
  <c r="I38" i="5"/>
  <c r="H38" i="5"/>
  <c r="G38" i="5"/>
  <c r="F38" i="5"/>
  <c r="K37" i="5"/>
  <c r="J37" i="5"/>
  <c r="I37" i="5"/>
  <c r="H37" i="5"/>
  <c r="G37" i="5"/>
  <c r="F37" i="5"/>
  <c r="C36" i="5"/>
  <c r="V35" i="5"/>
  <c r="T35" i="5"/>
  <c r="R35" i="5"/>
  <c r="U35" i="5"/>
  <c r="S35" i="5"/>
  <c r="Q35" i="5"/>
  <c r="E35" i="5"/>
  <c r="D35" i="5"/>
  <c r="B35" i="5"/>
  <c r="A35" i="5"/>
  <c r="A18" i="5"/>
  <c r="A15" i="5"/>
  <c r="A13" i="5"/>
  <c r="A10" i="5"/>
  <c r="G6" i="5"/>
  <c r="B6" i="5"/>
  <c r="A1" i="5"/>
  <c r="E53" i="7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1" i="3"/>
  <c r="CY1" i="3"/>
  <c r="CZ1" i="3"/>
  <c r="DA1" i="3"/>
  <c r="DB1" i="3"/>
  <c r="DC1" i="3"/>
  <c r="A2" i="3"/>
  <c r="CY2" i="3"/>
  <c r="CZ2" i="3"/>
  <c r="DA2" i="3"/>
  <c r="DB2" i="3"/>
  <c r="DC2" i="3"/>
  <c r="A3" i="3"/>
  <c r="CX3" i="3"/>
  <c r="CY3" i="3"/>
  <c r="CZ3" i="3"/>
  <c r="DB3" i="3" s="1"/>
  <c r="DA3" i="3"/>
  <c r="DC3" i="3"/>
  <c r="A4" i="3"/>
  <c r="CX4" i="3"/>
  <c r="CY4" i="3"/>
  <c r="CZ4" i="3"/>
  <c r="DB4" i="3" s="1"/>
  <c r="DA4" i="3"/>
  <c r="DC4" i="3"/>
  <c r="A5" i="3"/>
  <c r="CX5" i="3"/>
  <c r="CY5" i="3"/>
  <c r="CZ5" i="3"/>
  <c r="DB5" i="3" s="1"/>
  <c r="DA5" i="3"/>
  <c r="DC5" i="3"/>
  <c r="A6" i="3"/>
  <c r="CX6" i="3"/>
  <c r="CY6" i="3"/>
  <c r="CZ6" i="3"/>
  <c r="DB6" i="3" s="1"/>
  <c r="DA6" i="3"/>
  <c r="DC6" i="3"/>
  <c r="A7" i="3"/>
  <c r="CX7" i="3"/>
  <c r="CY7" i="3"/>
  <c r="CZ7" i="3"/>
  <c r="DA7" i="3"/>
  <c r="DB7" i="3"/>
  <c r="DC7" i="3"/>
  <c r="A8" i="3"/>
  <c r="CX8" i="3"/>
  <c r="CY8" i="3"/>
  <c r="CZ8" i="3"/>
  <c r="DA8" i="3"/>
  <c r="DB8" i="3"/>
  <c r="DC8" i="3"/>
  <c r="A9" i="3"/>
  <c r="CX9" i="3"/>
  <c r="CY9" i="3"/>
  <c r="CZ9" i="3"/>
  <c r="DA9" i="3"/>
  <c r="DB9" i="3"/>
  <c r="DC9" i="3"/>
  <c r="A10" i="3"/>
  <c r="CX10" i="3"/>
  <c r="CY10" i="3"/>
  <c r="CZ10" i="3"/>
  <c r="DA10" i="3"/>
  <c r="DB10" i="3"/>
  <c r="DC10" i="3"/>
  <c r="A11" i="3"/>
  <c r="CX11" i="3"/>
  <c r="CY11" i="3"/>
  <c r="CZ11" i="3"/>
  <c r="DA11" i="3"/>
  <c r="DB11" i="3"/>
  <c r="DC11" i="3"/>
  <c r="A12" i="3"/>
  <c r="CX12" i="3"/>
  <c r="CY12" i="3"/>
  <c r="CZ12" i="3"/>
  <c r="DA12" i="3"/>
  <c r="DB12" i="3"/>
  <c r="DC12" i="3"/>
  <c r="A13" i="3"/>
  <c r="CX13" i="3"/>
  <c r="CY13" i="3"/>
  <c r="CZ13" i="3"/>
  <c r="DB13" i="3" s="1"/>
  <c r="DA13" i="3"/>
  <c r="DC13" i="3"/>
  <c r="A14" i="3"/>
  <c r="CX14" i="3"/>
  <c r="CY14" i="3"/>
  <c r="CZ14" i="3"/>
  <c r="DB14" i="3" s="1"/>
  <c r="DA14" i="3"/>
  <c r="DC14" i="3"/>
  <c r="A15" i="3"/>
  <c r="CX15" i="3"/>
  <c r="CY15" i="3"/>
  <c r="CZ15" i="3"/>
  <c r="DA15" i="3"/>
  <c r="DB15" i="3"/>
  <c r="DC15" i="3"/>
  <c r="A16" i="3"/>
  <c r="CX16" i="3"/>
  <c r="CY16" i="3"/>
  <c r="CZ16" i="3"/>
  <c r="DA16" i="3"/>
  <c r="DB16" i="3"/>
  <c r="DC16" i="3"/>
  <c r="A17" i="3"/>
  <c r="CX17" i="3"/>
  <c r="CY17" i="3"/>
  <c r="CZ17" i="3"/>
  <c r="DA17" i="3"/>
  <c r="DB17" i="3"/>
  <c r="DC17" i="3"/>
  <c r="A18" i="3"/>
  <c r="CX18" i="3"/>
  <c r="CY18" i="3"/>
  <c r="CZ18" i="3"/>
  <c r="DA18" i="3"/>
  <c r="DB18" i="3"/>
  <c r="DC18" i="3"/>
  <c r="A19" i="3"/>
  <c r="CX19" i="3"/>
  <c r="CY19" i="3"/>
  <c r="CZ19" i="3"/>
  <c r="DA19" i="3"/>
  <c r="DB19" i="3"/>
  <c r="DC19" i="3"/>
  <c r="A20" i="3"/>
  <c r="CX20" i="3"/>
  <c r="CY20" i="3"/>
  <c r="CZ20" i="3"/>
  <c r="DB20" i="3" s="1"/>
  <c r="DA20" i="3"/>
  <c r="DC20" i="3"/>
  <c r="A21" i="3"/>
  <c r="CX21" i="3"/>
  <c r="CY21" i="3"/>
  <c r="CZ21" i="3"/>
  <c r="DB21" i="3" s="1"/>
  <c r="DA21" i="3"/>
  <c r="DC21" i="3"/>
  <c r="A22" i="3"/>
  <c r="CX22" i="3"/>
  <c r="CY22" i="3"/>
  <c r="CZ22" i="3"/>
  <c r="DB22" i="3" s="1"/>
  <c r="DA22" i="3"/>
  <c r="DC22" i="3"/>
  <c r="A23" i="3"/>
  <c r="CX23" i="3"/>
  <c r="CY23" i="3"/>
  <c r="CZ23" i="3"/>
  <c r="DA23" i="3"/>
  <c r="DB23" i="3"/>
  <c r="DC23" i="3"/>
  <c r="A24" i="3"/>
  <c r="CX24" i="3"/>
  <c r="CY24" i="3"/>
  <c r="CZ24" i="3"/>
  <c r="DA24" i="3"/>
  <c r="DB24" i="3"/>
  <c r="DC24" i="3"/>
  <c r="A25" i="3"/>
  <c r="CY25" i="3"/>
  <c r="CZ25" i="3"/>
  <c r="DA25" i="3"/>
  <c r="DB25" i="3"/>
  <c r="DC25" i="3"/>
  <c r="A26" i="3"/>
  <c r="CY26" i="3"/>
  <c r="CZ26" i="3"/>
  <c r="DA26" i="3"/>
  <c r="DB26" i="3"/>
  <c r="DC26" i="3"/>
  <c r="A27" i="3"/>
  <c r="CY27" i="3"/>
  <c r="CZ27" i="3"/>
  <c r="DA27" i="3"/>
  <c r="DB27" i="3"/>
  <c r="DC27" i="3"/>
  <c r="A28" i="3"/>
  <c r="CY28" i="3"/>
  <c r="CZ28" i="3"/>
  <c r="DB28" i="3" s="1"/>
  <c r="DA28" i="3"/>
  <c r="DC28" i="3"/>
  <c r="A29" i="3"/>
  <c r="CY29" i="3"/>
  <c r="CZ29" i="3"/>
  <c r="DB29" i="3" s="1"/>
  <c r="DA29" i="3"/>
  <c r="DC29" i="3"/>
  <c r="A30" i="3"/>
  <c r="CY30" i="3"/>
  <c r="CZ30" i="3"/>
  <c r="DB30" i="3" s="1"/>
  <c r="DA30" i="3"/>
  <c r="DC30" i="3"/>
  <c r="A31" i="3"/>
  <c r="CY31" i="3"/>
  <c r="CZ31" i="3"/>
  <c r="DA31" i="3"/>
  <c r="DB31" i="3"/>
  <c r="DC31" i="3"/>
  <c r="A32" i="3"/>
  <c r="CY32" i="3"/>
  <c r="CZ32" i="3"/>
  <c r="DA32" i="3"/>
  <c r="DB32" i="3"/>
  <c r="DC32" i="3"/>
  <c r="A33" i="3"/>
  <c r="CX33" i="3"/>
  <c r="CY33" i="3"/>
  <c r="CZ33" i="3"/>
  <c r="DA33" i="3"/>
  <c r="DB33" i="3"/>
  <c r="DC33" i="3"/>
  <c r="A34" i="3"/>
  <c r="CX34" i="3"/>
  <c r="CY34" i="3"/>
  <c r="CZ34" i="3"/>
  <c r="DA34" i="3"/>
  <c r="DB34" i="3"/>
  <c r="DC34" i="3"/>
  <c r="A35" i="3"/>
  <c r="CX35" i="3"/>
  <c r="CY35" i="3"/>
  <c r="CZ35" i="3"/>
  <c r="DA35" i="3"/>
  <c r="DB35" i="3"/>
  <c r="DC35" i="3"/>
  <c r="A36" i="3"/>
  <c r="CX36" i="3"/>
  <c r="CY36" i="3"/>
  <c r="CZ36" i="3"/>
  <c r="DB36" i="3" s="1"/>
  <c r="DA36" i="3"/>
  <c r="DC36" i="3"/>
  <c r="A37" i="3"/>
  <c r="CX37" i="3"/>
  <c r="CY37" i="3"/>
  <c r="CZ37" i="3"/>
  <c r="DB37" i="3" s="1"/>
  <c r="DA37" i="3"/>
  <c r="DC37" i="3"/>
  <c r="A38" i="3"/>
  <c r="CX38" i="3"/>
  <c r="CY38" i="3"/>
  <c r="CZ38" i="3"/>
  <c r="DB38" i="3" s="1"/>
  <c r="DA38" i="3"/>
  <c r="DC38" i="3"/>
  <c r="A39" i="3"/>
  <c r="CX39" i="3"/>
  <c r="CY39" i="3"/>
  <c r="CZ39" i="3"/>
  <c r="DA39" i="3"/>
  <c r="DB39" i="3"/>
  <c r="DC39" i="3"/>
  <c r="A40" i="3"/>
  <c r="CX40" i="3"/>
  <c r="CY40" i="3"/>
  <c r="CZ40" i="3"/>
  <c r="DA40" i="3"/>
  <c r="DB40" i="3"/>
  <c r="DC40" i="3"/>
  <c r="A41" i="3"/>
  <c r="CX41" i="3"/>
  <c r="CY41" i="3"/>
  <c r="CZ41" i="3"/>
  <c r="DA41" i="3"/>
  <c r="DB41" i="3"/>
  <c r="DC41" i="3"/>
  <c r="A42" i="3"/>
  <c r="CX42" i="3"/>
  <c r="CY42" i="3"/>
  <c r="CZ42" i="3"/>
  <c r="DA42" i="3"/>
  <c r="DB42" i="3"/>
  <c r="DC42" i="3"/>
  <c r="A43" i="3"/>
  <c r="CY43" i="3"/>
  <c r="CZ43" i="3"/>
  <c r="DA43" i="3"/>
  <c r="DB43" i="3"/>
  <c r="DC43" i="3"/>
  <c r="A44" i="3"/>
  <c r="CY44" i="3"/>
  <c r="CZ44" i="3"/>
  <c r="DB44" i="3" s="1"/>
  <c r="DA44" i="3"/>
  <c r="DC44" i="3"/>
  <c r="A45" i="3"/>
  <c r="CY45" i="3"/>
  <c r="CZ45" i="3"/>
  <c r="DB45" i="3" s="1"/>
  <c r="DA45" i="3"/>
  <c r="DC45" i="3"/>
  <c r="A46" i="3"/>
  <c r="CY46" i="3"/>
  <c r="CZ46" i="3"/>
  <c r="DB46" i="3" s="1"/>
  <c r="DA46" i="3"/>
  <c r="DC46" i="3"/>
  <c r="A47" i="3"/>
  <c r="CY47" i="3"/>
  <c r="CZ47" i="3"/>
  <c r="DA47" i="3"/>
  <c r="DB47" i="3"/>
  <c r="DC47" i="3"/>
  <c r="A48" i="3"/>
  <c r="CY48" i="3"/>
  <c r="CZ48" i="3"/>
  <c r="DA48" i="3"/>
  <c r="DB48" i="3"/>
  <c r="DC48" i="3"/>
  <c r="A49" i="3"/>
  <c r="CX49" i="3"/>
  <c r="CY49" i="3"/>
  <c r="CZ49" i="3"/>
  <c r="DA49" i="3"/>
  <c r="DB49" i="3"/>
  <c r="DC49" i="3"/>
  <c r="A50" i="3"/>
  <c r="CX50" i="3"/>
  <c r="CY50" i="3"/>
  <c r="CZ50" i="3"/>
  <c r="DA50" i="3"/>
  <c r="DB50" i="3"/>
  <c r="DC50" i="3"/>
  <c r="A51" i="3"/>
  <c r="CY51" i="3"/>
  <c r="CZ51" i="3"/>
  <c r="DA51" i="3"/>
  <c r="DB51" i="3"/>
  <c r="DC51" i="3"/>
  <c r="A52" i="3"/>
  <c r="CY52" i="3"/>
  <c r="CZ52" i="3"/>
  <c r="DB52" i="3" s="1"/>
  <c r="DA52" i="3"/>
  <c r="DC52" i="3"/>
  <c r="A53" i="3"/>
  <c r="CX53" i="3"/>
  <c r="CY53" i="3"/>
  <c r="CZ53" i="3"/>
  <c r="DB53" i="3" s="1"/>
  <c r="DA53" i="3"/>
  <c r="DC53" i="3"/>
  <c r="A54" i="3"/>
  <c r="CX54" i="3"/>
  <c r="CY54" i="3"/>
  <c r="CZ54" i="3"/>
  <c r="DB54" i="3" s="1"/>
  <c r="DA54" i="3"/>
  <c r="DC54" i="3"/>
  <c r="A55" i="3"/>
  <c r="CX55" i="3"/>
  <c r="CY55" i="3"/>
  <c r="CZ55" i="3"/>
  <c r="DA55" i="3"/>
  <c r="DB55" i="3"/>
  <c r="DC55" i="3"/>
  <c r="A56" i="3"/>
  <c r="CX56" i="3"/>
  <c r="CY56" i="3"/>
  <c r="CZ56" i="3"/>
  <c r="DA56" i="3"/>
  <c r="DB56" i="3"/>
  <c r="DC56" i="3"/>
  <c r="A57" i="3"/>
  <c r="CX57" i="3"/>
  <c r="CY57" i="3"/>
  <c r="CZ57" i="3"/>
  <c r="DA57" i="3"/>
  <c r="DB57" i="3"/>
  <c r="DC57" i="3"/>
  <c r="A58" i="3"/>
  <c r="CX58" i="3"/>
  <c r="CY58" i="3"/>
  <c r="CZ58" i="3"/>
  <c r="DA58" i="3"/>
  <c r="DB58" i="3"/>
  <c r="DC5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CX1" i="3" s="1"/>
  <c r="V24" i="1"/>
  <c r="AC24" i="1"/>
  <c r="AD24" i="1"/>
  <c r="AB24" i="1" s="1"/>
  <c r="AE24" i="1"/>
  <c r="CS24" i="1" s="1"/>
  <c r="R24" i="1" s="1"/>
  <c r="AF24" i="1"/>
  <c r="AG24" i="1"/>
  <c r="CU24" i="1" s="1"/>
  <c r="T24" i="1" s="1"/>
  <c r="AH24" i="1"/>
  <c r="CV24" i="1" s="1"/>
  <c r="U24" i="1" s="1"/>
  <c r="AI24" i="1"/>
  <c r="AJ24" i="1"/>
  <c r="CX24" i="1" s="1"/>
  <c r="W24" i="1" s="1"/>
  <c r="CQ24" i="1"/>
  <c r="P24" i="1" s="1"/>
  <c r="CR24" i="1"/>
  <c r="Q24" i="1" s="1"/>
  <c r="CT24" i="1"/>
  <c r="S24" i="1" s="1"/>
  <c r="CW24" i="1"/>
  <c r="FR24" i="1"/>
  <c r="GL24" i="1"/>
  <c r="GN24" i="1"/>
  <c r="GP24" i="1"/>
  <c r="GV24" i="1"/>
  <c r="HC24" i="1"/>
  <c r="GX24" i="1" s="1"/>
  <c r="C25" i="1"/>
  <c r="D25" i="1"/>
  <c r="I25" i="1"/>
  <c r="CX2" i="3" s="1"/>
  <c r="T25" i="1"/>
  <c r="V25" i="1"/>
  <c r="AC25" i="1"/>
  <c r="AB25" i="1" s="1"/>
  <c r="AD25" i="1"/>
  <c r="CR25" i="1" s="1"/>
  <c r="Q25" i="1" s="1"/>
  <c r="AE25" i="1"/>
  <c r="AF25" i="1"/>
  <c r="CT25" i="1" s="1"/>
  <c r="S25" i="1" s="1"/>
  <c r="AG25" i="1"/>
  <c r="AH25" i="1"/>
  <c r="CV25" i="1" s="1"/>
  <c r="U25" i="1" s="1"/>
  <c r="AI25" i="1"/>
  <c r="AJ25" i="1"/>
  <c r="CQ25" i="1"/>
  <c r="P25" i="1" s="1"/>
  <c r="CS25" i="1"/>
  <c r="R25" i="1" s="1"/>
  <c r="GK25" i="1" s="1"/>
  <c r="CU25" i="1"/>
  <c r="CW25" i="1"/>
  <c r="CX25" i="1"/>
  <c r="W25" i="1" s="1"/>
  <c r="FR25" i="1"/>
  <c r="GL25" i="1"/>
  <c r="GN25" i="1"/>
  <c r="GP25" i="1"/>
  <c r="GV25" i="1"/>
  <c r="GX25" i="1"/>
  <c r="HC25" i="1"/>
  <c r="C26" i="1"/>
  <c r="D26" i="1"/>
  <c r="Q26" i="1"/>
  <c r="S26" i="1"/>
  <c r="CY26" i="1" s="1"/>
  <c r="X26" i="1" s="1"/>
  <c r="AC26" i="1"/>
  <c r="AB26" i="1" s="1"/>
  <c r="AD26" i="1"/>
  <c r="AE26" i="1"/>
  <c r="CS26" i="1" s="1"/>
  <c r="R26" i="1" s="1"/>
  <c r="AF26" i="1"/>
  <c r="AG26" i="1"/>
  <c r="AH26" i="1"/>
  <c r="AI26" i="1"/>
  <c r="CW26" i="1" s="1"/>
  <c r="V26" i="1" s="1"/>
  <c r="AJ26" i="1"/>
  <c r="CR26" i="1"/>
  <c r="CT26" i="1"/>
  <c r="CU26" i="1"/>
  <c r="T26" i="1" s="1"/>
  <c r="CV26" i="1"/>
  <c r="U26" i="1" s="1"/>
  <c r="CX26" i="1"/>
  <c r="W26" i="1" s="1"/>
  <c r="FR26" i="1"/>
  <c r="GL26" i="1"/>
  <c r="GN26" i="1"/>
  <c r="GP26" i="1"/>
  <c r="GV26" i="1"/>
  <c r="GX26" i="1"/>
  <c r="HC26" i="1"/>
  <c r="C27" i="1"/>
  <c r="D27" i="1"/>
  <c r="Q27" i="1"/>
  <c r="W27" i="1"/>
  <c r="AC27" i="1"/>
  <c r="AB27" i="1" s="1"/>
  <c r="AD27" i="1"/>
  <c r="AE27" i="1"/>
  <c r="AF27" i="1"/>
  <c r="AG27" i="1"/>
  <c r="CU27" i="1" s="1"/>
  <c r="T27" i="1" s="1"/>
  <c r="AH27" i="1"/>
  <c r="AI27" i="1"/>
  <c r="CW27" i="1" s="1"/>
  <c r="V27" i="1" s="1"/>
  <c r="AJ27" i="1"/>
  <c r="CR27" i="1"/>
  <c r="CS27" i="1"/>
  <c r="R27" i="1" s="1"/>
  <c r="GK27" i="1" s="1"/>
  <c r="CT27" i="1"/>
  <c r="S27" i="1" s="1"/>
  <c r="CV27" i="1"/>
  <c r="U27" i="1" s="1"/>
  <c r="CX27" i="1"/>
  <c r="FR27" i="1"/>
  <c r="GL27" i="1"/>
  <c r="GN27" i="1"/>
  <c r="GP27" i="1"/>
  <c r="GV27" i="1"/>
  <c r="HC27" i="1"/>
  <c r="GX27" i="1" s="1"/>
  <c r="C28" i="1"/>
  <c r="D28" i="1"/>
  <c r="T28" i="1"/>
  <c r="V28" i="1"/>
  <c r="AC28" i="1"/>
  <c r="AB28" i="1" s="1"/>
  <c r="AD28" i="1"/>
  <c r="CR28" i="1" s="1"/>
  <c r="Q28" i="1" s="1"/>
  <c r="AE28" i="1"/>
  <c r="AF28" i="1"/>
  <c r="CT28" i="1" s="1"/>
  <c r="S28" i="1" s="1"/>
  <c r="AG28" i="1"/>
  <c r="AH28" i="1"/>
  <c r="CV28" i="1" s="1"/>
  <c r="U28" i="1" s="1"/>
  <c r="AI28" i="1"/>
  <c r="AJ28" i="1"/>
  <c r="CQ28" i="1"/>
  <c r="P28" i="1" s="1"/>
  <c r="CP28" i="1" s="1"/>
  <c r="O28" i="1" s="1"/>
  <c r="CS28" i="1"/>
  <c r="R28" i="1" s="1"/>
  <c r="CU28" i="1"/>
  <c r="CW28" i="1"/>
  <c r="CX28" i="1"/>
  <c r="W28" i="1" s="1"/>
  <c r="FR28" i="1"/>
  <c r="GL28" i="1"/>
  <c r="GN28" i="1"/>
  <c r="GP28" i="1"/>
  <c r="GV28" i="1"/>
  <c r="HC28" i="1" s="1"/>
  <c r="GX28" i="1" s="1"/>
  <c r="C29" i="1"/>
  <c r="D29" i="1"/>
  <c r="R29" i="1"/>
  <c r="GK29" i="1" s="1"/>
  <c r="T29" i="1"/>
  <c r="AB29" i="1"/>
  <c r="AC29" i="1"/>
  <c r="AD29" i="1"/>
  <c r="CR29" i="1" s="1"/>
  <c r="Q29" i="1" s="1"/>
  <c r="AE29" i="1"/>
  <c r="AF29" i="1"/>
  <c r="CT29" i="1" s="1"/>
  <c r="S29" i="1" s="1"/>
  <c r="AG29" i="1"/>
  <c r="AH29" i="1"/>
  <c r="AI29" i="1"/>
  <c r="AJ29" i="1"/>
  <c r="CX29" i="1" s="1"/>
  <c r="W29" i="1" s="1"/>
  <c r="CQ29" i="1"/>
  <c r="P29" i="1" s="1"/>
  <c r="CS29" i="1"/>
  <c r="CU29" i="1"/>
  <c r="CV29" i="1"/>
  <c r="U29" i="1" s="1"/>
  <c r="CW29" i="1"/>
  <c r="V29" i="1" s="1"/>
  <c r="FR29" i="1"/>
  <c r="GL29" i="1"/>
  <c r="GN29" i="1"/>
  <c r="GP29" i="1"/>
  <c r="GV29" i="1"/>
  <c r="GX29" i="1"/>
  <c r="HC29" i="1"/>
  <c r="C30" i="1"/>
  <c r="D30" i="1"/>
  <c r="Q30" i="1"/>
  <c r="W30" i="1"/>
  <c r="AC30" i="1"/>
  <c r="AB30" i="1" s="1"/>
  <c r="AD30" i="1"/>
  <c r="AE30" i="1"/>
  <c r="AF30" i="1"/>
  <c r="AG30" i="1"/>
  <c r="CU30" i="1" s="1"/>
  <c r="T30" i="1" s="1"/>
  <c r="AH30" i="1"/>
  <c r="AI30" i="1"/>
  <c r="CW30" i="1" s="1"/>
  <c r="V30" i="1" s="1"/>
  <c r="AJ30" i="1"/>
  <c r="CR30" i="1"/>
  <c r="CS30" i="1"/>
  <c r="R30" i="1" s="1"/>
  <c r="CT30" i="1"/>
  <c r="S30" i="1" s="1"/>
  <c r="CV30" i="1"/>
  <c r="U30" i="1" s="1"/>
  <c r="CX30" i="1"/>
  <c r="FR30" i="1"/>
  <c r="GL30" i="1"/>
  <c r="GO30" i="1"/>
  <c r="GP30" i="1"/>
  <c r="GV30" i="1"/>
  <c r="HC30" i="1"/>
  <c r="GX30" i="1" s="1"/>
  <c r="C31" i="1"/>
  <c r="D31" i="1"/>
  <c r="U31" i="1"/>
  <c r="W31" i="1"/>
  <c r="AC31" i="1"/>
  <c r="AB31" i="1" s="1"/>
  <c r="AD31" i="1"/>
  <c r="AE31" i="1"/>
  <c r="CS31" i="1" s="1"/>
  <c r="R31" i="1" s="1"/>
  <c r="GK31" i="1" s="1"/>
  <c r="AF31" i="1"/>
  <c r="AG31" i="1"/>
  <c r="CU31" i="1" s="1"/>
  <c r="T31" i="1" s="1"/>
  <c r="AH31" i="1"/>
  <c r="AI31" i="1"/>
  <c r="CW31" i="1" s="1"/>
  <c r="V31" i="1" s="1"/>
  <c r="AJ31" i="1"/>
  <c r="CQ31" i="1"/>
  <c r="P31" i="1" s="1"/>
  <c r="CP31" i="1" s="1"/>
  <c r="O31" i="1" s="1"/>
  <c r="CR31" i="1"/>
  <c r="Q31" i="1" s="1"/>
  <c r="CT31" i="1"/>
  <c r="S31" i="1" s="1"/>
  <c r="CV31" i="1"/>
  <c r="CX31" i="1"/>
  <c r="FR31" i="1"/>
  <c r="GL31" i="1"/>
  <c r="GO31" i="1"/>
  <c r="GP31" i="1"/>
  <c r="GV31" i="1"/>
  <c r="HC31" i="1" s="1"/>
  <c r="GX31" i="1" s="1"/>
  <c r="C32" i="1"/>
  <c r="D32" i="1"/>
  <c r="R32" i="1"/>
  <c r="T32" i="1"/>
  <c r="AB32" i="1"/>
  <c r="AC32" i="1"/>
  <c r="AD32" i="1"/>
  <c r="CR32" i="1" s="1"/>
  <c r="Q32" i="1" s="1"/>
  <c r="AE32" i="1"/>
  <c r="AF32" i="1"/>
  <c r="CT32" i="1" s="1"/>
  <c r="S32" i="1" s="1"/>
  <c r="AG32" i="1"/>
  <c r="AH32" i="1"/>
  <c r="AI32" i="1"/>
  <c r="AJ32" i="1"/>
  <c r="CX32" i="1" s="1"/>
  <c r="W32" i="1" s="1"/>
  <c r="CQ32" i="1"/>
  <c r="P32" i="1" s="1"/>
  <c r="CS32" i="1"/>
  <c r="CU32" i="1"/>
  <c r="CV32" i="1"/>
  <c r="U32" i="1" s="1"/>
  <c r="CW32" i="1"/>
  <c r="V32" i="1" s="1"/>
  <c r="FR32" i="1"/>
  <c r="GL32" i="1"/>
  <c r="GN32" i="1"/>
  <c r="GP32" i="1"/>
  <c r="GV32" i="1"/>
  <c r="HC32" i="1" s="1"/>
  <c r="GX32" i="1" s="1"/>
  <c r="C33" i="1"/>
  <c r="D33" i="1"/>
  <c r="P33" i="1"/>
  <c r="R33" i="1"/>
  <c r="GK33" i="1" s="1"/>
  <c r="AB33" i="1"/>
  <c r="AC33" i="1"/>
  <c r="AD33" i="1"/>
  <c r="CR33" i="1" s="1"/>
  <c r="Q33" i="1" s="1"/>
  <c r="AE33" i="1"/>
  <c r="AF33" i="1"/>
  <c r="AG33" i="1"/>
  <c r="AH33" i="1"/>
  <c r="CV33" i="1" s="1"/>
  <c r="U33" i="1" s="1"/>
  <c r="AI33" i="1"/>
  <c r="AJ33" i="1"/>
  <c r="CX33" i="1" s="1"/>
  <c r="W33" i="1" s="1"/>
  <c r="CQ33" i="1"/>
  <c r="CS33" i="1"/>
  <c r="CT33" i="1"/>
  <c r="S33" i="1" s="1"/>
  <c r="CU33" i="1"/>
  <c r="T33" i="1" s="1"/>
  <c r="CW33" i="1"/>
  <c r="V33" i="1" s="1"/>
  <c r="FR33" i="1"/>
  <c r="GL33" i="1"/>
  <c r="GN33" i="1"/>
  <c r="GP33" i="1"/>
  <c r="GV33" i="1"/>
  <c r="HC33" i="1"/>
  <c r="GX33" i="1" s="1"/>
  <c r="I34" i="1"/>
  <c r="P34" i="1" s="1"/>
  <c r="V34" i="1"/>
  <c r="AC34" i="1"/>
  <c r="AD34" i="1"/>
  <c r="AB34" i="1" s="1"/>
  <c r="AE34" i="1"/>
  <c r="AF34" i="1"/>
  <c r="CT34" i="1" s="1"/>
  <c r="S34" i="1" s="1"/>
  <c r="AG34" i="1"/>
  <c r="AH34" i="1"/>
  <c r="CV34" i="1" s="1"/>
  <c r="U34" i="1" s="1"/>
  <c r="AI34" i="1"/>
  <c r="AJ34" i="1"/>
  <c r="CX34" i="1" s="1"/>
  <c r="W34" i="1" s="1"/>
  <c r="CQ34" i="1"/>
  <c r="CR34" i="1"/>
  <c r="Q34" i="1" s="1"/>
  <c r="CS34" i="1"/>
  <c r="R34" i="1" s="1"/>
  <c r="GK34" i="1" s="1"/>
  <c r="CU34" i="1"/>
  <c r="T34" i="1" s="1"/>
  <c r="CW34" i="1"/>
  <c r="FR34" i="1"/>
  <c r="GL34" i="1"/>
  <c r="GN34" i="1"/>
  <c r="GP34" i="1"/>
  <c r="GV34" i="1"/>
  <c r="HC34" i="1" s="1"/>
  <c r="GX34" i="1"/>
  <c r="I35" i="1"/>
  <c r="T35" i="1"/>
  <c r="V35" i="1"/>
  <c r="AC35" i="1"/>
  <c r="AD35" i="1"/>
  <c r="CR35" i="1" s="1"/>
  <c r="Q35" i="1" s="1"/>
  <c r="AE35" i="1"/>
  <c r="AF35" i="1"/>
  <c r="CT35" i="1" s="1"/>
  <c r="S35" i="1" s="1"/>
  <c r="CZ35" i="1" s="1"/>
  <c r="Y35" i="1" s="1"/>
  <c r="AG35" i="1"/>
  <c r="AH35" i="1"/>
  <c r="CV35" i="1" s="1"/>
  <c r="U35" i="1" s="1"/>
  <c r="AI35" i="1"/>
  <c r="AJ35" i="1"/>
  <c r="CQ35" i="1"/>
  <c r="P35" i="1" s="1"/>
  <c r="CS35" i="1"/>
  <c r="R35" i="1" s="1"/>
  <c r="GK35" i="1" s="1"/>
  <c r="CU35" i="1"/>
  <c r="CW35" i="1"/>
  <c r="CX35" i="1"/>
  <c r="W35" i="1" s="1"/>
  <c r="FR35" i="1"/>
  <c r="GL35" i="1"/>
  <c r="GN35" i="1"/>
  <c r="GP35" i="1"/>
  <c r="GV35" i="1"/>
  <c r="HC35" i="1" s="1"/>
  <c r="GX35" i="1" s="1"/>
  <c r="C36" i="1"/>
  <c r="D36" i="1"/>
  <c r="Q36" i="1"/>
  <c r="S36" i="1"/>
  <c r="AC36" i="1"/>
  <c r="AD36" i="1"/>
  <c r="AE36" i="1"/>
  <c r="CS36" i="1" s="1"/>
  <c r="R36" i="1" s="1"/>
  <c r="AF36" i="1"/>
  <c r="AG36" i="1"/>
  <c r="AH36" i="1"/>
  <c r="AI36" i="1"/>
  <c r="CW36" i="1" s="1"/>
  <c r="V36" i="1" s="1"/>
  <c r="AJ36" i="1"/>
  <c r="CR36" i="1"/>
  <c r="CT36" i="1"/>
  <c r="CU36" i="1"/>
  <c r="T36" i="1" s="1"/>
  <c r="CV36" i="1"/>
  <c r="U36" i="1" s="1"/>
  <c r="CX36" i="1"/>
  <c r="W36" i="1" s="1"/>
  <c r="FR36" i="1"/>
  <c r="GL36" i="1"/>
  <c r="GN36" i="1"/>
  <c r="GP36" i="1"/>
  <c r="GV36" i="1"/>
  <c r="GX36" i="1"/>
  <c r="HC36" i="1"/>
  <c r="C37" i="1"/>
  <c r="D37" i="1"/>
  <c r="Q37" i="1"/>
  <c r="W37" i="1"/>
  <c r="AC37" i="1"/>
  <c r="AB37" i="1" s="1"/>
  <c r="AD37" i="1"/>
  <c r="AE37" i="1"/>
  <c r="AF37" i="1"/>
  <c r="AG37" i="1"/>
  <c r="CU37" i="1" s="1"/>
  <c r="T37" i="1" s="1"/>
  <c r="AH37" i="1"/>
  <c r="AI37" i="1"/>
  <c r="CW37" i="1" s="1"/>
  <c r="V37" i="1" s="1"/>
  <c r="AJ37" i="1"/>
  <c r="CR37" i="1"/>
  <c r="CS37" i="1"/>
  <c r="R37" i="1" s="1"/>
  <c r="CT37" i="1"/>
  <c r="S37" i="1" s="1"/>
  <c r="CV37" i="1"/>
  <c r="U37" i="1" s="1"/>
  <c r="CX37" i="1"/>
  <c r="FR37" i="1"/>
  <c r="GK37" i="1"/>
  <c r="GL37" i="1"/>
  <c r="GN37" i="1"/>
  <c r="GP37" i="1"/>
  <c r="GV37" i="1"/>
  <c r="HC37" i="1"/>
  <c r="GX37" i="1" s="1"/>
  <c r="C38" i="1"/>
  <c r="D38" i="1"/>
  <c r="I38" i="1"/>
  <c r="CX26" i="3" s="1"/>
  <c r="S38" i="1"/>
  <c r="CY38" i="1" s="1"/>
  <c r="X38" i="1" s="1"/>
  <c r="U38" i="1"/>
  <c r="AC38" i="1"/>
  <c r="CQ38" i="1" s="1"/>
  <c r="P38" i="1" s="1"/>
  <c r="AD38" i="1"/>
  <c r="AE38" i="1"/>
  <c r="CS38" i="1" s="1"/>
  <c r="R38" i="1" s="1"/>
  <c r="AF38" i="1"/>
  <c r="AG38" i="1"/>
  <c r="CU38" i="1" s="1"/>
  <c r="T38" i="1" s="1"/>
  <c r="AH38" i="1"/>
  <c r="AI38" i="1"/>
  <c r="AJ38" i="1"/>
  <c r="CR38" i="1"/>
  <c r="Q38" i="1" s="1"/>
  <c r="CP38" i="1" s="1"/>
  <c r="O38" i="1" s="1"/>
  <c r="CT38" i="1"/>
  <c r="CV38" i="1"/>
  <c r="CW38" i="1"/>
  <c r="V38" i="1" s="1"/>
  <c r="CX38" i="1"/>
  <c r="W38" i="1" s="1"/>
  <c r="CZ38" i="1"/>
  <c r="Y38" i="1" s="1"/>
  <c r="FR38" i="1"/>
  <c r="GL38" i="1"/>
  <c r="GN38" i="1"/>
  <c r="GP38" i="1"/>
  <c r="GV38" i="1"/>
  <c r="GX38" i="1"/>
  <c r="HC38" i="1"/>
  <c r="C39" i="1"/>
  <c r="D39" i="1"/>
  <c r="I39" i="1"/>
  <c r="I41" i="1" s="1"/>
  <c r="V39" i="1"/>
  <c r="AB39" i="1"/>
  <c r="AC39" i="1"/>
  <c r="AD39" i="1"/>
  <c r="CR39" i="1" s="1"/>
  <c r="AE39" i="1"/>
  <c r="AF39" i="1"/>
  <c r="AG39" i="1"/>
  <c r="CU39" i="1" s="1"/>
  <c r="T39" i="1" s="1"/>
  <c r="AH39" i="1"/>
  <c r="CV39" i="1" s="1"/>
  <c r="AI39" i="1"/>
  <c r="AJ39" i="1"/>
  <c r="CX39" i="1" s="1"/>
  <c r="W39" i="1" s="1"/>
  <c r="CQ39" i="1"/>
  <c r="CS39" i="1"/>
  <c r="R39" i="1" s="1"/>
  <c r="CT39" i="1"/>
  <c r="CW39" i="1"/>
  <c r="FR39" i="1"/>
  <c r="GK39" i="1"/>
  <c r="GL39" i="1"/>
  <c r="GN39" i="1"/>
  <c r="GP39" i="1"/>
  <c r="GV39" i="1"/>
  <c r="GX39" i="1"/>
  <c r="HC39" i="1"/>
  <c r="I40" i="1"/>
  <c r="T40" i="1"/>
  <c r="AC40" i="1"/>
  <c r="AD40" i="1"/>
  <c r="AE40" i="1"/>
  <c r="AF40" i="1"/>
  <c r="AG40" i="1"/>
  <c r="CU40" i="1" s="1"/>
  <c r="AH40" i="1"/>
  <c r="AI40" i="1"/>
  <c r="CW40" i="1" s="1"/>
  <c r="V40" i="1" s="1"/>
  <c r="AJ40" i="1"/>
  <c r="CX40" i="1" s="1"/>
  <c r="W40" i="1" s="1"/>
  <c r="CQ40" i="1"/>
  <c r="P40" i="1" s="1"/>
  <c r="CS40" i="1"/>
  <c r="R40" i="1" s="1"/>
  <c r="CT40" i="1"/>
  <c r="S40" i="1" s="1"/>
  <c r="CZ40" i="1" s="1"/>
  <c r="Y40" i="1" s="1"/>
  <c r="CV40" i="1"/>
  <c r="U40" i="1" s="1"/>
  <c r="CY40" i="1"/>
  <c r="X40" i="1" s="1"/>
  <c r="FR40" i="1"/>
  <c r="GK40" i="1"/>
  <c r="GL40" i="1"/>
  <c r="GN40" i="1"/>
  <c r="GP40" i="1"/>
  <c r="GV40" i="1"/>
  <c r="HC40" i="1"/>
  <c r="GX40" i="1" s="1"/>
  <c r="R41" i="1"/>
  <c r="GK41" i="1" s="1"/>
  <c r="AB41" i="1"/>
  <c r="AC41" i="1"/>
  <c r="AD41" i="1"/>
  <c r="AE41" i="1"/>
  <c r="CS41" i="1" s="1"/>
  <c r="AF41" i="1"/>
  <c r="AG41" i="1"/>
  <c r="CU41" i="1" s="1"/>
  <c r="T41" i="1" s="1"/>
  <c r="AH41" i="1"/>
  <c r="CV41" i="1" s="1"/>
  <c r="U41" i="1" s="1"/>
  <c r="AI41" i="1"/>
  <c r="AJ41" i="1"/>
  <c r="CX41" i="1" s="1"/>
  <c r="W41" i="1" s="1"/>
  <c r="CQ41" i="1"/>
  <c r="CR41" i="1"/>
  <c r="Q41" i="1" s="1"/>
  <c r="CT41" i="1"/>
  <c r="S41" i="1" s="1"/>
  <c r="CY41" i="1" s="1"/>
  <c r="X41" i="1" s="1"/>
  <c r="CW41" i="1"/>
  <c r="CZ41" i="1"/>
  <c r="Y41" i="1" s="1"/>
  <c r="FR41" i="1"/>
  <c r="GL41" i="1"/>
  <c r="GN41" i="1"/>
  <c r="GP41" i="1"/>
  <c r="GV41" i="1"/>
  <c r="HC41" i="1" s="1"/>
  <c r="GX41" i="1" s="1"/>
  <c r="I42" i="1"/>
  <c r="S42" i="1"/>
  <c r="AC42" i="1"/>
  <c r="AD42" i="1"/>
  <c r="AE42" i="1"/>
  <c r="CS42" i="1" s="1"/>
  <c r="R42" i="1" s="1"/>
  <c r="GK42" i="1" s="1"/>
  <c r="AF42" i="1"/>
  <c r="CT42" i="1" s="1"/>
  <c r="AG42" i="1"/>
  <c r="AH42" i="1"/>
  <c r="CV42" i="1" s="1"/>
  <c r="U42" i="1" s="1"/>
  <c r="AI42" i="1"/>
  <c r="AJ42" i="1"/>
  <c r="CX42" i="1" s="1"/>
  <c r="W42" i="1" s="1"/>
  <c r="CR42" i="1"/>
  <c r="Q42" i="1" s="1"/>
  <c r="CU42" i="1"/>
  <c r="T42" i="1" s="1"/>
  <c r="CW42" i="1"/>
  <c r="V42" i="1" s="1"/>
  <c r="FR42" i="1"/>
  <c r="GL42" i="1"/>
  <c r="GN42" i="1"/>
  <c r="GP42" i="1"/>
  <c r="GV42" i="1"/>
  <c r="HC42" i="1" s="1"/>
  <c r="GX42" i="1" s="1"/>
  <c r="I43" i="1"/>
  <c r="Q43" i="1"/>
  <c r="V43" i="1"/>
  <c r="AC43" i="1"/>
  <c r="AD43" i="1"/>
  <c r="CR43" i="1" s="1"/>
  <c r="AE43" i="1"/>
  <c r="AF43" i="1"/>
  <c r="CT43" i="1" s="1"/>
  <c r="AG43" i="1"/>
  <c r="AH43" i="1"/>
  <c r="CV43" i="1" s="1"/>
  <c r="U43" i="1" s="1"/>
  <c r="AI43" i="1"/>
  <c r="CW43" i="1" s="1"/>
  <c r="AJ43" i="1"/>
  <c r="CS43" i="1"/>
  <c r="CU43" i="1"/>
  <c r="T43" i="1" s="1"/>
  <c r="CX43" i="1"/>
  <c r="FR43" i="1"/>
  <c r="GL43" i="1"/>
  <c r="GN43" i="1"/>
  <c r="GP43" i="1"/>
  <c r="GV43" i="1"/>
  <c r="HC43" i="1" s="1"/>
  <c r="GX43" i="1" s="1"/>
  <c r="I44" i="1"/>
  <c r="AC44" i="1"/>
  <c r="AD44" i="1"/>
  <c r="AE44" i="1"/>
  <c r="AF44" i="1"/>
  <c r="AG44" i="1"/>
  <c r="CU44" i="1" s="1"/>
  <c r="T44" i="1" s="1"/>
  <c r="AH44" i="1"/>
  <c r="AI44" i="1"/>
  <c r="CW44" i="1" s="1"/>
  <c r="V44" i="1" s="1"/>
  <c r="AJ44" i="1"/>
  <c r="CX44" i="1" s="1"/>
  <c r="W44" i="1" s="1"/>
  <c r="CQ44" i="1"/>
  <c r="CS44" i="1"/>
  <c r="R44" i="1" s="1"/>
  <c r="GK44" i="1" s="1"/>
  <c r="CT44" i="1"/>
  <c r="S44" i="1" s="1"/>
  <c r="CZ44" i="1" s="1"/>
  <c r="Y44" i="1" s="1"/>
  <c r="CV44" i="1"/>
  <c r="U44" i="1" s="1"/>
  <c r="CY44" i="1"/>
  <c r="X44" i="1" s="1"/>
  <c r="FR44" i="1"/>
  <c r="GL44" i="1"/>
  <c r="GN44" i="1"/>
  <c r="GP44" i="1"/>
  <c r="GV44" i="1"/>
  <c r="HC44" i="1"/>
  <c r="GX44" i="1" s="1"/>
  <c r="AC45" i="1"/>
  <c r="AD45" i="1"/>
  <c r="AB45" i="1" s="1"/>
  <c r="AE45" i="1"/>
  <c r="CS45" i="1" s="1"/>
  <c r="AF45" i="1"/>
  <c r="AG45" i="1"/>
  <c r="CU45" i="1" s="1"/>
  <c r="AH45" i="1"/>
  <c r="CV45" i="1" s="1"/>
  <c r="AI45" i="1"/>
  <c r="AJ45" i="1"/>
  <c r="CX45" i="1" s="1"/>
  <c r="CQ45" i="1"/>
  <c r="CR45" i="1"/>
  <c r="CT45" i="1"/>
  <c r="CW45" i="1"/>
  <c r="FR45" i="1"/>
  <c r="GL45" i="1"/>
  <c r="GN45" i="1"/>
  <c r="GP45" i="1"/>
  <c r="GV45" i="1"/>
  <c r="HC45" i="1" s="1"/>
  <c r="C46" i="1"/>
  <c r="D46" i="1"/>
  <c r="Q46" i="1"/>
  <c r="W46" i="1"/>
  <c r="AB46" i="1"/>
  <c r="AC46" i="1"/>
  <c r="AD46" i="1"/>
  <c r="CR46" i="1" s="1"/>
  <c r="AE46" i="1"/>
  <c r="CS46" i="1" s="1"/>
  <c r="R46" i="1" s="1"/>
  <c r="AF46" i="1"/>
  <c r="AG46" i="1"/>
  <c r="CU46" i="1" s="1"/>
  <c r="T46" i="1" s="1"/>
  <c r="AH46" i="1"/>
  <c r="AI46" i="1"/>
  <c r="AJ46" i="1"/>
  <c r="CX46" i="1" s="1"/>
  <c r="CQ46" i="1"/>
  <c r="P46" i="1" s="1"/>
  <c r="CT46" i="1"/>
  <c r="S46" i="1" s="1"/>
  <c r="CV46" i="1"/>
  <c r="U46" i="1" s="1"/>
  <c r="CW46" i="1"/>
  <c r="V46" i="1" s="1"/>
  <c r="FR46" i="1"/>
  <c r="GL46" i="1"/>
  <c r="GN46" i="1"/>
  <c r="GP46" i="1"/>
  <c r="GV46" i="1"/>
  <c r="HC46" i="1" s="1"/>
  <c r="GX46" i="1" s="1"/>
  <c r="C47" i="1"/>
  <c r="D47" i="1"/>
  <c r="W47" i="1"/>
  <c r="X47" i="1"/>
  <c r="AB47" i="1"/>
  <c r="AC47" i="1"/>
  <c r="CQ47" i="1" s="1"/>
  <c r="P47" i="1" s="1"/>
  <c r="AD47" i="1"/>
  <c r="AE47" i="1"/>
  <c r="CS47" i="1" s="1"/>
  <c r="R47" i="1" s="1"/>
  <c r="GK47" i="1" s="1"/>
  <c r="AF47" i="1"/>
  <c r="AG47" i="1"/>
  <c r="AH47" i="1"/>
  <c r="CV47" i="1" s="1"/>
  <c r="U47" i="1" s="1"/>
  <c r="AI47" i="1"/>
  <c r="AJ47" i="1"/>
  <c r="CX47" i="1" s="1"/>
  <c r="CR47" i="1"/>
  <c r="Q47" i="1" s="1"/>
  <c r="CT47" i="1"/>
  <c r="S47" i="1" s="1"/>
  <c r="CY47" i="1" s="1"/>
  <c r="CU47" i="1"/>
  <c r="T47" i="1" s="1"/>
  <c r="CW47" i="1"/>
  <c r="V47" i="1" s="1"/>
  <c r="CZ47" i="1"/>
  <c r="Y47" i="1" s="1"/>
  <c r="FR47" i="1"/>
  <c r="GL47" i="1"/>
  <c r="GN47" i="1"/>
  <c r="GP47" i="1"/>
  <c r="GV47" i="1"/>
  <c r="HC47" i="1" s="1"/>
  <c r="GX47" i="1" s="1"/>
  <c r="I48" i="1"/>
  <c r="V48" i="1"/>
  <c r="AC48" i="1"/>
  <c r="AD48" i="1"/>
  <c r="AE48" i="1"/>
  <c r="AF48" i="1"/>
  <c r="CT48" i="1" s="1"/>
  <c r="S48" i="1" s="1"/>
  <c r="AG48" i="1"/>
  <c r="AH48" i="1"/>
  <c r="CV48" i="1" s="1"/>
  <c r="U48" i="1" s="1"/>
  <c r="AI48" i="1"/>
  <c r="CW48" i="1" s="1"/>
  <c r="AJ48" i="1"/>
  <c r="CR48" i="1"/>
  <c r="Q48" i="1" s="1"/>
  <c r="CS48" i="1"/>
  <c r="R48" i="1" s="1"/>
  <c r="GK48" i="1" s="1"/>
  <c r="CU48" i="1"/>
  <c r="T48" i="1" s="1"/>
  <c r="CX48" i="1"/>
  <c r="W48" i="1" s="1"/>
  <c r="FR48" i="1"/>
  <c r="GL48" i="1"/>
  <c r="GN48" i="1"/>
  <c r="GP48" i="1"/>
  <c r="GV48" i="1"/>
  <c r="HC48" i="1" s="1"/>
  <c r="GX48" i="1" s="1"/>
  <c r="I49" i="1"/>
  <c r="Q49" i="1"/>
  <c r="T49" i="1"/>
  <c r="AC49" i="1"/>
  <c r="CQ49" i="1" s="1"/>
  <c r="P49" i="1" s="1"/>
  <c r="AD49" i="1"/>
  <c r="CR49" i="1" s="1"/>
  <c r="AE49" i="1"/>
  <c r="AF49" i="1"/>
  <c r="CT49" i="1" s="1"/>
  <c r="S49" i="1" s="1"/>
  <c r="AG49" i="1"/>
  <c r="CU49" i="1" s="1"/>
  <c r="AH49" i="1"/>
  <c r="AI49" i="1"/>
  <c r="CW49" i="1" s="1"/>
  <c r="V49" i="1" s="1"/>
  <c r="AJ49" i="1"/>
  <c r="CS49" i="1"/>
  <c r="R49" i="1" s="1"/>
  <c r="GK49" i="1" s="1"/>
  <c r="CV49" i="1"/>
  <c r="U49" i="1" s="1"/>
  <c r="CX49" i="1"/>
  <c r="FR49" i="1"/>
  <c r="GL49" i="1"/>
  <c r="GN49" i="1"/>
  <c r="GP49" i="1"/>
  <c r="GV49" i="1"/>
  <c r="HC49" i="1" s="1"/>
  <c r="GX49" i="1"/>
  <c r="I50" i="1"/>
  <c r="Q50" i="1"/>
  <c r="W50" i="1"/>
  <c r="AB50" i="1"/>
  <c r="AC50" i="1"/>
  <c r="AD50" i="1"/>
  <c r="CR50" i="1" s="1"/>
  <c r="AE50" i="1"/>
  <c r="CS50" i="1" s="1"/>
  <c r="R50" i="1" s="1"/>
  <c r="GK50" i="1" s="1"/>
  <c r="AF50" i="1"/>
  <c r="AG50" i="1"/>
  <c r="CU50" i="1" s="1"/>
  <c r="T50" i="1" s="1"/>
  <c r="AH50" i="1"/>
  <c r="AI50" i="1"/>
  <c r="AJ50" i="1"/>
  <c r="CX50" i="1" s="1"/>
  <c r="CQ50" i="1"/>
  <c r="P50" i="1" s="1"/>
  <c r="CT50" i="1"/>
  <c r="S50" i="1" s="1"/>
  <c r="CZ50" i="1" s="1"/>
  <c r="Y50" i="1" s="1"/>
  <c r="CV50" i="1"/>
  <c r="U50" i="1" s="1"/>
  <c r="CW50" i="1"/>
  <c r="V50" i="1" s="1"/>
  <c r="CY50" i="1"/>
  <c r="X50" i="1" s="1"/>
  <c r="FR50" i="1"/>
  <c r="GL50" i="1"/>
  <c r="GN50" i="1"/>
  <c r="GP50" i="1"/>
  <c r="GV50" i="1"/>
  <c r="HC50" i="1"/>
  <c r="GX50" i="1" s="1"/>
  <c r="I51" i="1"/>
  <c r="W51" i="1"/>
  <c r="X51" i="1"/>
  <c r="AB51" i="1"/>
  <c r="AC51" i="1"/>
  <c r="CQ51" i="1" s="1"/>
  <c r="P51" i="1" s="1"/>
  <c r="AD51" i="1"/>
  <c r="AE51" i="1"/>
  <c r="CS51" i="1" s="1"/>
  <c r="R51" i="1" s="1"/>
  <c r="GK51" i="1" s="1"/>
  <c r="AF51" i="1"/>
  <c r="AG51" i="1"/>
  <c r="AH51" i="1"/>
  <c r="CV51" i="1" s="1"/>
  <c r="U51" i="1" s="1"/>
  <c r="AI51" i="1"/>
  <c r="AJ51" i="1"/>
  <c r="CX51" i="1" s="1"/>
  <c r="CR51" i="1"/>
  <c r="Q51" i="1" s="1"/>
  <c r="CT51" i="1"/>
  <c r="S51" i="1" s="1"/>
  <c r="CY51" i="1" s="1"/>
  <c r="CU51" i="1"/>
  <c r="T51" i="1" s="1"/>
  <c r="CW51" i="1"/>
  <c r="V51" i="1" s="1"/>
  <c r="CZ51" i="1"/>
  <c r="Y51" i="1" s="1"/>
  <c r="FR51" i="1"/>
  <c r="GL51" i="1"/>
  <c r="GN51" i="1"/>
  <c r="GP51" i="1"/>
  <c r="GV51" i="1"/>
  <c r="HC51" i="1" s="1"/>
  <c r="GX51" i="1" s="1"/>
  <c r="I52" i="1"/>
  <c r="AC52" i="1"/>
  <c r="AD52" i="1"/>
  <c r="AE52" i="1"/>
  <c r="AF52" i="1"/>
  <c r="CT52" i="1" s="1"/>
  <c r="S52" i="1" s="1"/>
  <c r="AG52" i="1"/>
  <c r="AH52" i="1"/>
  <c r="CV52" i="1" s="1"/>
  <c r="U52" i="1" s="1"/>
  <c r="AI52" i="1"/>
  <c r="CW52" i="1" s="1"/>
  <c r="V52" i="1" s="1"/>
  <c r="AJ52" i="1"/>
  <c r="CR52" i="1"/>
  <c r="Q52" i="1" s="1"/>
  <c r="CS52" i="1"/>
  <c r="R52" i="1" s="1"/>
  <c r="GK52" i="1" s="1"/>
  <c r="CU52" i="1"/>
  <c r="T52" i="1" s="1"/>
  <c r="CX52" i="1"/>
  <c r="W52" i="1" s="1"/>
  <c r="FR52" i="1"/>
  <c r="GL52" i="1"/>
  <c r="GN52" i="1"/>
  <c r="GP52" i="1"/>
  <c r="GV52" i="1"/>
  <c r="HC52" i="1" s="1"/>
  <c r="GX52" i="1" s="1"/>
  <c r="I53" i="1"/>
  <c r="Q53" i="1"/>
  <c r="T53" i="1"/>
  <c r="AC53" i="1"/>
  <c r="CQ53" i="1" s="1"/>
  <c r="P53" i="1" s="1"/>
  <c r="CP53" i="1" s="1"/>
  <c r="O53" i="1" s="1"/>
  <c r="AD53" i="1"/>
  <c r="CR53" i="1" s="1"/>
  <c r="AE53" i="1"/>
  <c r="AF53" i="1"/>
  <c r="CT53" i="1" s="1"/>
  <c r="S53" i="1" s="1"/>
  <c r="AG53" i="1"/>
  <c r="CU53" i="1" s="1"/>
  <c r="AH53" i="1"/>
  <c r="AI53" i="1"/>
  <c r="CW53" i="1" s="1"/>
  <c r="V53" i="1" s="1"/>
  <c r="AJ53" i="1"/>
  <c r="CS53" i="1"/>
  <c r="R53" i="1" s="1"/>
  <c r="GK53" i="1" s="1"/>
  <c r="CV53" i="1"/>
  <c r="U53" i="1" s="1"/>
  <c r="CX53" i="1"/>
  <c r="FR53" i="1"/>
  <c r="GL53" i="1"/>
  <c r="GN53" i="1"/>
  <c r="GP53" i="1"/>
  <c r="GV53" i="1"/>
  <c r="GX53" i="1"/>
  <c r="HC53" i="1"/>
  <c r="I54" i="1"/>
  <c r="R54" i="1"/>
  <c r="AC54" i="1"/>
  <c r="AD54" i="1"/>
  <c r="CR54" i="1" s="1"/>
  <c r="Q54" i="1" s="1"/>
  <c r="AE54" i="1"/>
  <c r="CS54" i="1" s="1"/>
  <c r="AF54" i="1"/>
  <c r="AG54" i="1"/>
  <c r="CU54" i="1" s="1"/>
  <c r="T54" i="1" s="1"/>
  <c r="AH54" i="1"/>
  <c r="AI54" i="1"/>
  <c r="AJ54" i="1"/>
  <c r="CX54" i="1" s="1"/>
  <c r="W54" i="1" s="1"/>
  <c r="CQ54" i="1"/>
  <c r="P54" i="1" s="1"/>
  <c r="CT54" i="1"/>
  <c r="S54" i="1" s="1"/>
  <c r="CZ54" i="1" s="1"/>
  <c r="Y54" i="1" s="1"/>
  <c r="CV54" i="1"/>
  <c r="U54" i="1" s="1"/>
  <c r="CW54" i="1"/>
  <c r="V54" i="1" s="1"/>
  <c r="CY54" i="1"/>
  <c r="X54" i="1" s="1"/>
  <c r="FR54" i="1"/>
  <c r="GK54" i="1"/>
  <c r="GL54" i="1"/>
  <c r="GN54" i="1"/>
  <c r="GP54" i="1"/>
  <c r="GV54" i="1"/>
  <c r="HC54" i="1"/>
  <c r="GX54" i="1" s="1"/>
  <c r="I55" i="1"/>
  <c r="P55" i="1"/>
  <c r="U55" i="1"/>
  <c r="AB55" i="1"/>
  <c r="AC55" i="1"/>
  <c r="CQ55" i="1" s="1"/>
  <c r="AD55" i="1"/>
  <c r="AE55" i="1"/>
  <c r="CS55" i="1" s="1"/>
  <c r="R55" i="1" s="1"/>
  <c r="GK55" i="1" s="1"/>
  <c r="AF55" i="1"/>
  <c r="AG55" i="1"/>
  <c r="CU55" i="1" s="1"/>
  <c r="T55" i="1" s="1"/>
  <c r="AH55" i="1"/>
  <c r="CV55" i="1" s="1"/>
  <c r="AI55" i="1"/>
  <c r="AJ55" i="1"/>
  <c r="CX55" i="1" s="1"/>
  <c r="W55" i="1" s="1"/>
  <c r="CR55" i="1"/>
  <c r="Q55" i="1" s="1"/>
  <c r="CT55" i="1"/>
  <c r="S55" i="1" s="1"/>
  <c r="CY55" i="1" s="1"/>
  <c r="X55" i="1" s="1"/>
  <c r="CW55" i="1"/>
  <c r="V55" i="1" s="1"/>
  <c r="CZ55" i="1"/>
  <c r="Y55" i="1" s="1"/>
  <c r="FR55" i="1"/>
  <c r="GL55" i="1"/>
  <c r="GN55" i="1"/>
  <c r="GP55" i="1"/>
  <c r="GV55" i="1"/>
  <c r="HC55" i="1" s="1"/>
  <c r="GX55" i="1" s="1"/>
  <c r="I56" i="1"/>
  <c r="U56" i="1"/>
  <c r="AC56" i="1"/>
  <c r="AD56" i="1"/>
  <c r="AE56" i="1"/>
  <c r="AF56" i="1"/>
  <c r="CT56" i="1" s="1"/>
  <c r="S56" i="1" s="1"/>
  <c r="CY56" i="1" s="1"/>
  <c r="X56" i="1" s="1"/>
  <c r="AG56" i="1"/>
  <c r="AH56" i="1"/>
  <c r="CV56" i="1" s="1"/>
  <c r="AI56" i="1"/>
  <c r="CW56" i="1" s="1"/>
  <c r="V56" i="1" s="1"/>
  <c r="AJ56" i="1"/>
  <c r="CR56" i="1"/>
  <c r="CS56" i="1"/>
  <c r="R56" i="1" s="1"/>
  <c r="GK56" i="1" s="1"/>
  <c r="CU56" i="1"/>
  <c r="CX56" i="1"/>
  <c r="CZ56" i="1"/>
  <c r="Y56" i="1" s="1"/>
  <c r="FR56" i="1"/>
  <c r="GL56" i="1"/>
  <c r="GN56" i="1"/>
  <c r="GP56" i="1"/>
  <c r="GV56" i="1"/>
  <c r="HC56" i="1" s="1"/>
  <c r="GX56" i="1" s="1"/>
  <c r="I57" i="1"/>
  <c r="AC57" i="1"/>
  <c r="AB57" i="1" s="1"/>
  <c r="AD57" i="1"/>
  <c r="CR57" i="1" s="1"/>
  <c r="AE57" i="1"/>
  <c r="AF57" i="1"/>
  <c r="CT57" i="1" s="1"/>
  <c r="AG57" i="1"/>
  <c r="CU57" i="1" s="1"/>
  <c r="AH57" i="1"/>
  <c r="AI57" i="1"/>
  <c r="CW57" i="1" s="1"/>
  <c r="AJ57" i="1"/>
  <c r="CS57" i="1"/>
  <c r="CV57" i="1"/>
  <c r="CX57" i="1"/>
  <c r="FR57" i="1"/>
  <c r="GL57" i="1"/>
  <c r="GN57" i="1"/>
  <c r="GP57" i="1"/>
  <c r="GV57" i="1"/>
  <c r="HC57" i="1"/>
  <c r="I58" i="1"/>
  <c r="R58" i="1"/>
  <c r="GK58" i="1" s="1"/>
  <c r="W58" i="1"/>
  <c r="AC58" i="1"/>
  <c r="AD58" i="1"/>
  <c r="CR58" i="1" s="1"/>
  <c r="Q58" i="1" s="1"/>
  <c r="AE58" i="1"/>
  <c r="CS58" i="1" s="1"/>
  <c r="AF58" i="1"/>
  <c r="AG58" i="1"/>
  <c r="CU58" i="1" s="1"/>
  <c r="T58" i="1" s="1"/>
  <c r="AH58" i="1"/>
  <c r="AI58" i="1"/>
  <c r="AJ58" i="1"/>
  <c r="CX58" i="1" s="1"/>
  <c r="CQ58" i="1"/>
  <c r="P58" i="1" s="1"/>
  <c r="CT58" i="1"/>
  <c r="S58" i="1" s="1"/>
  <c r="CZ58" i="1" s="1"/>
  <c r="Y58" i="1" s="1"/>
  <c r="CV58" i="1"/>
  <c r="U58" i="1" s="1"/>
  <c r="CW58" i="1"/>
  <c r="V58" i="1" s="1"/>
  <c r="FR58" i="1"/>
  <c r="GL58" i="1"/>
  <c r="GN58" i="1"/>
  <c r="GP58" i="1"/>
  <c r="GV58" i="1"/>
  <c r="HC58" i="1"/>
  <c r="GX58" i="1" s="1"/>
  <c r="I59" i="1"/>
  <c r="R59" i="1"/>
  <c r="U59" i="1"/>
  <c r="W59" i="1"/>
  <c r="X59" i="1"/>
  <c r="AB59" i="1"/>
  <c r="AC59" i="1"/>
  <c r="CQ59" i="1" s="1"/>
  <c r="P59" i="1" s="1"/>
  <c r="CP59" i="1" s="1"/>
  <c r="O59" i="1" s="1"/>
  <c r="AD59" i="1"/>
  <c r="AE59" i="1"/>
  <c r="CS59" i="1" s="1"/>
  <c r="AF59" i="1"/>
  <c r="AG59" i="1"/>
  <c r="CU59" i="1" s="1"/>
  <c r="T59" i="1" s="1"/>
  <c r="AH59" i="1"/>
  <c r="CV59" i="1" s="1"/>
  <c r="AI59" i="1"/>
  <c r="AJ59" i="1"/>
  <c r="CX59" i="1" s="1"/>
  <c r="CR59" i="1"/>
  <c r="Q59" i="1" s="1"/>
  <c r="CT59" i="1"/>
  <c r="S59" i="1" s="1"/>
  <c r="CY59" i="1" s="1"/>
  <c r="CW59" i="1"/>
  <c r="V59" i="1" s="1"/>
  <c r="CZ59" i="1"/>
  <c r="Y59" i="1" s="1"/>
  <c r="FR59" i="1"/>
  <c r="GK59" i="1"/>
  <c r="GL59" i="1"/>
  <c r="GN59" i="1"/>
  <c r="GP59" i="1"/>
  <c r="GV59" i="1"/>
  <c r="HC59" i="1"/>
  <c r="GX59" i="1" s="1"/>
  <c r="C60" i="1"/>
  <c r="D60" i="1"/>
  <c r="I60" i="1"/>
  <c r="AC60" i="1"/>
  <c r="AB60" i="1" s="1"/>
  <c r="AD60" i="1"/>
  <c r="CR60" i="1" s="1"/>
  <c r="Q60" i="1" s="1"/>
  <c r="AE60" i="1"/>
  <c r="AF60" i="1"/>
  <c r="CT60" i="1" s="1"/>
  <c r="AG60" i="1"/>
  <c r="CU60" i="1" s="1"/>
  <c r="T60" i="1" s="1"/>
  <c r="AH60" i="1"/>
  <c r="AI60" i="1"/>
  <c r="CW60" i="1" s="1"/>
  <c r="V60" i="1" s="1"/>
  <c r="AJ60" i="1"/>
  <c r="CS60" i="1"/>
  <c r="CV60" i="1"/>
  <c r="CX60" i="1"/>
  <c r="FR60" i="1"/>
  <c r="GL60" i="1"/>
  <c r="GN60" i="1"/>
  <c r="GP60" i="1"/>
  <c r="GV60" i="1"/>
  <c r="HC60" i="1" s="1"/>
  <c r="GX60" i="1" s="1"/>
  <c r="C61" i="1"/>
  <c r="D61" i="1"/>
  <c r="I61" i="1"/>
  <c r="CX44" i="3" s="1"/>
  <c r="T61" i="1"/>
  <c r="AC61" i="1"/>
  <c r="AB61" i="1" s="1"/>
  <c r="AD61" i="1"/>
  <c r="CR61" i="1" s="1"/>
  <c r="Q61" i="1" s="1"/>
  <c r="AE61" i="1"/>
  <c r="AF61" i="1"/>
  <c r="CT61" i="1" s="1"/>
  <c r="S61" i="1" s="1"/>
  <c r="AG61" i="1"/>
  <c r="AH61" i="1"/>
  <c r="CV61" i="1" s="1"/>
  <c r="U61" i="1" s="1"/>
  <c r="AI61" i="1"/>
  <c r="AJ61" i="1"/>
  <c r="CX61" i="1" s="1"/>
  <c r="W61" i="1" s="1"/>
  <c r="CQ61" i="1"/>
  <c r="P61" i="1" s="1"/>
  <c r="CP61" i="1" s="1"/>
  <c r="O61" i="1" s="1"/>
  <c r="CS61" i="1"/>
  <c r="R61" i="1" s="1"/>
  <c r="GK61" i="1" s="1"/>
  <c r="CU61" i="1"/>
  <c r="CW61" i="1"/>
  <c r="V61" i="1" s="1"/>
  <c r="FR61" i="1"/>
  <c r="GL61" i="1"/>
  <c r="GN61" i="1"/>
  <c r="GP61" i="1"/>
  <c r="GV61" i="1"/>
  <c r="HC61" i="1" s="1"/>
  <c r="GX61" i="1"/>
  <c r="C62" i="1"/>
  <c r="D62" i="1"/>
  <c r="I62" i="1"/>
  <c r="CX45" i="3" s="1"/>
  <c r="U62" i="1"/>
  <c r="W62" i="1"/>
  <c r="AC62" i="1"/>
  <c r="AB62" i="1" s="1"/>
  <c r="AD62" i="1"/>
  <c r="AE62" i="1"/>
  <c r="CS62" i="1" s="1"/>
  <c r="R62" i="1" s="1"/>
  <c r="AF62" i="1"/>
  <c r="AG62" i="1"/>
  <c r="CU62" i="1" s="1"/>
  <c r="T62" i="1" s="1"/>
  <c r="AH62" i="1"/>
  <c r="AI62" i="1"/>
  <c r="CW62" i="1" s="1"/>
  <c r="V62" i="1" s="1"/>
  <c r="AJ62" i="1"/>
  <c r="CQ62" i="1"/>
  <c r="P62" i="1" s="1"/>
  <c r="CP62" i="1" s="1"/>
  <c r="O62" i="1" s="1"/>
  <c r="CR62" i="1"/>
  <c r="Q62" i="1" s="1"/>
  <c r="CT62" i="1"/>
  <c r="S62" i="1" s="1"/>
  <c r="CV62" i="1"/>
  <c r="CX62" i="1"/>
  <c r="FR62" i="1"/>
  <c r="GL62" i="1"/>
  <c r="GN62" i="1"/>
  <c r="GP62" i="1"/>
  <c r="GV62" i="1"/>
  <c r="GX62" i="1"/>
  <c r="HC62" i="1"/>
  <c r="C63" i="1"/>
  <c r="D63" i="1"/>
  <c r="I63" i="1"/>
  <c r="CX46" i="3" s="1"/>
  <c r="R63" i="1"/>
  <c r="GK63" i="1" s="1"/>
  <c r="T63" i="1"/>
  <c r="AC63" i="1"/>
  <c r="AD63" i="1"/>
  <c r="AE63" i="1"/>
  <c r="AF63" i="1"/>
  <c r="CT63" i="1" s="1"/>
  <c r="S63" i="1" s="1"/>
  <c r="CZ63" i="1" s="1"/>
  <c r="Y63" i="1" s="1"/>
  <c r="AG63" i="1"/>
  <c r="AH63" i="1"/>
  <c r="AI63" i="1"/>
  <c r="AJ63" i="1"/>
  <c r="CX63" i="1" s="1"/>
  <c r="W63" i="1" s="1"/>
  <c r="CQ63" i="1"/>
  <c r="P63" i="1" s="1"/>
  <c r="CS63" i="1"/>
  <c r="CU63" i="1"/>
  <c r="CV63" i="1"/>
  <c r="U63" i="1" s="1"/>
  <c r="CW63" i="1"/>
  <c r="V63" i="1" s="1"/>
  <c r="CY63" i="1"/>
  <c r="X63" i="1" s="1"/>
  <c r="FR63" i="1"/>
  <c r="GL63" i="1"/>
  <c r="GN63" i="1"/>
  <c r="GP63" i="1"/>
  <c r="GV63" i="1"/>
  <c r="GX63" i="1"/>
  <c r="HC63" i="1"/>
  <c r="C64" i="1"/>
  <c r="D64" i="1"/>
  <c r="I64" i="1"/>
  <c r="CX47" i="3" s="1"/>
  <c r="P64" i="1"/>
  <c r="V64" i="1"/>
  <c r="AC64" i="1"/>
  <c r="AD64" i="1"/>
  <c r="AE64" i="1"/>
  <c r="AF64" i="1"/>
  <c r="AB64" i="1" s="1"/>
  <c r="AG64" i="1"/>
  <c r="AH64" i="1"/>
  <c r="CV64" i="1" s="1"/>
  <c r="U64" i="1" s="1"/>
  <c r="AI64" i="1"/>
  <c r="AJ64" i="1"/>
  <c r="CX64" i="1" s="1"/>
  <c r="W64" i="1" s="1"/>
  <c r="CQ64" i="1"/>
  <c r="CR64" i="1"/>
  <c r="Q64" i="1" s="1"/>
  <c r="CS64" i="1"/>
  <c r="R64" i="1" s="1"/>
  <c r="CU64" i="1"/>
  <c r="T64" i="1" s="1"/>
  <c r="CW64" i="1"/>
  <c r="FR64" i="1"/>
  <c r="GL64" i="1"/>
  <c r="GN64" i="1"/>
  <c r="GP64" i="1"/>
  <c r="GV64" i="1"/>
  <c r="HC64" i="1"/>
  <c r="GX64" i="1" s="1"/>
  <c r="C65" i="1"/>
  <c r="D65" i="1"/>
  <c r="I65" i="1"/>
  <c r="CX48" i="3" s="1"/>
  <c r="S65" i="1"/>
  <c r="CY65" i="1" s="1"/>
  <c r="X65" i="1" s="1"/>
  <c r="U65" i="1"/>
  <c r="AC65" i="1"/>
  <c r="AB65" i="1" s="1"/>
  <c r="AD65" i="1"/>
  <c r="AE65" i="1"/>
  <c r="CS65" i="1" s="1"/>
  <c r="R65" i="1" s="1"/>
  <c r="GK65" i="1" s="1"/>
  <c r="AF65" i="1"/>
  <c r="AG65" i="1"/>
  <c r="CU65" i="1" s="1"/>
  <c r="T65" i="1" s="1"/>
  <c r="AH65" i="1"/>
  <c r="AI65" i="1"/>
  <c r="AJ65" i="1"/>
  <c r="CR65" i="1"/>
  <c r="Q65" i="1" s="1"/>
  <c r="CT65" i="1"/>
  <c r="CV65" i="1"/>
  <c r="CW65" i="1"/>
  <c r="V65" i="1" s="1"/>
  <c r="CX65" i="1"/>
  <c r="W65" i="1" s="1"/>
  <c r="CZ65" i="1"/>
  <c r="Y65" i="1" s="1"/>
  <c r="FR65" i="1"/>
  <c r="GL65" i="1"/>
  <c r="GN65" i="1"/>
  <c r="GP65" i="1"/>
  <c r="GV65" i="1"/>
  <c r="HC65" i="1" s="1"/>
  <c r="GX65" i="1" s="1"/>
  <c r="R66" i="1"/>
  <c r="GK66" i="1" s="1"/>
  <c r="T66" i="1"/>
  <c r="AC66" i="1"/>
  <c r="AD66" i="1"/>
  <c r="AE66" i="1"/>
  <c r="AF66" i="1"/>
  <c r="CT66" i="1" s="1"/>
  <c r="S66" i="1" s="1"/>
  <c r="CZ66" i="1" s="1"/>
  <c r="Y66" i="1" s="1"/>
  <c r="AG66" i="1"/>
  <c r="AH66" i="1"/>
  <c r="AI66" i="1"/>
  <c r="AJ66" i="1"/>
  <c r="CX66" i="1" s="1"/>
  <c r="W66" i="1" s="1"/>
  <c r="CQ66" i="1"/>
  <c r="P66" i="1" s="1"/>
  <c r="CS66" i="1"/>
  <c r="CU66" i="1"/>
  <c r="CV66" i="1"/>
  <c r="U66" i="1" s="1"/>
  <c r="CW66" i="1"/>
  <c r="V66" i="1" s="1"/>
  <c r="CY66" i="1"/>
  <c r="X66" i="1" s="1"/>
  <c r="FR66" i="1"/>
  <c r="GL66" i="1"/>
  <c r="GN66" i="1"/>
  <c r="GP66" i="1"/>
  <c r="GV66" i="1"/>
  <c r="GX66" i="1"/>
  <c r="HC66" i="1"/>
  <c r="Q67" i="1"/>
  <c r="S67" i="1"/>
  <c r="AC67" i="1"/>
  <c r="AD67" i="1"/>
  <c r="AE67" i="1"/>
  <c r="CS67" i="1" s="1"/>
  <c r="R67" i="1" s="1"/>
  <c r="GK67" i="1" s="1"/>
  <c r="AF67" i="1"/>
  <c r="AG67" i="1"/>
  <c r="AH67" i="1"/>
  <c r="AI67" i="1"/>
  <c r="CW67" i="1" s="1"/>
  <c r="V67" i="1" s="1"/>
  <c r="AJ67" i="1"/>
  <c r="CR67" i="1"/>
  <c r="CT67" i="1"/>
  <c r="CU67" i="1"/>
  <c r="T67" i="1" s="1"/>
  <c r="CV67" i="1"/>
  <c r="U67" i="1" s="1"/>
  <c r="CX67" i="1"/>
  <c r="W67" i="1" s="1"/>
  <c r="FR67" i="1"/>
  <c r="GL67" i="1"/>
  <c r="GN67" i="1"/>
  <c r="GP67" i="1"/>
  <c r="GV67" i="1"/>
  <c r="HC67" i="1" s="1"/>
  <c r="GX67" i="1" s="1"/>
  <c r="P68" i="1"/>
  <c r="CP68" i="1" s="1"/>
  <c r="O68" i="1" s="1"/>
  <c r="R68" i="1"/>
  <c r="GK68" i="1" s="1"/>
  <c r="AB68" i="1"/>
  <c r="AC68" i="1"/>
  <c r="AD68" i="1"/>
  <c r="CR68" i="1" s="1"/>
  <c r="Q68" i="1" s="1"/>
  <c r="AE68" i="1"/>
  <c r="AF68" i="1"/>
  <c r="AG68" i="1"/>
  <c r="AH68" i="1"/>
  <c r="CV68" i="1" s="1"/>
  <c r="U68" i="1" s="1"/>
  <c r="AI68" i="1"/>
  <c r="AJ68" i="1"/>
  <c r="CX68" i="1" s="1"/>
  <c r="W68" i="1" s="1"/>
  <c r="CQ68" i="1"/>
  <c r="CS68" i="1"/>
  <c r="CT68" i="1"/>
  <c r="S68" i="1" s="1"/>
  <c r="CU68" i="1"/>
  <c r="T68" i="1" s="1"/>
  <c r="CW68" i="1"/>
  <c r="V68" i="1" s="1"/>
  <c r="FR68" i="1"/>
  <c r="GL68" i="1"/>
  <c r="GN68" i="1"/>
  <c r="GP68" i="1"/>
  <c r="GV68" i="1"/>
  <c r="HC68" i="1"/>
  <c r="GX68" i="1" s="1"/>
  <c r="Q69" i="1"/>
  <c r="W69" i="1"/>
  <c r="AC69" i="1"/>
  <c r="AB69" i="1" s="1"/>
  <c r="AD69" i="1"/>
  <c r="AE69" i="1"/>
  <c r="AF69" i="1"/>
  <c r="AG69" i="1"/>
  <c r="CU69" i="1" s="1"/>
  <c r="T69" i="1" s="1"/>
  <c r="AH69" i="1"/>
  <c r="AI69" i="1"/>
  <c r="CW69" i="1" s="1"/>
  <c r="V69" i="1" s="1"/>
  <c r="AJ69" i="1"/>
  <c r="CR69" i="1"/>
  <c r="CS69" i="1"/>
  <c r="R69" i="1" s="1"/>
  <c r="GK69" i="1" s="1"/>
  <c r="CT69" i="1"/>
  <c r="S69" i="1" s="1"/>
  <c r="CV69" i="1"/>
  <c r="U69" i="1" s="1"/>
  <c r="CX69" i="1"/>
  <c r="FR69" i="1"/>
  <c r="GL69" i="1"/>
  <c r="GN69" i="1"/>
  <c r="GP69" i="1"/>
  <c r="GV69" i="1"/>
  <c r="HC69" i="1"/>
  <c r="GX69" i="1" s="1"/>
  <c r="P70" i="1"/>
  <c r="V70" i="1"/>
  <c r="AC70" i="1"/>
  <c r="AD70" i="1"/>
  <c r="AE70" i="1"/>
  <c r="AF70" i="1"/>
  <c r="AB70" i="1" s="1"/>
  <c r="AG70" i="1"/>
  <c r="AH70" i="1"/>
  <c r="CV70" i="1" s="1"/>
  <c r="U70" i="1" s="1"/>
  <c r="AI70" i="1"/>
  <c r="AJ70" i="1"/>
  <c r="CX70" i="1" s="1"/>
  <c r="W70" i="1" s="1"/>
  <c r="CQ70" i="1"/>
  <c r="CR70" i="1"/>
  <c r="Q70" i="1" s="1"/>
  <c r="CS70" i="1"/>
  <c r="R70" i="1" s="1"/>
  <c r="GK70" i="1" s="1"/>
  <c r="CU70" i="1"/>
  <c r="T70" i="1" s="1"/>
  <c r="CW70" i="1"/>
  <c r="FR70" i="1"/>
  <c r="GL70" i="1"/>
  <c r="GN70" i="1"/>
  <c r="GP70" i="1"/>
  <c r="GV70" i="1"/>
  <c r="GX70" i="1"/>
  <c r="HC70" i="1"/>
  <c r="U71" i="1"/>
  <c r="W71" i="1"/>
  <c r="AC71" i="1"/>
  <c r="AB71" i="1" s="1"/>
  <c r="AD71" i="1"/>
  <c r="AE71" i="1"/>
  <c r="CS71" i="1" s="1"/>
  <c r="R71" i="1" s="1"/>
  <c r="GK71" i="1" s="1"/>
  <c r="AF71" i="1"/>
  <c r="AG71" i="1"/>
  <c r="CU71" i="1" s="1"/>
  <c r="T71" i="1" s="1"/>
  <c r="AH71" i="1"/>
  <c r="AI71" i="1"/>
  <c r="CW71" i="1" s="1"/>
  <c r="V71" i="1" s="1"/>
  <c r="AJ71" i="1"/>
  <c r="CQ71" i="1"/>
  <c r="P71" i="1" s="1"/>
  <c r="CR71" i="1"/>
  <c r="Q71" i="1" s="1"/>
  <c r="CT71" i="1"/>
  <c r="S71" i="1" s="1"/>
  <c r="CV71" i="1"/>
  <c r="CX71" i="1"/>
  <c r="FR71" i="1"/>
  <c r="GL71" i="1"/>
  <c r="GN71" i="1"/>
  <c r="GP71" i="1"/>
  <c r="GV71" i="1"/>
  <c r="HC71" i="1"/>
  <c r="GX71" i="1" s="1"/>
  <c r="C72" i="1"/>
  <c r="D72" i="1"/>
  <c r="R72" i="1"/>
  <c r="T72" i="1"/>
  <c r="AC72" i="1"/>
  <c r="AD72" i="1"/>
  <c r="AE72" i="1"/>
  <c r="AF72" i="1"/>
  <c r="CT72" i="1" s="1"/>
  <c r="S72" i="1" s="1"/>
  <c r="CZ72" i="1" s="1"/>
  <c r="Y72" i="1" s="1"/>
  <c r="AG72" i="1"/>
  <c r="AH72" i="1"/>
  <c r="AI72" i="1"/>
  <c r="AJ72" i="1"/>
  <c r="CX72" i="1" s="1"/>
  <c r="W72" i="1" s="1"/>
  <c r="CQ72" i="1"/>
  <c r="P72" i="1" s="1"/>
  <c r="CS72" i="1"/>
  <c r="CU72" i="1"/>
  <c r="CV72" i="1"/>
  <c r="U72" i="1" s="1"/>
  <c r="CW72" i="1"/>
  <c r="V72" i="1" s="1"/>
  <c r="FR72" i="1"/>
  <c r="GL72" i="1"/>
  <c r="GN72" i="1"/>
  <c r="GP72" i="1"/>
  <c r="GV72" i="1"/>
  <c r="HC72" i="1" s="1"/>
  <c r="GX72" i="1" s="1"/>
  <c r="C73" i="1"/>
  <c r="D73" i="1"/>
  <c r="P73" i="1"/>
  <c r="AB73" i="1"/>
  <c r="AC73" i="1"/>
  <c r="AD73" i="1"/>
  <c r="CR73" i="1" s="1"/>
  <c r="Q73" i="1" s="1"/>
  <c r="AE73" i="1"/>
  <c r="CS73" i="1" s="1"/>
  <c r="R73" i="1" s="1"/>
  <c r="GK73" i="1" s="1"/>
  <c r="AF73" i="1"/>
  <c r="AG73" i="1"/>
  <c r="AH73" i="1"/>
  <c r="CV73" i="1" s="1"/>
  <c r="U73" i="1" s="1"/>
  <c r="AI73" i="1"/>
  <c r="AJ73" i="1"/>
  <c r="CX73" i="1" s="1"/>
  <c r="W73" i="1" s="1"/>
  <c r="CQ73" i="1"/>
  <c r="CT73" i="1"/>
  <c r="S73" i="1" s="1"/>
  <c r="CU73" i="1"/>
  <c r="T73" i="1" s="1"/>
  <c r="CW73" i="1"/>
  <c r="V73" i="1" s="1"/>
  <c r="FR73" i="1"/>
  <c r="GL73" i="1"/>
  <c r="GN73" i="1"/>
  <c r="GP73" i="1"/>
  <c r="GV73" i="1"/>
  <c r="HC73" i="1"/>
  <c r="GX73" i="1" s="1"/>
  <c r="C74" i="1"/>
  <c r="D74" i="1"/>
  <c r="I74" i="1"/>
  <c r="AC74" i="1"/>
  <c r="AD74" i="1"/>
  <c r="CR74" i="1" s="1"/>
  <c r="AE74" i="1"/>
  <c r="AF74" i="1"/>
  <c r="CT74" i="1" s="1"/>
  <c r="AG74" i="1"/>
  <c r="AH74" i="1"/>
  <c r="CV74" i="1" s="1"/>
  <c r="AI74" i="1"/>
  <c r="AJ74" i="1"/>
  <c r="CQ74" i="1"/>
  <c r="CS74" i="1"/>
  <c r="CU74" i="1"/>
  <c r="CW74" i="1"/>
  <c r="CX74" i="1"/>
  <c r="FR74" i="1"/>
  <c r="GL74" i="1"/>
  <c r="GN74" i="1"/>
  <c r="GP74" i="1"/>
  <c r="GV74" i="1"/>
  <c r="HC74" i="1"/>
  <c r="C75" i="1"/>
  <c r="D75" i="1"/>
  <c r="I75" i="1"/>
  <c r="CX52" i="3" s="1"/>
  <c r="Q75" i="1"/>
  <c r="AC75" i="1"/>
  <c r="AD75" i="1"/>
  <c r="AE75" i="1"/>
  <c r="AF75" i="1"/>
  <c r="CT75" i="1" s="1"/>
  <c r="S75" i="1" s="1"/>
  <c r="AG75" i="1"/>
  <c r="AH75" i="1"/>
  <c r="AI75" i="1"/>
  <c r="CW75" i="1" s="1"/>
  <c r="V75" i="1" s="1"/>
  <c r="AJ75" i="1"/>
  <c r="CR75" i="1"/>
  <c r="CS75" i="1"/>
  <c r="R75" i="1" s="1"/>
  <c r="GK75" i="1" s="1"/>
  <c r="CU75" i="1"/>
  <c r="T75" i="1" s="1"/>
  <c r="CV75" i="1"/>
  <c r="U75" i="1" s="1"/>
  <c r="CX75" i="1"/>
  <c r="W75" i="1" s="1"/>
  <c r="FR75" i="1"/>
  <c r="GL75" i="1"/>
  <c r="GN75" i="1"/>
  <c r="GP75" i="1"/>
  <c r="GV75" i="1"/>
  <c r="HC75" i="1" s="1"/>
  <c r="GX75" i="1" s="1"/>
  <c r="C76" i="1"/>
  <c r="D76" i="1"/>
  <c r="V76" i="1"/>
  <c r="AC76" i="1"/>
  <c r="AB76" i="1" s="1"/>
  <c r="AD76" i="1"/>
  <c r="AE76" i="1"/>
  <c r="AF76" i="1"/>
  <c r="CT76" i="1" s="1"/>
  <c r="S76" i="1" s="1"/>
  <c r="AG76" i="1"/>
  <c r="AH76" i="1"/>
  <c r="CV76" i="1" s="1"/>
  <c r="U76" i="1" s="1"/>
  <c r="AI76" i="1"/>
  <c r="AJ76" i="1"/>
  <c r="CR76" i="1"/>
  <c r="Q76" i="1" s="1"/>
  <c r="CS76" i="1"/>
  <c r="R76" i="1" s="1"/>
  <c r="CU76" i="1"/>
  <c r="T76" i="1" s="1"/>
  <c r="CW76" i="1"/>
  <c r="CX76" i="1"/>
  <c r="W76" i="1" s="1"/>
  <c r="FR76" i="1"/>
  <c r="GL76" i="1"/>
  <c r="GN76" i="1"/>
  <c r="GP76" i="1"/>
  <c r="GV76" i="1"/>
  <c r="HC76" i="1"/>
  <c r="GX76" i="1" s="1"/>
  <c r="C77" i="1"/>
  <c r="D77" i="1"/>
  <c r="V77" i="1"/>
  <c r="AC77" i="1"/>
  <c r="AD77" i="1"/>
  <c r="CR77" i="1" s="1"/>
  <c r="Q77" i="1" s="1"/>
  <c r="AE77" i="1"/>
  <c r="AF77" i="1"/>
  <c r="CT77" i="1" s="1"/>
  <c r="S77" i="1" s="1"/>
  <c r="CZ77" i="1" s="1"/>
  <c r="Y77" i="1" s="1"/>
  <c r="AG77" i="1"/>
  <c r="CU77" i="1" s="1"/>
  <c r="T77" i="1" s="1"/>
  <c r="AH77" i="1"/>
  <c r="AI77" i="1"/>
  <c r="CW77" i="1" s="1"/>
  <c r="AJ77" i="1"/>
  <c r="CQ77" i="1"/>
  <c r="P77" i="1" s="1"/>
  <c r="CS77" i="1"/>
  <c r="R77" i="1" s="1"/>
  <c r="GK77" i="1" s="1"/>
  <c r="CV77" i="1"/>
  <c r="U77" i="1" s="1"/>
  <c r="CX77" i="1"/>
  <c r="W77" i="1" s="1"/>
  <c r="CY77" i="1"/>
  <c r="X77" i="1" s="1"/>
  <c r="FR77" i="1"/>
  <c r="GL77" i="1"/>
  <c r="GN77" i="1"/>
  <c r="GP77" i="1"/>
  <c r="GV77" i="1"/>
  <c r="HC77" i="1" s="1"/>
  <c r="GX77" i="1"/>
  <c r="C78" i="1"/>
  <c r="D78" i="1"/>
  <c r="Q78" i="1"/>
  <c r="AC78" i="1"/>
  <c r="AD78" i="1"/>
  <c r="AE78" i="1"/>
  <c r="AF78" i="1"/>
  <c r="CT78" i="1" s="1"/>
  <c r="S78" i="1" s="1"/>
  <c r="AG78" i="1"/>
  <c r="AH78" i="1"/>
  <c r="AI78" i="1"/>
  <c r="CW78" i="1" s="1"/>
  <c r="V78" i="1" s="1"/>
  <c r="AJ78" i="1"/>
  <c r="CR78" i="1"/>
  <c r="CS78" i="1"/>
  <c r="R78" i="1" s="1"/>
  <c r="CU78" i="1"/>
  <c r="T78" i="1" s="1"/>
  <c r="CV78" i="1"/>
  <c r="U78" i="1" s="1"/>
  <c r="CX78" i="1"/>
  <c r="W78" i="1" s="1"/>
  <c r="FR78" i="1"/>
  <c r="GL78" i="1"/>
  <c r="GN78" i="1"/>
  <c r="GO78" i="1"/>
  <c r="GV78" i="1"/>
  <c r="HC78" i="1"/>
  <c r="GX78" i="1" s="1"/>
  <c r="C79" i="1"/>
  <c r="D79" i="1"/>
  <c r="W79" i="1"/>
  <c r="Y79" i="1"/>
  <c r="AC79" i="1"/>
  <c r="AD79" i="1"/>
  <c r="CR79" i="1" s="1"/>
  <c r="Q79" i="1" s="1"/>
  <c r="AE79" i="1"/>
  <c r="AF79" i="1"/>
  <c r="AG79" i="1"/>
  <c r="CU79" i="1" s="1"/>
  <c r="T79" i="1" s="1"/>
  <c r="AH79" i="1"/>
  <c r="AI79" i="1"/>
  <c r="CW79" i="1" s="1"/>
  <c r="V79" i="1" s="1"/>
  <c r="AJ79" i="1"/>
  <c r="CQ79" i="1"/>
  <c r="P79" i="1" s="1"/>
  <c r="CS79" i="1"/>
  <c r="R79" i="1" s="1"/>
  <c r="GK79" i="1" s="1"/>
  <c r="CT79" i="1"/>
  <c r="S79" i="1" s="1"/>
  <c r="CZ79" i="1" s="1"/>
  <c r="CV79" i="1"/>
  <c r="U79" i="1" s="1"/>
  <c r="CX79" i="1"/>
  <c r="CY79" i="1"/>
  <c r="X79" i="1" s="1"/>
  <c r="FR79" i="1"/>
  <c r="GL79" i="1"/>
  <c r="GN79" i="1"/>
  <c r="GO79" i="1"/>
  <c r="GV79" i="1"/>
  <c r="HC79" i="1"/>
  <c r="GX79" i="1" s="1"/>
  <c r="D81" i="1"/>
  <c r="E83" i="1"/>
  <c r="Z83" i="1"/>
  <c r="AA83" i="1"/>
  <c r="AM83" i="1"/>
  <c r="AN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R83" i="1"/>
  <c r="DS83" i="1"/>
  <c r="EE83" i="1"/>
  <c r="EF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GE83" i="1"/>
  <c r="GF83" i="1"/>
  <c r="GG83" i="1"/>
  <c r="GH83" i="1"/>
  <c r="GI83" i="1"/>
  <c r="GJ83" i="1"/>
  <c r="GK83" i="1"/>
  <c r="GL83" i="1"/>
  <c r="GM83" i="1"/>
  <c r="GN83" i="1"/>
  <c r="GO83" i="1"/>
  <c r="GP83" i="1"/>
  <c r="GQ83" i="1"/>
  <c r="GR83" i="1"/>
  <c r="GS83" i="1"/>
  <c r="GT83" i="1"/>
  <c r="GU83" i="1"/>
  <c r="GV83" i="1"/>
  <c r="GW83" i="1"/>
  <c r="GX83" i="1"/>
  <c r="P85" i="1"/>
  <c r="W85" i="1"/>
  <c r="AC85" i="1"/>
  <c r="AB85" i="1" s="1"/>
  <c r="AD85" i="1"/>
  <c r="CR85" i="1" s="1"/>
  <c r="Q85" i="1" s="1"/>
  <c r="AE85" i="1"/>
  <c r="AF85" i="1"/>
  <c r="AG85" i="1"/>
  <c r="AH85" i="1"/>
  <c r="AI85" i="1"/>
  <c r="CW85" i="1" s="1"/>
  <c r="V85" i="1" s="1"/>
  <c r="AJ85" i="1"/>
  <c r="CQ85" i="1"/>
  <c r="CS85" i="1"/>
  <c r="R85" i="1" s="1"/>
  <c r="CT85" i="1"/>
  <c r="S85" i="1" s="1"/>
  <c r="CU85" i="1"/>
  <c r="T85" i="1" s="1"/>
  <c r="CV85" i="1"/>
  <c r="U85" i="1" s="1"/>
  <c r="CX85" i="1"/>
  <c r="FR85" i="1"/>
  <c r="GL85" i="1"/>
  <c r="GN85" i="1"/>
  <c r="GO85" i="1"/>
  <c r="GP85" i="1"/>
  <c r="GV85" i="1"/>
  <c r="GX85" i="1"/>
  <c r="HC85" i="1"/>
  <c r="V86" i="1"/>
  <c r="W86" i="1"/>
  <c r="AC86" i="1"/>
  <c r="AB86" i="1" s="1"/>
  <c r="AD86" i="1"/>
  <c r="AE86" i="1"/>
  <c r="CS86" i="1" s="1"/>
  <c r="R86" i="1" s="1"/>
  <c r="AF86" i="1"/>
  <c r="AG86" i="1"/>
  <c r="AH86" i="1"/>
  <c r="CV86" i="1" s="1"/>
  <c r="U86" i="1" s="1"/>
  <c r="AI86" i="1"/>
  <c r="AJ86" i="1"/>
  <c r="CR86" i="1"/>
  <c r="Q86" i="1" s="1"/>
  <c r="CT86" i="1"/>
  <c r="S86" i="1" s="1"/>
  <c r="CU86" i="1"/>
  <c r="T86" i="1" s="1"/>
  <c r="CW86" i="1"/>
  <c r="CX86" i="1"/>
  <c r="GL86" i="1"/>
  <c r="GN86" i="1"/>
  <c r="GO86" i="1"/>
  <c r="GP86" i="1"/>
  <c r="GV86" i="1"/>
  <c r="HC86" i="1" s="1"/>
  <c r="GX86" i="1" s="1"/>
  <c r="U87" i="1"/>
  <c r="V87" i="1"/>
  <c r="AC87" i="1"/>
  <c r="AD87" i="1"/>
  <c r="AB87" i="1" s="1"/>
  <c r="AE87" i="1"/>
  <c r="AF87" i="1"/>
  <c r="AG87" i="1"/>
  <c r="CU87" i="1" s="1"/>
  <c r="T87" i="1" s="1"/>
  <c r="AH87" i="1"/>
  <c r="AI87" i="1"/>
  <c r="AJ87" i="1"/>
  <c r="CX87" i="1" s="1"/>
  <c r="W87" i="1" s="1"/>
  <c r="CQ87" i="1"/>
  <c r="P87" i="1" s="1"/>
  <c r="CS87" i="1"/>
  <c r="R87" i="1" s="1"/>
  <c r="GK87" i="1" s="1"/>
  <c r="CT87" i="1"/>
  <c r="S87" i="1" s="1"/>
  <c r="CV87" i="1"/>
  <c r="CW87" i="1"/>
  <c r="GL87" i="1"/>
  <c r="GN87" i="1"/>
  <c r="GO87" i="1"/>
  <c r="GP87" i="1"/>
  <c r="GV87" i="1"/>
  <c r="HC87" i="1"/>
  <c r="GX87" i="1" s="1"/>
  <c r="T88" i="1"/>
  <c r="U88" i="1"/>
  <c r="AC88" i="1"/>
  <c r="AB88" i="1" s="1"/>
  <c r="AD88" i="1"/>
  <c r="AE88" i="1"/>
  <c r="AF88" i="1"/>
  <c r="CT88" i="1" s="1"/>
  <c r="S88" i="1" s="1"/>
  <c r="AG88" i="1"/>
  <c r="AH88" i="1"/>
  <c r="AI88" i="1"/>
  <c r="CW88" i="1" s="1"/>
  <c r="V88" i="1" s="1"/>
  <c r="AJ88" i="1"/>
  <c r="CR88" i="1"/>
  <c r="Q88" i="1" s="1"/>
  <c r="CS88" i="1"/>
  <c r="R88" i="1" s="1"/>
  <c r="GK88" i="1" s="1"/>
  <c r="CU88" i="1"/>
  <c r="CV88" i="1"/>
  <c r="CX88" i="1"/>
  <c r="W88" i="1" s="1"/>
  <c r="GL88" i="1"/>
  <c r="GN88" i="1"/>
  <c r="GO88" i="1"/>
  <c r="GP88" i="1"/>
  <c r="GV88" i="1"/>
  <c r="HC88" i="1" s="1"/>
  <c r="GX88" i="1" s="1"/>
  <c r="S89" i="1"/>
  <c r="T89" i="1"/>
  <c r="AC89" i="1"/>
  <c r="AD89" i="1"/>
  <c r="AB89" i="1" s="1"/>
  <c r="AE89" i="1"/>
  <c r="CS89" i="1" s="1"/>
  <c r="R89" i="1" s="1"/>
  <c r="GK89" i="1" s="1"/>
  <c r="AF89" i="1"/>
  <c r="AG89" i="1"/>
  <c r="AH89" i="1"/>
  <c r="CV89" i="1" s="1"/>
  <c r="U89" i="1" s="1"/>
  <c r="AI89" i="1"/>
  <c r="AJ89" i="1"/>
  <c r="CX89" i="1" s="1"/>
  <c r="W89" i="1" s="1"/>
  <c r="CQ89" i="1"/>
  <c r="P89" i="1" s="1"/>
  <c r="CR89" i="1"/>
  <c r="Q89" i="1" s="1"/>
  <c r="CT89" i="1"/>
  <c r="CU89" i="1"/>
  <c r="CW89" i="1"/>
  <c r="V89" i="1" s="1"/>
  <c r="CY89" i="1"/>
  <c r="X89" i="1" s="1"/>
  <c r="CZ89" i="1"/>
  <c r="Y89" i="1" s="1"/>
  <c r="GL89" i="1"/>
  <c r="GN89" i="1"/>
  <c r="GO89" i="1"/>
  <c r="GP89" i="1"/>
  <c r="GV89" i="1"/>
  <c r="HC89" i="1" s="1"/>
  <c r="GX89" i="1" s="1"/>
  <c r="R90" i="1"/>
  <c r="GK90" i="1" s="1"/>
  <c r="S90" i="1"/>
  <c r="CZ90" i="1" s="1"/>
  <c r="Y90" i="1" s="1"/>
  <c r="AC90" i="1"/>
  <c r="AB90" i="1" s="1"/>
  <c r="AD90" i="1"/>
  <c r="CR90" i="1" s="1"/>
  <c r="Q90" i="1" s="1"/>
  <c r="AE90" i="1"/>
  <c r="AF90" i="1"/>
  <c r="AG90" i="1"/>
  <c r="CU90" i="1" s="1"/>
  <c r="T90" i="1" s="1"/>
  <c r="AH90" i="1"/>
  <c r="AI90" i="1"/>
  <c r="CW90" i="1" s="1"/>
  <c r="V90" i="1" s="1"/>
  <c r="AJ90" i="1"/>
  <c r="CQ90" i="1"/>
  <c r="P90" i="1" s="1"/>
  <c r="CS90" i="1"/>
  <c r="CT90" i="1"/>
  <c r="CV90" i="1"/>
  <c r="U90" i="1" s="1"/>
  <c r="CX90" i="1"/>
  <c r="W90" i="1" s="1"/>
  <c r="CY90" i="1"/>
  <c r="X90" i="1" s="1"/>
  <c r="GL90" i="1"/>
  <c r="GN90" i="1"/>
  <c r="GO90" i="1"/>
  <c r="GP90" i="1"/>
  <c r="GV90" i="1"/>
  <c r="HC90" i="1"/>
  <c r="GX90" i="1" s="1"/>
  <c r="Q91" i="1"/>
  <c r="R91" i="1"/>
  <c r="GK91" i="1" s="1"/>
  <c r="AC91" i="1"/>
  <c r="CQ91" i="1" s="1"/>
  <c r="P91" i="1" s="1"/>
  <c r="AD91" i="1"/>
  <c r="AE91" i="1"/>
  <c r="AF91" i="1"/>
  <c r="CT91" i="1" s="1"/>
  <c r="S91" i="1" s="1"/>
  <c r="AG91" i="1"/>
  <c r="AH91" i="1"/>
  <c r="AI91" i="1"/>
  <c r="AJ91" i="1"/>
  <c r="CR91" i="1"/>
  <c r="CS91" i="1"/>
  <c r="CU91" i="1"/>
  <c r="T91" i="1" s="1"/>
  <c r="CV91" i="1"/>
  <c r="U91" i="1" s="1"/>
  <c r="CW91" i="1"/>
  <c r="V91" i="1" s="1"/>
  <c r="CX91" i="1"/>
  <c r="W91" i="1" s="1"/>
  <c r="GL91" i="1"/>
  <c r="GN91" i="1"/>
  <c r="GO91" i="1"/>
  <c r="GP91" i="1"/>
  <c r="GV91" i="1"/>
  <c r="HC91" i="1" s="1"/>
  <c r="GX91" i="1" s="1"/>
  <c r="P92" i="1"/>
  <c r="Q92" i="1"/>
  <c r="AB92" i="1"/>
  <c r="AC92" i="1"/>
  <c r="AD92" i="1"/>
  <c r="AE92" i="1"/>
  <c r="CS92" i="1" s="1"/>
  <c r="R92" i="1" s="1"/>
  <c r="GK92" i="1" s="1"/>
  <c r="AF92" i="1"/>
  <c r="AG92" i="1"/>
  <c r="AH92" i="1"/>
  <c r="AI92" i="1"/>
  <c r="AJ92" i="1"/>
  <c r="CX92" i="1" s="1"/>
  <c r="W92" i="1" s="1"/>
  <c r="CQ92" i="1"/>
  <c r="CR92" i="1"/>
  <c r="CT92" i="1"/>
  <c r="S92" i="1" s="1"/>
  <c r="CU92" i="1"/>
  <c r="T92" i="1" s="1"/>
  <c r="CV92" i="1"/>
  <c r="U92" i="1" s="1"/>
  <c r="CW92" i="1"/>
  <c r="V92" i="1" s="1"/>
  <c r="GL92" i="1"/>
  <c r="GN92" i="1"/>
  <c r="GO92" i="1"/>
  <c r="GP92" i="1"/>
  <c r="GV92" i="1"/>
  <c r="HC92" i="1"/>
  <c r="GX92" i="1" s="1"/>
  <c r="P93" i="1"/>
  <c r="CP93" i="1" s="1"/>
  <c r="O93" i="1" s="1"/>
  <c r="W93" i="1"/>
  <c r="AC93" i="1"/>
  <c r="AB93" i="1" s="1"/>
  <c r="AD93" i="1"/>
  <c r="CR93" i="1" s="1"/>
  <c r="Q93" i="1" s="1"/>
  <c r="AE93" i="1"/>
  <c r="AF93" i="1"/>
  <c r="AG93" i="1"/>
  <c r="AH93" i="1"/>
  <c r="AI93" i="1"/>
  <c r="CW93" i="1" s="1"/>
  <c r="V93" i="1" s="1"/>
  <c r="AJ93" i="1"/>
  <c r="CQ93" i="1"/>
  <c r="CS93" i="1"/>
  <c r="R93" i="1" s="1"/>
  <c r="GK93" i="1" s="1"/>
  <c r="CT93" i="1"/>
  <c r="S93" i="1" s="1"/>
  <c r="CU93" i="1"/>
  <c r="T93" i="1" s="1"/>
  <c r="CV93" i="1"/>
  <c r="U93" i="1" s="1"/>
  <c r="CX93" i="1"/>
  <c r="FR93" i="1"/>
  <c r="GL93" i="1"/>
  <c r="GN93" i="1"/>
  <c r="GO93" i="1"/>
  <c r="GP93" i="1"/>
  <c r="GV93" i="1"/>
  <c r="HC93" i="1"/>
  <c r="GX93" i="1" s="1"/>
  <c r="V94" i="1"/>
  <c r="W94" i="1"/>
  <c r="AC94" i="1"/>
  <c r="AB94" i="1" s="1"/>
  <c r="AD94" i="1"/>
  <c r="AE94" i="1"/>
  <c r="AF94" i="1"/>
  <c r="AG94" i="1"/>
  <c r="AH94" i="1"/>
  <c r="CV94" i="1" s="1"/>
  <c r="U94" i="1" s="1"/>
  <c r="AI94" i="1"/>
  <c r="AJ94" i="1"/>
  <c r="CR94" i="1"/>
  <c r="Q94" i="1" s="1"/>
  <c r="CS94" i="1"/>
  <c r="R94" i="1" s="1"/>
  <c r="GK94" i="1" s="1"/>
  <c r="CT94" i="1"/>
  <c r="S94" i="1" s="1"/>
  <c r="CU94" i="1"/>
  <c r="T94" i="1" s="1"/>
  <c r="CW94" i="1"/>
  <c r="CX94" i="1"/>
  <c r="GL94" i="1"/>
  <c r="GN94" i="1"/>
  <c r="GO94" i="1"/>
  <c r="GP94" i="1"/>
  <c r="GV94" i="1"/>
  <c r="HC94" i="1"/>
  <c r="GX94" i="1" s="1"/>
  <c r="U95" i="1"/>
  <c r="V95" i="1"/>
  <c r="AC95" i="1"/>
  <c r="AD95" i="1"/>
  <c r="AB95" i="1" s="1"/>
  <c r="AE95" i="1"/>
  <c r="AF95" i="1"/>
  <c r="AG95" i="1"/>
  <c r="CU95" i="1" s="1"/>
  <c r="T95" i="1" s="1"/>
  <c r="AH95" i="1"/>
  <c r="AI95" i="1"/>
  <c r="AJ95" i="1"/>
  <c r="CX95" i="1" s="1"/>
  <c r="W95" i="1" s="1"/>
  <c r="CQ95" i="1"/>
  <c r="P95" i="1" s="1"/>
  <c r="CR95" i="1"/>
  <c r="Q95" i="1" s="1"/>
  <c r="CS95" i="1"/>
  <c r="R95" i="1" s="1"/>
  <c r="GK95" i="1" s="1"/>
  <c r="CT95" i="1"/>
  <c r="S95" i="1" s="1"/>
  <c r="CV95" i="1"/>
  <c r="CW95" i="1"/>
  <c r="GL95" i="1"/>
  <c r="GN95" i="1"/>
  <c r="GO95" i="1"/>
  <c r="GP95" i="1"/>
  <c r="GV95" i="1"/>
  <c r="HC95" i="1"/>
  <c r="GX95" i="1" s="1"/>
  <c r="T96" i="1"/>
  <c r="U96" i="1"/>
  <c r="AC96" i="1"/>
  <c r="AB96" i="1" s="1"/>
  <c r="AD96" i="1"/>
  <c r="AE96" i="1"/>
  <c r="AF96" i="1"/>
  <c r="CT96" i="1" s="1"/>
  <c r="S96" i="1" s="1"/>
  <c r="AG96" i="1"/>
  <c r="AH96" i="1"/>
  <c r="AI96" i="1"/>
  <c r="CW96" i="1" s="1"/>
  <c r="V96" i="1" s="1"/>
  <c r="AJ96" i="1"/>
  <c r="CQ96" i="1"/>
  <c r="P96" i="1" s="1"/>
  <c r="CR96" i="1"/>
  <c r="Q96" i="1" s="1"/>
  <c r="CS96" i="1"/>
  <c r="R96" i="1" s="1"/>
  <c r="GK96" i="1" s="1"/>
  <c r="CU96" i="1"/>
  <c r="CV96" i="1"/>
  <c r="CX96" i="1"/>
  <c r="W96" i="1" s="1"/>
  <c r="GL96" i="1"/>
  <c r="GN96" i="1"/>
  <c r="GO96" i="1"/>
  <c r="GP96" i="1"/>
  <c r="GV96" i="1"/>
  <c r="HC96" i="1" s="1"/>
  <c r="GX96" i="1" s="1"/>
  <c r="S97" i="1"/>
  <c r="T97" i="1"/>
  <c r="AC97" i="1"/>
  <c r="AB97" i="1" s="1"/>
  <c r="AD97" i="1"/>
  <c r="AE97" i="1"/>
  <c r="CS97" i="1" s="1"/>
  <c r="R97" i="1" s="1"/>
  <c r="GK97" i="1" s="1"/>
  <c r="AF97" i="1"/>
  <c r="AG97" i="1"/>
  <c r="AH97" i="1"/>
  <c r="CV97" i="1" s="1"/>
  <c r="U97" i="1" s="1"/>
  <c r="AI97" i="1"/>
  <c r="AJ97" i="1"/>
  <c r="CQ97" i="1"/>
  <c r="P97" i="1" s="1"/>
  <c r="CR97" i="1"/>
  <c r="Q97" i="1" s="1"/>
  <c r="CT97" i="1"/>
  <c r="CU97" i="1"/>
  <c r="CW97" i="1"/>
  <c r="V97" i="1" s="1"/>
  <c r="CX97" i="1"/>
  <c r="W97" i="1" s="1"/>
  <c r="CY97" i="1"/>
  <c r="X97" i="1" s="1"/>
  <c r="CZ97" i="1"/>
  <c r="Y97" i="1" s="1"/>
  <c r="GL97" i="1"/>
  <c r="GN97" i="1"/>
  <c r="GO97" i="1"/>
  <c r="GP97" i="1"/>
  <c r="GV97" i="1"/>
  <c r="HC97" i="1" s="1"/>
  <c r="GX97" i="1" s="1"/>
  <c r="R98" i="1"/>
  <c r="GK98" i="1" s="1"/>
  <c r="S98" i="1"/>
  <c r="CZ98" i="1" s="1"/>
  <c r="Y98" i="1" s="1"/>
  <c r="AC98" i="1"/>
  <c r="AB98" i="1" s="1"/>
  <c r="AD98" i="1"/>
  <c r="CR98" i="1" s="1"/>
  <c r="Q98" i="1" s="1"/>
  <c r="AE98" i="1"/>
  <c r="AF98" i="1"/>
  <c r="AG98" i="1"/>
  <c r="CU98" i="1" s="1"/>
  <c r="T98" i="1" s="1"/>
  <c r="AH98" i="1"/>
  <c r="AI98" i="1"/>
  <c r="AJ98" i="1"/>
  <c r="CQ98" i="1"/>
  <c r="P98" i="1" s="1"/>
  <c r="CS98" i="1"/>
  <c r="CT98" i="1"/>
  <c r="CV98" i="1"/>
  <c r="U98" i="1" s="1"/>
  <c r="CW98" i="1"/>
  <c r="V98" i="1" s="1"/>
  <c r="CX98" i="1"/>
  <c r="W98" i="1" s="1"/>
  <c r="CY98" i="1"/>
  <c r="X98" i="1" s="1"/>
  <c r="GL98" i="1"/>
  <c r="GN98" i="1"/>
  <c r="GO98" i="1"/>
  <c r="GP98" i="1"/>
  <c r="GV98" i="1"/>
  <c r="HC98" i="1"/>
  <c r="GX98" i="1" s="1"/>
  <c r="B100" i="1"/>
  <c r="B83" i="1" s="1"/>
  <c r="C100" i="1"/>
  <c r="C83" i="1" s="1"/>
  <c r="D100" i="1"/>
  <c r="D83" i="1" s="1"/>
  <c r="F100" i="1"/>
  <c r="F83" i="1" s="1"/>
  <c r="G100" i="1"/>
  <c r="G83" i="1" s="1"/>
  <c r="BX100" i="1"/>
  <c r="BX83" i="1" s="1"/>
  <c r="BZ100" i="1"/>
  <c r="AQ100" i="1" s="1"/>
  <c r="CB100" i="1"/>
  <c r="AS100" i="1" s="1"/>
  <c r="CC100" i="1"/>
  <c r="AT100" i="1" s="1"/>
  <c r="CD100" i="1"/>
  <c r="CD83" i="1" s="1"/>
  <c r="CK100" i="1"/>
  <c r="BB100" i="1" s="1"/>
  <c r="CL100" i="1"/>
  <c r="CL83" i="1" s="1"/>
  <c r="EL100" i="1"/>
  <c r="EL83" i="1" s="1"/>
  <c r="ET100" i="1"/>
  <c r="ET83" i="1" s="1"/>
  <c r="FP100" i="1"/>
  <c r="FP83" i="1" s="1"/>
  <c r="FR100" i="1"/>
  <c r="FR83" i="1" s="1"/>
  <c r="FT100" i="1"/>
  <c r="FU100" i="1"/>
  <c r="FU83" i="1" s="1"/>
  <c r="FV100" i="1"/>
  <c r="FV83" i="1" s="1"/>
  <c r="GB100" i="1"/>
  <c r="GC100" i="1"/>
  <c r="GC83" i="1" s="1"/>
  <c r="GD100" i="1"/>
  <c r="GD83" i="1" s="1"/>
  <c r="P113" i="1"/>
  <c r="P118" i="1"/>
  <c r="B129" i="1"/>
  <c r="B22" i="1" s="1"/>
  <c r="C129" i="1"/>
  <c r="C22" i="1" s="1"/>
  <c r="D129" i="1"/>
  <c r="D22" i="1" s="1"/>
  <c r="F129" i="1"/>
  <c r="F22" i="1" s="1"/>
  <c r="G129" i="1"/>
  <c r="G22" i="1" s="1"/>
  <c r="AQ129" i="1"/>
  <c r="AQ22" i="1" s="1"/>
  <c r="BX129" i="1"/>
  <c r="BX22" i="1" s="1"/>
  <c r="BY129" i="1"/>
  <c r="BY22" i="1" s="1"/>
  <c r="BZ129" i="1"/>
  <c r="BZ22" i="1" s="1"/>
  <c r="CG129" i="1"/>
  <c r="CG22" i="1" s="1"/>
  <c r="CK129" i="1"/>
  <c r="CK22" i="1" s="1"/>
  <c r="CL129" i="1"/>
  <c r="CL22" i="1" s="1"/>
  <c r="FP129" i="1"/>
  <c r="FP22" i="1" s="1"/>
  <c r="FQ129" i="1"/>
  <c r="FQ22" i="1" s="1"/>
  <c r="FR129" i="1"/>
  <c r="FR22" i="1" s="1"/>
  <c r="FY129" i="1"/>
  <c r="FY22" i="1" s="1"/>
  <c r="GC129" i="1"/>
  <c r="GC22" i="1" s="1"/>
  <c r="GD129" i="1"/>
  <c r="GD22" i="1" s="1"/>
  <c r="F139" i="1"/>
  <c r="B158" i="1"/>
  <c r="B18" i="1" s="1"/>
  <c r="C158" i="1"/>
  <c r="C18" i="1" s="1"/>
  <c r="D158" i="1"/>
  <c r="D18" i="1" s="1"/>
  <c r="F158" i="1"/>
  <c r="F18" i="1" s="1"/>
  <c r="G158" i="1"/>
  <c r="G18" i="1" s="1"/>
  <c r="AQ158" i="1"/>
  <c r="AQ18" i="1" s="1"/>
  <c r="CI129" i="1" l="1"/>
  <c r="CI22" i="1" s="1"/>
  <c r="FR98" i="1"/>
  <c r="CP98" i="1"/>
  <c r="O98" i="1" s="1"/>
  <c r="GM98" i="1" s="1"/>
  <c r="CP92" i="1"/>
  <c r="O92" i="1" s="1"/>
  <c r="CY91" i="1"/>
  <c r="X91" i="1" s="1"/>
  <c r="CZ91" i="1"/>
  <c r="Y91" i="1" s="1"/>
  <c r="CY88" i="1"/>
  <c r="X88" i="1" s="1"/>
  <c r="CZ88" i="1"/>
  <c r="Y88" i="1" s="1"/>
  <c r="AC100" i="1"/>
  <c r="FR87" i="1"/>
  <c r="AH100" i="1"/>
  <c r="CY78" i="1"/>
  <c r="X78" i="1" s="1"/>
  <c r="CZ78" i="1"/>
  <c r="Y78" i="1" s="1"/>
  <c r="ET129" i="1"/>
  <c r="FT83" i="1"/>
  <c r="EK100" i="1"/>
  <c r="BB83" i="1"/>
  <c r="BB129" i="1"/>
  <c r="F113" i="1"/>
  <c r="CY96" i="1"/>
  <c r="X96" i="1" s="1"/>
  <c r="CZ96" i="1"/>
  <c r="Y96" i="1" s="1"/>
  <c r="FR90" i="1"/>
  <c r="CP90" i="1"/>
  <c r="O90" i="1" s="1"/>
  <c r="GM90" i="1" s="1"/>
  <c r="AJ100" i="1"/>
  <c r="AG100" i="1"/>
  <c r="CY75" i="1"/>
  <c r="X75" i="1" s="1"/>
  <c r="CZ75" i="1"/>
  <c r="Y75" i="1" s="1"/>
  <c r="CP95" i="1"/>
  <c r="O95" i="1" s="1"/>
  <c r="FR95" i="1"/>
  <c r="DY100" i="1"/>
  <c r="DW100" i="1"/>
  <c r="GK86" i="1"/>
  <c r="CY85" i="1"/>
  <c r="X85" i="1" s="1"/>
  <c r="CZ85" i="1"/>
  <c r="Y85" i="1" s="1"/>
  <c r="AF100" i="1"/>
  <c r="F118" i="1"/>
  <c r="AT83" i="1"/>
  <c r="CY92" i="1"/>
  <c r="X92" i="1" s="1"/>
  <c r="CZ92" i="1"/>
  <c r="Y92" i="1" s="1"/>
  <c r="FR91" i="1"/>
  <c r="CP91" i="1"/>
  <c r="O91" i="1" s="1"/>
  <c r="CY86" i="1"/>
  <c r="X86" i="1" s="1"/>
  <c r="DX100" i="1"/>
  <c r="CZ86" i="1"/>
  <c r="Y86" i="1" s="1"/>
  <c r="GK85" i="1"/>
  <c r="AE100" i="1"/>
  <c r="F168" i="1"/>
  <c r="GA129" i="1"/>
  <c r="GA22" i="1" s="1"/>
  <c r="AS83" i="1"/>
  <c r="F117" i="1"/>
  <c r="CP96" i="1"/>
  <c r="O96" i="1" s="1"/>
  <c r="GM96" i="1" s="1"/>
  <c r="FR96" i="1"/>
  <c r="DV100" i="1"/>
  <c r="F110" i="1"/>
  <c r="AQ83" i="1"/>
  <c r="CY93" i="1"/>
  <c r="X93" i="1" s="1"/>
  <c r="GM93" i="1" s="1"/>
  <c r="CZ93" i="1"/>
  <c r="Y93" i="1" s="1"/>
  <c r="EA100" i="1"/>
  <c r="GB83" i="1"/>
  <c r="ES100" i="1"/>
  <c r="CY94" i="1"/>
  <c r="X94" i="1" s="1"/>
  <c r="CZ94" i="1"/>
  <c r="Y94" i="1" s="1"/>
  <c r="CJ100" i="1"/>
  <c r="CY87" i="1"/>
  <c r="X87" i="1" s="1"/>
  <c r="CZ87" i="1"/>
  <c r="Y87" i="1" s="1"/>
  <c r="AI100" i="1"/>
  <c r="CP85" i="1"/>
  <c r="O85" i="1" s="1"/>
  <c r="FR97" i="1"/>
  <c r="CP97" i="1"/>
  <c r="O97" i="1" s="1"/>
  <c r="GM97" i="1" s="1"/>
  <c r="CY95" i="1"/>
  <c r="X95" i="1" s="1"/>
  <c r="CZ95" i="1"/>
  <c r="Y95" i="1" s="1"/>
  <c r="FR89" i="1"/>
  <c r="CP89" i="1"/>
  <c r="O89" i="1" s="1"/>
  <c r="GM89" i="1" s="1"/>
  <c r="EB100" i="1"/>
  <c r="DZ100" i="1"/>
  <c r="CK83" i="1"/>
  <c r="CC83" i="1"/>
  <c r="CX51" i="3"/>
  <c r="T74" i="1"/>
  <c r="CY69" i="1"/>
  <c r="X69" i="1" s="1"/>
  <c r="CZ69" i="1"/>
  <c r="Y69" i="1" s="1"/>
  <c r="CY67" i="1"/>
  <c r="X67" i="1" s="1"/>
  <c r="CZ67" i="1"/>
  <c r="Y67" i="1" s="1"/>
  <c r="S57" i="1"/>
  <c r="GX57" i="1"/>
  <c r="GM38" i="1"/>
  <c r="GO38" i="1"/>
  <c r="CY33" i="1"/>
  <c r="X33" i="1" s="1"/>
  <c r="CZ33" i="1"/>
  <c r="Y33" i="1" s="1"/>
  <c r="CG100" i="1"/>
  <c r="AO100" i="1"/>
  <c r="AB91" i="1"/>
  <c r="CB83" i="1"/>
  <c r="CP79" i="1"/>
  <c r="O79" i="1" s="1"/>
  <c r="AB79" i="1"/>
  <c r="U74" i="1"/>
  <c r="V57" i="1"/>
  <c r="CQ88" i="1"/>
  <c r="P88" i="1" s="1"/>
  <c r="CR87" i="1"/>
  <c r="Q87" i="1" s="1"/>
  <c r="CP87" i="1" s="1"/>
  <c r="O87" i="1" s="1"/>
  <c r="GM87" i="1" s="1"/>
  <c r="CY76" i="1"/>
  <c r="X76" i="1" s="1"/>
  <c r="CZ76" i="1"/>
  <c r="Y76" i="1" s="1"/>
  <c r="W74" i="1"/>
  <c r="CY71" i="1"/>
  <c r="X71" i="1" s="1"/>
  <c r="CZ71" i="1"/>
  <c r="Y71" i="1" s="1"/>
  <c r="GM59" i="1"/>
  <c r="GO59" i="1"/>
  <c r="CP51" i="1"/>
  <c r="O51" i="1" s="1"/>
  <c r="EI100" i="1"/>
  <c r="BC100" i="1"/>
  <c r="AU100" i="1"/>
  <c r="BZ83" i="1"/>
  <c r="S74" i="1"/>
  <c r="CY73" i="1"/>
  <c r="X73" i="1" s="1"/>
  <c r="CZ73" i="1"/>
  <c r="Y73" i="1" s="1"/>
  <c r="CR72" i="1"/>
  <c r="Q72" i="1" s="1"/>
  <c r="CP72" i="1" s="1"/>
  <c r="O72" i="1" s="1"/>
  <c r="AB72" i="1"/>
  <c r="T57" i="1"/>
  <c r="CY52" i="1"/>
  <c r="X52" i="1" s="1"/>
  <c r="CZ52" i="1"/>
  <c r="Y52" i="1" s="1"/>
  <c r="CZ49" i="1"/>
  <c r="Y49" i="1" s="1"/>
  <c r="CY49" i="1"/>
  <c r="X49" i="1" s="1"/>
  <c r="CQ94" i="1"/>
  <c r="P94" i="1" s="1"/>
  <c r="FR92" i="1"/>
  <c r="CQ86" i="1"/>
  <c r="P86" i="1" s="1"/>
  <c r="GX74" i="1"/>
  <c r="CJ129" i="1" s="1"/>
  <c r="CJ22" i="1" s="1"/>
  <c r="CP71" i="1"/>
  <c r="O71" i="1" s="1"/>
  <c r="R60" i="1"/>
  <c r="AE129" i="1" s="1"/>
  <c r="AE22" i="1" s="1"/>
  <c r="FY100" i="1"/>
  <c r="EG100" i="1"/>
  <c r="CQ78" i="1"/>
  <c r="P78" i="1" s="1"/>
  <c r="CP78" i="1" s="1"/>
  <c r="O78" i="1" s="1"/>
  <c r="AB78" i="1"/>
  <c r="CP77" i="1"/>
  <c r="O77" i="1" s="1"/>
  <c r="AB77" i="1"/>
  <c r="R74" i="1"/>
  <c r="Q74" i="1"/>
  <c r="CR66" i="1"/>
  <c r="Q66" i="1" s="1"/>
  <c r="CP66" i="1" s="1"/>
  <c r="O66" i="1" s="1"/>
  <c r="AB66" i="1"/>
  <c r="CZ61" i="1"/>
  <c r="Y61" i="1" s="1"/>
  <c r="CY61" i="1"/>
  <c r="X61" i="1" s="1"/>
  <c r="GO61" i="1" s="1"/>
  <c r="CX43" i="3"/>
  <c r="S60" i="1"/>
  <c r="CQ75" i="1"/>
  <c r="P75" i="1" s="1"/>
  <c r="CP75" i="1" s="1"/>
  <c r="O75" i="1" s="1"/>
  <c r="AB75" i="1"/>
  <c r="P74" i="1"/>
  <c r="CP74" i="1" s="1"/>
  <c r="O74" i="1" s="1"/>
  <c r="AB74" i="1"/>
  <c r="CY68" i="1"/>
  <c r="X68" i="1" s="1"/>
  <c r="GO68" i="1" s="1"/>
  <c r="CZ68" i="1"/>
  <c r="Y68" i="1" s="1"/>
  <c r="CR63" i="1"/>
  <c r="Q63" i="1" s="1"/>
  <c r="AB63" i="1"/>
  <c r="CY62" i="1"/>
  <c r="X62" i="1" s="1"/>
  <c r="GM62" i="1" s="1"/>
  <c r="CZ62" i="1"/>
  <c r="Y62" i="1" s="1"/>
  <c r="Q57" i="1"/>
  <c r="CP49" i="1"/>
  <c r="O49" i="1" s="1"/>
  <c r="CP47" i="1"/>
  <c r="O47" i="1" s="1"/>
  <c r="CQ42" i="1"/>
  <c r="P42" i="1" s="1"/>
  <c r="CP42" i="1" s="1"/>
  <c r="O42" i="1" s="1"/>
  <c r="AB42" i="1"/>
  <c r="EU100" i="1"/>
  <c r="EM100" i="1"/>
  <c r="V74" i="1"/>
  <c r="AI129" i="1" s="1"/>
  <c r="AI22" i="1" s="1"/>
  <c r="CP73" i="1"/>
  <c r="O73" i="1" s="1"/>
  <c r="CY72" i="1"/>
  <c r="X72" i="1" s="1"/>
  <c r="CQ67" i="1"/>
  <c r="P67" i="1" s="1"/>
  <c r="CP67" i="1" s="1"/>
  <c r="O67" i="1" s="1"/>
  <c r="AB67" i="1"/>
  <c r="CP63" i="1"/>
  <c r="O63" i="1" s="1"/>
  <c r="R57" i="1"/>
  <c r="GK57" i="1" s="1"/>
  <c r="CZ53" i="1"/>
  <c r="Y53" i="1" s="1"/>
  <c r="CY53" i="1"/>
  <c r="X53" i="1" s="1"/>
  <c r="GM53" i="1" s="1"/>
  <c r="CY48" i="1"/>
  <c r="X48" i="1" s="1"/>
  <c r="CZ48" i="1"/>
  <c r="Y48" i="1" s="1"/>
  <c r="CT70" i="1"/>
  <c r="S70" i="1" s="1"/>
  <c r="CQ65" i="1"/>
  <c r="P65" i="1" s="1"/>
  <c r="CP65" i="1" s="1"/>
  <c r="O65" i="1" s="1"/>
  <c r="CT64" i="1"/>
  <c r="S64" i="1" s="1"/>
  <c r="CQ60" i="1"/>
  <c r="P60" i="1" s="1"/>
  <c r="CQ57" i="1"/>
  <c r="P57" i="1" s="1"/>
  <c r="CP57" i="1" s="1"/>
  <c r="O57" i="1" s="1"/>
  <c r="W56" i="1"/>
  <c r="AJ129" i="1" s="1"/>
  <c r="AJ22" i="1" s="1"/>
  <c r="T56" i="1"/>
  <c r="AG129" i="1" s="1"/>
  <c r="AG22" i="1" s="1"/>
  <c r="CY46" i="1"/>
  <c r="X46" i="1" s="1"/>
  <c r="CZ46" i="1"/>
  <c r="Y46" i="1" s="1"/>
  <c r="CY36" i="1"/>
  <c r="X36" i="1" s="1"/>
  <c r="CZ36" i="1"/>
  <c r="Y36" i="1" s="1"/>
  <c r="CP58" i="1"/>
  <c r="O58" i="1" s="1"/>
  <c r="AB53" i="1"/>
  <c r="AB49" i="1"/>
  <c r="CP46" i="1"/>
  <c r="O46" i="1" s="1"/>
  <c r="CY42" i="1"/>
  <c r="X42" i="1" s="1"/>
  <c r="CZ42" i="1"/>
  <c r="Y42" i="1" s="1"/>
  <c r="CQ76" i="1"/>
  <c r="P76" i="1" s="1"/>
  <c r="CP76" i="1" s="1"/>
  <c r="O76" i="1" s="1"/>
  <c r="AB58" i="1"/>
  <c r="Q56" i="1"/>
  <c r="CP54" i="1"/>
  <c r="O54" i="1" s="1"/>
  <c r="W43" i="1"/>
  <c r="S43" i="1"/>
  <c r="V41" i="1"/>
  <c r="CQ69" i="1"/>
  <c r="P69" i="1" s="1"/>
  <c r="CP69" i="1" s="1"/>
  <c r="O69" i="1" s="1"/>
  <c r="CQ56" i="1"/>
  <c r="P56" i="1" s="1"/>
  <c r="CP56" i="1" s="1"/>
  <c r="O56" i="1" s="1"/>
  <c r="AB56" i="1"/>
  <c r="CP55" i="1"/>
  <c r="O55" i="1" s="1"/>
  <c r="AB54" i="1"/>
  <c r="CP50" i="1"/>
  <c r="O50" i="1" s="1"/>
  <c r="CR40" i="1"/>
  <c r="Q40" i="1" s="1"/>
  <c r="AD129" i="1" s="1"/>
  <c r="AD22" i="1" s="1"/>
  <c r="AB40" i="1"/>
  <c r="W60" i="1"/>
  <c r="W57" i="1"/>
  <c r="CQ52" i="1"/>
  <c r="P52" i="1" s="1"/>
  <c r="CP52" i="1" s="1"/>
  <c r="O52" i="1" s="1"/>
  <c r="AB52" i="1"/>
  <c r="CQ48" i="1"/>
  <c r="P48" i="1" s="1"/>
  <c r="CP48" i="1" s="1"/>
  <c r="O48" i="1" s="1"/>
  <c r="AB48" i="1"/>
  <c r="CR44" i="1"/>
  <c r="Q44" i="1" s="1"/>
  <c r="AB44" i="1"/>
  <c r="U60" i="1"/>
  <c r="AH129" i="1" s="1"/>
  <c r="AH22" i="1" s="1"/>
  <c r="CY58" i="1"/>
  <c r="X58" i="1" s="1"/>
  <c r="U57" i="1"/>
  <c r="W53" i="1"/>
  <c r="W49" i="1"/>
  <c r="P44" i="1"/>
  <c r="CP44" i="1" s="1"/>
  <c r="O44" i="1" s="1"/>
  <c r="R43" i="1"/>
  <c r="AB43" i="1"/>
  <c r="P41" i="1"/>
  <c r="CP41" i="1" s="1"/>
  <c r="O41" i="1" s="1"/>
  <c r="CY37" i="1"/>
  <c r="X37" i="1" s="1"/>
  <c r="CZ37" i="1"/>
  <c r="Y37" i="1" s="1"/>
  <c r="CP32" i="1"/>
  <c r="O32" i="1" s="1"/>
  <c r="CQ43" i="1"/>
  <c r="P43" i="1" s="1"/>
  <c r="S39" i="1"/>
  <c r="CY35" i="1"/>
  <c r="X35" i="1" s="1"/>
  <c r="CY34" i="1"/>
  <c r="X34" i="1" s="1"/>
  <c r="CZ34" i="1"/>
  <c r="Y34" i="1" s="1"/>
  <c r="CZ25" i="1"/>
  <c r="Y25" i="1" s="1"/>
  <c r="CY25" i="1"/>
  <c r="X25" i="1" s="1"/>
  <c r="CY24" i="1"/>
  <c r="X24" i="1" s="1"/>
  <c r="CZ24" i="1"/>
  <c r="Y24" i="1" s="1"/>
  <c r="Q39" i="1"/>
  <c r="P39" i="1"/>
  <c r="CP39" i="1" s="1"/>
  <c r="O39" i="1" s="1"/>
  <c r="CZ28" i="1"/>
  <c r="Y28" i="1" s="1"/>
  <c r="CY28" i="1"/>
  <c r="X28" i="1" s="1"/>
  <c r="GM28" i="1" s="1"/>
  <c r="CY27" i="1"/>
  <c r="X27" i="1" s="1"/>
  <c r="CZ27" i="1"/>
  <c r="Y27" i="1" s="1"/>
  <c r="I45" i="1"/>
  <c r="Q45" i="1" s="1"/>
  <c r="CY29" i="1"/>
  <c r="X29" i="1" s="1"/>
  <c r="CZ29" i="1"/>
  <c r="Y29" i="1" s="1"/>
  <c r="CP24" i="1"/>
  <c r="O24" i="1" s="1"/>
  <c r="CX32" i="3"/>
  <c r="CX31" i="3"/>
  <c r="CX30" i="3"/>
  <c r="CX29" i="3"/>
  <c r="CP33" i="1"/>
  <c r="O33" i="1" s="1"/>
  <c r="CY30" i="1"/>
  <c r="X30" i="1" s="1"/>
  <c r="CZ30" i="1"/>
  <c r="Y30" i="1" s="1"/>
  <c r="CP25" i="1"/>
  <c r="O25" i="1" s="1"/>
  <c r="AB36" i="1"/>
  <c r="CQ36" i="1"/>
  <c r="P36" i="1" s="1"/>
  <c r="CP36" i="1" s="1"/>
  <c r="O36" i="1" s="1"/>
  <c r="CY32" i="1"/>
  <c r="X32" i="1" s="1"/>
  <c r="CZ32" i="1"/>
  <c r="Y32" i="1" s="1"/>
  <c r="CY31" i="1"/>
  <c r="X31" i="1" s="1"/>
  <c r="GM31" i="1" s="1"/>
  <c r="CZ31" i="1"/>
  <c r="Y31" i="1" s="1"/>
  <c r="U39" i="1"/>
  <c r="AB38" i="1"/>
  <c r="CP35" i="1"/>
  <c r="O35" i="1" s="1"/>
  <c r="AB35" i="1"/>
  <c r="CP34" i="1"/>
  <c r="O34" i="1" s="1"/>
  <c r="CP29" i="1"/>
  <c r="O29" i="1" s="1"/>
  <c r="CX27" i="3"/>
  <c r="CX28" i="3"/>
  <c r="CQ37" i="1"/>
  <c r="P37" i="1" s="1"/>
  <c r="CP37" i="1" s="1"/>
  <c r="O37" i="1" s="1"/>
  <c r="CQ30" i="1"/>
  <c r="P30" i="1" s="1"/>
  <c r="CP30" i="1" s="1"/>
  <c r="O30" i="1" s="1"/>
  <c r="CQ27" i="1"/>
  <c r="P27" i="1" s="1"/>
  <c r="CZ26" i="1"/>
  <c r="Y26" i="1" s="1"/>
  <c r="CQ26" i="1"/>
  <c r="P26" i="1" s="1"/>
  <c r="CX25" i="3"/>
  <c r="GM66" i="1" l="1"/>
  <c r="GO66" i="1"/>
  <c r="GM72" i="1"/>
  <c r="GO72" i="1"/>
  <c r="GO76" i="1"/>
  <c r="GM76" i="1"/>
  <c r="CY64" i="1"/>
  <c r="X64" i="1" s="1"/>
  <c r="CZ64" i="1"/>
  <c r="Y64" i="1" s="1"/>
  <c r="GM63" i="1"/>
  <c r="GO63" i="1"/>
  <c r="EU83" i="1"/>
  <c r="P116" i="1"/>
  <c r="EU129" i="1"/>
  <c r="FY83" i="1"/>
  <c r="EP100" i="1"/>
  <c r="GM51" i="1"/>
  <c r="GO51" i="1"/>
  <c r="DK100" i="1"/>
  <c r="DX83" i="1"/>
  <c r="GM95" i="1"/>
  <c r="CY43" i="1"/>
  <c r="X43" i="1" s="1"/>
  <c r="CZ43" i="1"/>
  <c r="Y43" i="1" s="1"/>
  <c r="GM65" i="1"/>
  <c r="GO65" i="1"/>
  <c r="CP64" i="1"/>
  <c r="O64" i="1" s="1"/>
  <c r="GO53" i="1"/>
  <c r="EC100" i="1"/>
  <c r="S100" i="1"/>
  <c r="AF83" i="1"/>
  <c r="GO62" i="1"/>
  <c r="ET22" i="1"/>
  <c r="ET158" i="1"/>
  <c r="P142" i="1"/>
  <c r="CP27" i="1"/>
  <c r="O27" i="1" s="1"/>
  <c r="DU129" i="1"/>
  <c r="GM35" i="1"/>
  <c r="GO35" i="1"/>
  <c r="GM48" i="1"/>
  <c r="GO48" i="1"/>
  <c r="GO50" i="1"/>
  <c r="GM50" i="1"/>
  <c r="CY70" i="1"/>
  <c r="X70" i="1" s="1"/>
  <c r="CZ70" i="1"/>
  <c r="Y70" i="1" s="1"/>
  <c r="GM42" i="1"/>
  <c r="GO42" i="1"/>
  <c r="GM75" i="1"/>
  <c r="GO75" i="1"/>
  <c r="GM71" i="1"/>
  <c r="GO71" i="1"/>
  <c r="F104" i="1"/>
  <c r="AO83" i="1"/>
  <c r="AO129" i="1"/>
  <c r="BA100" i="1"/>
  <c r="CJ83" i="1"/>
  <c r="GM91" i="1"/>
  <c r="AL100" i="1"/>
  <c r="R45" i="1"/>
  <c r="GK45" i="1" s="1"/>
  <c r="U45" i="1"/>
  <c r="GM30" i="1"/>
  <c r="GN30" i="1"/>
  <c r="CB129" i="1" s="1"/>
  <c r="GO36" i="1"/>
  <c r="GM36" i="1"/>
  <c r="GO41" i="1"/>
  <c r="GM41" i="1"/>
  <c r="S45" i="1"/>
  <c r="V45" i="1"/>
  <c r="EA129" i="1" s="1"/>
  <c r="EA22" i="1" s="1"/>
  <c r="GM67" i="1"/>
  <c r="GO67" i="1"/>
  <c r="T45" i="1"/>
  <c r="DY129" i="1" s="1"/>
  <c r="DY22" i="1" s="1"/>
  <c r="CZ60" i="1"/>
  <c r="Y60" i="1" s="1"/>
  <c r="CY60" i="1"/>
  <c r="X60" i="1" s="1"/>
  <c r="AK129" i="1" s="1"/>
  <c r="AK22" i="1" s="1"/>
  <c r="AF129" i="1"/>
  <c r="AF22" i="1" s="1"/>
  <c r="CY74" i="1"/>
  <c r="X74" i="1" s="1"/>
  <c r="GM74" i="1" s="1"/>
  <c r="CZ74" i="1"/>
  <c r="Y74" i="1" s="1"/>
  <c r="CP88" i="1"/>
  <c r="O88" i="1" s="1"/>
  <c r="GM88" i="1" s="1"/>
  <c r="FR88" i="1"/>
  <c r="CG83" i="1"/>
  <c r="AX100" i="1"/>
  <c r="CZ57" i="1"/>
  <c r="Y57" i="1" s="1"/>
  <c r="CY57" i="1"/>
  <c r="X57" i="1" s="1"/>
  <c r="AK100" i="1"/>
  <c r="GM33" i="1"/>
  <c r="GO33" i="1"/>
  <c r="GM32" i="1"/>
  <c r="GO32" i="1"/>
  <c r="P45" i="1"/>
  <c r="GM47" i="1"/>
  <c r="GO47" i="1"/>
  <c r="GM77" i="1"/>
  <c r="GO77" i="1"/>
  <c r="GN31" i="1"/>
  <c r="FT129" i="1" s="1"/>
  <c r="FT22" i="1" s="1"/>
  <c r="GM61" i="1"/>
  <c r="DV83" i="1"/>
  <c r="DI100" i="1"/>
  <c r="AD100" i="1"/>
  <c r="AH83" i="1"/>
  <c r="U100" i="1"/>
  <c r="GM92" i="1"/>
  <c r="CP26" i="1"/>
  <c r="O26" i="1" s="1"/>
  <c r="AC129" i="1"/>
  <c r="DZ129" i="1"/>
  <c r="DZ22" i="1" s="1"/>
  <c r="GM55" i="1"/>
  <c r="GO55" i="1"/>
  <c r="GO28" i="1"/>
  <c r="GM24" i="1"/>
  <c r="GO24" i="1"/>
  <c r="GK43" i="1"/>
  <c r="CP40" i="1"/>
  <c r="O40" i="1" s="1"/>
  <c r="GO54" i="1"/>
  <c r="GM54" i="1"/>
  <c r="GO73" i="1"/>
  <c r="GM73" i="1"/>
  <c r="GM49" i="1"/>
  <c r="GO49" i="1"/>
  <c r="DU100" i="1"/>
  <c r="CP86" i="1"/>
  <c r="O86" i="1" s="1"/>
  <c r="FR86" i="1"/>
  <c r="FQ100" i="1" s="1"/>
  <c r="GM68" i="1"/>
  <c r="F119" i="1"/>
  <c r="AU83" i="1"/>
  <c r="ES83" i="1"/>
  <c r="P120" i="1"/>
  <c r="R100" i="1"/>
  <c r="AE83" i="1"/>
  <c r="DW83" i="1"/>
  <c r="DJ100" i="1"/>
  <c r="T100" i="1"/>
  <c r="AG83" i="1"/>
  <c r="BB22" i="1"/>
  <c r="BB158" i="1"/>
  <c r="F142" i="1"/>
  <c r="BY100" i="1"/>
  <c r="GM34" i="1"/>
  <c r="GO34" i="1"/>
  <c r="GO37" i="1"/>
  <c r="GM37" i="1"/>
  <c r="GM52" i="1"/>
  <c r="GO52" i="1"/>
  <c r="GX45" i="1"/>
  <c r="GB129" i="1" s="1"/>
  <c r="GB22" i="1" s="1"/>
  <c r="DV129" i="1"/>
  <c r="DV22" i="1" s="1"/>
  <c r="GM44" i="1"/>
  <c r="GO44" i="1"/>
  <c r="GM56" i="1"/>
  <c r="GO56" i="1"/>
  <c r="GM57" i="1"/>
  <c r="GO57" i="1"/>
  <c r="CP70" i="1"/>
  <c r="O70" i="1" s="1"/>
  <c r="GM78" i="1"/>
  <c r="GP78" i="1"/>
  <c r="CD129" i="1" s="1"/>
  <c r="CD22" i="1" s="1"/>
  <c r="F116" i="1"/>
  <c r="BC83" i="1"/>
  <c r="BC129" i="1"/>
  <c r="DZ83" i="1"/>
  <c r="DM100" i="1"/>
  <c r="AB100" i="1"/>
  <c r="GM85" i="1"/>
  <c r="CA100" i="1" s="1"/>
  <c r="DL100" i="1"/>
  <c r="DY83" i="1"/>
  <c r="W100" i="1"/>
  <c r="AJ83" i="1"/>
  <c r="P100" i="1"/>
  <c r="AC83" i="1"/>
  <c r="CE100" i="1"/>
  <c r="CF100" i="1"/>
  <c r="CH100" i="1"/>
  <c r="GM46" i="1"/>
  <c r="GO46" i="1"/>
  <c r="GM25" i="1"/>
  <c r="GO25" i="1"/>
  <c r="CZ39" i="1"/>
  <c r="Y39" i="1" s="1"/>
  <c r="CY39" i="1"/>
  <c r="X39" i="1" s="1"/>
  <c r="DX129" i="1"/>
  <c r="DX22" i="1" s="1"/>
  <c r="GO29" i="1"/>
  <c r="GM29" i="1"/>
  <c r="AL129" i="1"/>
  <c r="AL22" i="1" s="1"/>
  <c r="CP43" i="1"/>
  <c r="O43" i="1" s="1"/>
  <c r="W45" i="1"/>
  <c r="EB129" i="1" s="1"/>
  <c r="EB22" i="1" s="1"/>
  <c r="GO69" i="1"/>
  <c r="GM69" i="1"/>
  <c r="GO58" i="1"/>
  <c r="GM58" i="1"/>
  <c r="CP60" i="1"/>
  <c r="O60" i="1" s="1"/>
  <c r="P119" i="1"/>
  <c r="EM83" i="1"/>
  <c r="EG83" i="1"/>
  <c r="P104" i="1"/>
  <c r="EG129" i="1"/>
  <c r="CP94" i="1"/>
  <c r="O94" i="1" s="1"/>
  <c r="GM94" i="1" s="1"/>
  <c r="FR94" i="1"/>
  <c r="EI83" i="1"/>
  <c r="P110" i="1"/>
  <c r="EI129" i="1"/>
  <c r="GM79" i="1"/>
  <c r="GP79" i="1"/>
  <c r="FV129" i="1" s="1"/>
  <c r="FV22" i="1" s="1"/>
  <c r="EB83" i="1"/>
  <c r="DO100" i="1"/>
  <c r="AI83" i="1"/>
  <c r="V100" i="1"/>
  <c r="EA83" i="1"/>
  <c r="DN100" i="1"/>
  <c r="ED100" i="1"/>
  <c r="EK83" i="1"/>
  <c r="P117" i="1"/>
  <c r="EK129" i="1"/>
  <c r="EC129" i="1" l="1"/>
  <c r="EC22" i="1" s="1"/>
  <c r="F122" i="1"/>
  <c r="U83" i="1"/>
  <c r="U129" i="1"/>
  <c r="X100" i="1"/>
  <c r="AK83" i="1"/>
  <c r="CY45" i="1"/>
  <c r="X45" i="1" s="1"/>
  <c r="CZ45" i="1"/>
  <c r="Y45" i="1" s="1"/>
  <c r="ED129" i="1" s="1"/>
  <c r="ED22" i="1" s="1"/>
  <c r="DU22" i="1"/>
  <c r="FX129" i="1"/>
  <c r="FX22" i="1" s="1"/>
  <c r="FZ129" i="1"/>
  <c r="FZ22" i="1" s="1"/>
  <c r="FW129" i="1"/>
  <c r="FW22" i="1" s="1"/>
  <c r="EC83" i="1"/>
  <c r="DP100" i="1"/>
  <c r="GO74" i="1"/>
  <c r="DO83" i="1"/>
  <c r="DO129" i="1"/>
  <c r="P124" i="1"/>
  <c r="EG22" i="1"/>
  <c r="EG158" i="1"/>
  <c r="P133" i="1"/>
  <c r="O100" i="1"/>
  <c r="AB83" i="1"/>
  <c r="P122" i="1"/>
  <c r="DM83" i="1"/>
  <c r="DM129" i="1"/>
  <c r="BB18" i="1"/>
  <c r="F171" i="1"/>
  <c r="ES129" i="1"/>
  <c r="GM86" i="1"/>
  <c r="FS100" i="1" s="1"/>
  <c r="DT100" i="1"/>
  <c r="GM40" i="1"/>
  <c r="GO40" i="1"/>
  <c r="Y100" i="1"/>
  <c r="AL83" i="1"/>
  <c r="GM27" i="1"/>
  <c r="GO27" i="1"/>
  <c r="ED83" i="1"/>
  <c r="DQ100" i="1"/>
  <c r="GM70" i="1"/>
  <c r="GO70" i="1"/>
  <c r="R83" i="1"/>
  <c r="F114" i="1"/>
  <c r="R129" i="1"/>
  <c r="EI22" i="1"/>
  <c r="P139" i="1"/>
  <c r="EI158" i="1"/>
  <c r="EM129" i="1"/>
  <c r="GO43" i="1"/>
  <c r="GM43" i="1"/>
  <c r="F103" i="1"/>
  <c r="P129" i="1"/>
  <c r="P83" i="1"/>
  <c r="FW100" i="1"/>
  <c r="FX100" i="1"/>
  <c r="DU83" i="1"/>
  <c r="FZ100" i="1"/>
  <c r="DH100" i="1"/>
  <c r="DW129" i="1"/>
  <c r="DW22" i="1" s="1"/>
  <c r="Q100" i="1"/>
  <c r="AD83" i="1"/>
  <c r="GO64" i="1"/>
  <c r="GM64" i="1"/>
  <c r="EU22" i="1"/>
  <c r="EU158" i="1"/>
  <c r="P145" i="1"/>
  <c r="FQ83" i="1"/>
  <c r="EH100" i="1"/>
  <c r="GA100" i="1"/>
  <c r="P123" i="1"/>
  <c r="DN83" i="1"/>
  <c r="DN129" i="1"/>
  <c r="V129" i="1"/>
  <c r="F123" i="1"/>
  <c r="V83" i="1"/>
  <c r="BC22" i="1"/>
  <c r="BC158" i="1"/>
  <c r="F145" i="1"/>
  <c r="DI83" i="1"/>
  <c r="P112" i="1"/>
  <c r="DI129" i="1"/>
  <c r="CP45" i="1"/>
  <c r="O45" i="1" s="1"/>
  <c r="AX83" i="1"/>
  <c r="AX129" i="1"/>
  <c r="F107" i="1"/>
  <c r="ET18" i="1"/>
  <c r="P171" i="1"/>
  <c r="DK83" i="1"/>
  <c r="P115" i="1"/>
  <c r="DK129" i="1"/>
  <c r="EK22" i="1"/>
  <c r="P146" i="1"/>
  <c r="E16" i="2" s="1"/>
  <c r="EK158" i="1"/>
  <c r="CE83" i="1"/>
  <c r="AV100" i="1"/>
  <c r="GO60" i="1"/>
  <c r="GM60" i="1"/>
  <c r="F124" i="1"/>
  <c r="W83" i="1"/>
  <c r="W129" i="1"/>
  <c r="T83" i="1"/>
  <c r="F121" i="1"/>
  <c r="T129" i="1"/>
  <c r="AU129" i="1"/>
  <c r="GO39" i="1"/>
  <c r="BA83" i="1"/>
  <c r="F120" i="1"/>
  <c r="BA129" i="1"/>
  <c r="DJ83" i="1"/>
  <c r="P114" i="1"/>
  <c r="GM39" i="1"/>
  <c r="AC22" i="1"/>
  <c r="CE129" i="1"/>
  <c r="CE22" i="1" s="1"/>
  <c r="CF129" i="1"/>
  <c r="CF22" i="1" s="1"/>
  <c r="CH129" i="1"/>
  <c r="CH22" i="1" s="1"/>
  <c r="CB22" i="1"/>
  <c r="AS129" i="1"/>
  <c r="AO22" i="1"/>
  <c r="F133" i="1"/>
  <c r="AO158" i="1"/>
  <c r="AY100" i="1"/>
  <c r="CH83" i="1"/>
  <c r="DL83" i="1"/>
  <c r="DL129" i="1"/>
  <c r="P121" i="1"/>
  <c r="AB129" i="1"/>
  <c r="AB22" i="1" s="1"/>
  <c r="GO26" i="1"/>
  <c r="GM26" i="1"/>
  <c r="CA129" i="1" s="1"/>
  <c r="CA22" i="1" s="1"/>
  <c r="EP83" i="1"/>
  <c r="P107" i="1"/>
  <c r="EP129" i="1"/>
  <c r="CF83" i="1"/>
  <c r="AW100" i="1"/>
  <c r="AR100" i="1"/>
  <c r="CA83" i="1"/>
  <c r="CI100" i="1"/>
  <c r="BY83" i="1"/>
  <c r="AP100" i="1"/>
  <c r="CC129" i="1"/>
  <c r="S83" i="1"/>
  <c r="F115" i="1"/>
  <c r="S129" i="1"/>
  <c r="AX22" i="1" l="1"/>
  <c r="AX158" i="1"/>
  <c r="F136" i="1"/>
  <c r="GA83" i="1"/>
  <c r="ER100" i="1"/>
  <c r="FS83" i="1"/>
  <c r="EJ100" i="1"/>
  <c r="F102" i="1"/>
  <c r="O83" i="1"/>
  <c r="O129" i="1"/>
  <c r="DP83" i="1"/>
  <c r="P125" i="1"/>
  <c r="DP129" i="1"/>
  <c r="EH83" i="1"/>
  <c r="EH129" i="1"/>
  <c r="P109" i="1"/>
  <c r="F112" i="1"/>
  <c r="Q83" i="1"/>
  <c r="Q129" i="1"/>
  <c r="P22" i="1"/>
  <c r="F132" i="1"/>
  <c r="P158" i="1"/>
  <c r="ES22" i="1"/>
  <c r="ES158" i="1"/>
  <c r="P149" i="1"/>
  <c r="X129" i="1"/>
  <c r="X83" i="1"/>
  <c r="F125" i="1"/>
  <c r="R22" i="1"/>
  <c r="R158" i="1"/>
  <c r="F143" i="1"/>
  <c r="EG18" i="1"/>
  <c r="P162" i="1"/>
  <c r="U22" i="1"/>
  <c r="U158" i="1"/>
  <c r="F151" i="1"/>
  <c r="EP22" i="1"/>
  <c r="P136" i="1"/>
  <c r="EP158" i="1"/>
  <c r="AP83" i="1"/>
  <c r="AP129" i="1"/>
  <c r="F109" i="1"/>
  <c r="P103" i="1"/>
  <c r="DH83" i="1"/>
  <c r="DH129" i="1"/>
  <c r="W22" i="1"/>
  <c r="W158" i="1"/>
  <c r="F153" i="1"/>
  <c r="GO45" i="1"/>
  <c r="FU129" i="1" s="1"/>
  <c r="GM45" i="1"/>
  <c r="FS129" i="1" s="1"/>
  <c r="FS22" i="1" s="1"/>
  <c r="DT129" i="1"/>
  <c r="DT22" i="1" s="1"/>
  <c r="V22" i="1"/>
  <c r="F152" i="1"/>
  <c r="V158" i="1"/>
  <c r="FZ83" i="1"/>
  <c r="EQ100" i="1"/>
  <c r="F126" i="1"/>
  <c r="Y83" i="1"/>
  <c r="Y129" i="1"/>
  <c r="DM22" i="1"/>
  <c r="P151" i="1"/>
  <c r="DM158" i="1"/>
  <c r="CC22" i="1"/>
  <c r="AT129" i="1"/>
  <c r="BA22" i="1"/>
  <c r="F149" i="1"/>
  <c r="BA158" i="1"/>
  <c r="AO18" i="1"/>
  <c r="F162" i="1"/>
  <c r="DI22" i="1"/>
  <c r="P141" i="1"/>
  <c r="DI158" i="1"/>
  <c r="S22" i="1"/>
  <c r="F144" i="1"/>
  <c r="Y16" i="2" s="1"/>
  <c r="Y18" i="2" s="1"/>
  <c r="S158" i="1"/>
  <c r="AV83" i="1"/>
  <c r="F105" i="1"/>
  <c r="AV129" i="1"/>
  <c r="DO22" i="1"/>
  <c r="DO158" i="1"/>
  <c r="P153" i="1"/>
  <c r="DK22" i="1"/>
  <c r="P144" i="1"/>
  <c r="J16" i="2" s="1"/>
  <c r="J18" i="2" s="1"/>
  <c r="DK158" i="1"/>
  <c r="AZ100" i="1"/>
  <c r="CI83" i="1"/>
  <c r="AU22" i="1"/>
  <c r="AU158" i="1"/>
  <c r="F148" i="1"/>
  <c r="EU18" i="1"/>
  <c r="P174" i="1"/>
  <c r="AR83" i="1"/>
  <c r="F127" i="1"/>
  <c r="AR129" i="1"/>
  <c r="DJ129" i="1"/>
  <c r="DN22" i="1"/>
  <c r="P152" i="1"/>
  <c r="DN158" i="1"/>
  <c r="AS22" i="1"/>
  <c r="F146" i="1"/>
  <c r="T16" i="2" s="1"/>
  <c r="AS158" i="1"/>
  <c r="FX83" i="1"/>
  <c r="EO100" i="1"/>
  <c r="EM22" i="1"/>
  <c r="P148" i="1"/>
  <c r="H16" i="2" s="1"/>
  <c r="H18" i="2" s="1"/>
  <c r="EM158" i="1"/>
  <c r="E18" i="2"/>
  <c r="AY83" i="1"/>
  <c r="F108" i="1"/>
  <c r="AY129" i="1"/>
  <c r="T22" i="1"/>
  <c r="F150" i="1"/>
  <c r="T158" i="1"/>
  <c r="F106" i="1"/>
  <c r="AW83" i="1"/>
  <c r="AW129" i="1"/>
  <c r="DL22" i="1"/>
  <c r="DL158" i="1"/>
  <c r="P150" i="1"/>
  <c r="EK18" i="1"/>
  <c r="P175" i="1"/>
  <c r="BC18" i="1"/>
  <c r="F174" i="1"/>
  <c r="FW83" i="1"/>
  <c r="EN100" i="1"/>
  <c r="EI18" i="1"/>
  <c r="P168" i="1"/>
  <c r="P126" i="1"/>
  <c r="DQ83" i="1"/>
  <c r="DQ129" i="1"/>
  <c r="DT83" i="1"/>
  <c r="DG100" i="1"/>
  <c r="FU22" i="1" l="1"/>
  <c r="EL129" i="1"/>
  <c r="P106" i="1"/>
  <c r="EO83" i="1"/>
  <c r="EO129" i="1"/>
  <c r="EH22" i="1"/>
  <c r="EH158" i="1"/>
  <c r="P138" i="1"/>
  <c r="G16" i="2" s="1"/>
  <c r="G18" i="2" s="1"/>
  <c r="EJ83" i="1"/>
  <c r="P127" i="1"/>
  <c r="EJ129" i="1"/>
  <c r="EN83" i="1"/>
  <c r="EN129" i="1"/>
  <c r="P105" i="1"/>
  <c r="AR22" i="1"/>
  <c r="F156" i="1"/>
  <c r="AR158" i="1"/>
  <c r="AV22" i="1"/>
  <c r="AV158" i="1"/>
  <c r="F134" i="1"/>
  <c r="DM18" i="1"/>
  <c r="P180" i="1"/>
  <c r="V18" i="1"/>
  <c r="F181" i="1"/>
  <c r="R18" i="1"/>
  <c r="F172" i="1"/>
  <c r="P18" i="1"/>
  <c r="F161" i="1"/>
  <c r="DL18" i="1"/>
  <c r="P179" i="1"/>
  <c r="EP18" i="1"/>
  <c r="P165" i="1"/>
  <c r="P102" i="1"/>
  <c r="DG83" i="1"/>
  <c r="DG129" i="1"/>
  <c r="AS18" i="1"/>
  <c r="F175" i="1"/>
  <c r="AZ83" i="1"/>
  <c r="F111" i="1"/>
  <c r="AZ129" i="1"/>
  <c r="DH22" i="1"/>
  <c r="P132" i="1"/>
  <c r="DH158" i="1"/>
  <c r="DP22" i="1"/>
  <c r="DP158" i="1"/>
  <c r="P154" i="1"/>
  <c r="ER83" i="1"/>
  <c r="P111" i="1"/>
  <c r="ER129" i="1"/>
  <c r="DJ22" i="1"/>
  <c r="P143" i="1"/>
  <c r="DJ158" i="1"/>
  <c r="W18" i="1"/>
  <c r="F182" i="1"/>
  <c r="AW22" i="1"/>
  <c r="AW158" i="1"/>
  <c r="F135" i="1"/>
  <c r="T18" i="2"/>
  <c r="DK18" i="1"/>
  <c r="P173" i="1"/>
  <c r="S18" i="1"/>
  <c r="F173" i="1"/>
  <c r="BA18" i="1"/>
  <c r="F178" i="1"/>
  <c r="Y22" i="1"/>
  <c r="Y158" i="1"/>
  <c r="F155" i="1"/>
  <c r="U18" i="1"/>
  <c r="F180" i="1"/>
  <c r="Q22" i="1"/>
  <c r="Q158" i="1"/>
  <c r="F141" i="1"/>
  <c r="AY22" i="1"/>
  <c r="F137" i="1"/>
  <c r="AY158" i="1"/>
  <c r="X22" i="1"/>
  <c r="F154" i="1"/>
  <c r="X158" i="1"/>
  <c r="O22" i="1"/>
  <c r="O158" i="1"/>
  <c r="F131" i="1"/>
  <c r="AX18" i="1"/>
  <c r="F165" i="1"/>
  <c r="DQ22" i="1"/>
  <c r="P155" i="1"/>
  <c r="DQ158" i="1"/>
  <c r="T18" i="1"/>
  <c r="F179" i="1"/>
  <c r="W16" i="2"/>
  <c r="W18" i="2" s="1"/>
  <c r="AP22" i="1"/>
  <c r="F138" i="1"/>
  <c r="V16" i="2" s="1"/>
  <c r="V18" i="2" s="1"/>
  <c r="AP158" i="1"/>
  <c r="EM18" i="1"/>
  <c r="P177" i="1"/>
  <c r="DN18" i="1"/>
  <c r="P181" i="1"/>
  <c r="AU18" i="1"/>
  <c r="F177" i="1"/>
  <c r="DO18" i="1"/>
  <c r="P182" i="1"/>
  <c r="DI18" i="1"/>
  <c r="P170" i="1"/>
  <c r="AT22" i="1"/>
  <c r="AT158" i="1"/>
  <c r="F147" i="1"/>
  <c r="U16" i="2" s="1"/>
  <c r="U18" i="2" s="1"/>
  <c r="EQ83" i="1"/>
  <c r="EQ129" i="1"/>
  <c r="P108" i="1"/>
  <c r="ES18" i="1"/>
  <c r="P178" i="1"/>
  <c r="DQ18" i="1" l="1"/>
  <c r="P184" i="1"/>
  <c r="X18" i="1"/>
  <c r="F183" i="1"/>
  <c r="EH18" i="1"/>
  <c r="P167" i="1"/>
  <c r="DP18" i="1"/>
  <c r="P183" i="1"/>
  <c r="EN22" i="1"/>
  <c r="P134" i="1"/>
  <c r="EN158" i="1"/>
  <c r="EO22" i="1"/>
  <c r="P135" i="1"/>
  <c r="EO158" i="1"/>
  <c r="AW18" i="1"/>
  <c r="F164" i="1"/>
  <c r="EQ22" i="1"/>
  <c r="P137" i="1"/>
  <c r="EQ158" i="1"/>
  <c r="AY18" i="1"/>
  <c r="F166" i="1"/>
  <c r="DJ18" i="1"/>
  <c r="P172" i="1"/>
  <c r="AZ22" i="1"/>
  <c r="F140" i="1"/>
  <c r="AZ158" i="1"/>
  <c r="Y18" i="1"/>
  <c r="F184" i="1"/>
  <c r="DH18" i="1"/>
  <c r="P161" i="1"/>
  <c r="DG22" i="1"/>
  <c r="P131" i="1"/>
  <c r="DG158" i="1"/>
  <c r="AV18" i="1"/>
  <c r="F163" i="1"/>
  <c r="EJ22" i="1"/>
  <c r="EJ158" i="1"/>
  <c r="P156" i="1"/>
  <c r="Q18" i="1"/>
  <c r="F170" i="1"/>
  <c r="X16" i="2"/>
  <c r="X18" i="2" s="1"/>
  <c r="EL22" i="1"/>
  <c r="P147" i="1"/>
  <c r="F16" i="2" s="1"/>
  <c r="EL158" i="1"/>
  <c r="AP18" i="1"/>
  <c r="F167" i="1"/>
  <c r="AT18" i="1"/>
  <c r="F176" i="1"/>
  <c r="O18" i="1"/>
  <c r="F160" i="1"/>
  <c r="ER22" i="1"/>
  <c r="ER158" i="1"/>
  <c r="P140" i="1"/>
  <c r="AR18" i="1"/>
  <c r="F185" i="1"/>
  <c r="EO18" i="1" l="1"/>
  <c r="P164" i="1"/>
  <c r="EJ18" i="1"/>
  <c r="P185" i="1"/>
  <c r="ER18" i="1"/>
  <c r="P169" i="1"/>
  <c r="EL18" i="1"/>
  <c r="P176" i="1"/>
  <c r="F18" i="2"/>
  <c r="I16" i="2"/>
  <c r="I18" i="2" s="1"/>
  <c r="EQ18" i="1"/>
  <c r="P166" i="1"/>
  <c r="EN18" i="1"/>
  <c r="P163" i="1"/>
  <c r="AZ18" i="1"/>
  <c r="F169" i="1"/>
  <c r="DG18" i="1"/>
  <c r="P160" i="1"/>
</calcChain>
</file>

<file path=xl/sharedStrings.xml><?xml version="1.0" encoding="utf-8"?>
<sst xmlns="http://schemas.openxmlformats.org/spreadsheetml/2006/main" count="4040" uniqueCount="402">
  <si>
    <t>Smeta.RU  (495) 974-1589</t>
  </si>
  <si>
    <t>_PS_</t>
  </si>
  <si>
    <t>Smeta.RU</t>
  </si>
  <si>
    <t/>
  </si>
  <si>
    <t>12 СКУД</t>
  </si>
  <si>
    <t>024/18КН-ИОС.5.1</t>
  </si>
  <si>
    <t>Сметные нормы списания</t>
  </si>
  <si>
    <t>Коды ОКП для ТСН-2001 МГЭ</t>
  </si>
  <si>
    <t>ТСН 2001- Ремонт</t>
  </si>
  <si>
    <t>Типовой расчет для ТСН-2001 (Ремонт)</t>
  </si>
  <si>
    <t>Территориальные сметные нормативы для Москвы ТСН-2001 (МГЭ)</t>
  </si>
  <si>
    <t>Поправки для ТСН-2001 от 06.05.2019 г.</t>
  </si>
  <si>
    <t>02-01-12</t>
  </si>
  <si>
    <t>Система контроля доступа</t>
  </si>
  <si>
    <t>1</t>
  </si>
  <si>
    <t>4.10-176-1</t>
  </si>
  <si>
    <t>Блок контроля датчиков (контроллер)</t>
  </si>
  <si>
    <t>10 шт.</t>
  </si>
  <si>
    <t>ТСН-2001.4. Доп. 1-42. Сб. 10, т. 176, поз. 1</t>
  </si>
  <si>
    <t>Монтаж оборудования</t>
  </si>
  <si>
    <t>ТСН-2001.4-10. 10-175…10-177 (доп. 31)</t>
  </si>
  <si>
    <t>ТСН-2001.4-10-22</t>
  </si>
  <si>
    <t>2</t>
  </si>
  <si>
    <t>4.10-173-2</t>
  </si>
  <si>
    <t>Блок бесперебойного питания (ББП) в диспетчерской</t>
  </si>
  <si>
    <t>1  ШТ.</t>
  </si>
  <si>
    <t>ТСН-2001.4. Доп. 1-42. Сб. 10, т. 173, поз. 2</t>
  </si>
  <si>
    <t>ТСН-2001.4-10. 10-162…10-173 (доп. 9)</t>
  </si>
  <si>
    <t>ТСН-2001.4-10-20</t>
  </si>
  <si>
    <t>3</t>
  </si>
  <si>
    <t>4.10-168-1</t>
  </si>
  <si>
    <t>Блок считывания кода (БСК) и считыватель в диспетчерской</t>
  </si>
  <si>
    <t>ТСН-2001.4. Доп. 1-42. Сб. 10, т. 168, поз. 1</t>
  </si>
  <si>
    <t>4</t>
  </si>
  <si>
    <t>3.10-82-1</t>
  </si>
  <si>
    <t>Установка дверного доводчика к металлическим дверям</t>
  </si>
  <si>
    <t>ТСН-2001.3 Доп. 44, Сб. 10, т. 82, поз. 1</t>
  </si>
  <si>
    <t>)*1,25</t>
  </si>
  <si>
    <t>)*1,15</t>
  </si>
  <si>
    <t>Строительные работы</t>
  </si>
  <si>
    <t>ТСН-2001.3-10. 10-82</t>
  </si>
  <si>
    <t>ТСН-2001.3-10-7</t>
  </si>
  <si>
    <t>5</t>
  </si>
  <si>
    <t>4.10-76-10</t>
  </si>
  <si>
    <t>Ключ или кнопка на панели</t>
  </si>
  <si>
    <t>ТСН-2001.4. Доп. 1-42. Сб. 10, т. 76, поз. 10</t>
  </si>
  <si>
    <t>ТСН-2001.4-10. 10-1...10-91</t>
  </si>
  <si>
    <t>ТСН-2001.4-10-1</t>
  </si>
  <si>
    <t>5,1</t>
  </si>
  <si>
    <t>ц. пост.</t>
  </si>
  <si>
    <t>Кнопка выхода SR-BP42</t>
  </si>
  <si>
    <t>шт.</t>
  </si>
  <si>
    <t>Материалы</t>
  </si>
  <si>
    <t>Материалы, изделия и конструкции</t>
  </si>
  <si>
    <t>[205,2 / 1,2 /  5,41] +  2% Трансп</t>
  </si>
  <si>
    <t>6</t>
  </si>
  <si>
    <t>4.11-1-1</t>
  </si>
  <si>
    <t>Конструкции для установки приборов и средств автоматизации массой до 1 кг</t>
  </si>
  <si>
    <t>ТСН-2001.4. Доп. 1-42. Сб. 11, т. 1, поз. 1</t>
  </si>
  <si>
    <t>ТСН-2001.4-11. 11-1...11-30</t>
  </si>
  <si>
    <t>ТСН-2001.4-11-1</t>
  </si>
  <si>
    <t>7</t>
  </si>
  <si>
    <t>4.8-288-3</t>
  </si>
  <si>
    <t>Трубы гофрированные поливинилхлоридные наружным диаметром 25 мм открыто по стенам и потолкам с установкой соединительных коробок</t>
  </si>
  <si>
    <t>100 м</t>
  </si>
  <si>
    <t>ТСН-2001.4. Доп. 1-42. Сб. 8, т. 288, поз. 3</t>
  </si>
  <si>
    <t>ТСН-2001.4-8. 8-288 (доп. 19)</t>
  </si>
  <si>
    <t>ТСН-2001.4-8-27</t>
  </si>
  <si>
    <t>7,1</t>
  </si>
  <si>
    <t>1.12-5-373</t>
  </si>
  <si>
    <t>Трубы электротехнические гофрированные, поливинилхлоридные, негорючие, с зондом, наружный диаметр 25 мм</t>
  </si>
  <si>
    <t>м</t>
  </si>
  <si>
    <t>ТСН-2001.1. Доп. 1-42. Р. 12, о. 5, поз. 373</t>
  </si>
  <si>
    <t>7,2</t>
  </si>
  <si>
    <t>1.21-5-185</t>
  </si>
  <si>
    <t>Коробки ответвительные, тип КРП-1 УХЛ4, размеры 52х109х109 мм</t>
  </si>
  <si>
    <t>ТСН-2001.1. Доп. 1-42. Р. 21, о. 5, поз. 185</t>
  </si>
  <si>
    <t>7,3</t>
  </si>
  <si>
    <t>1.21-5-1137</t>
  </si>
  <si>
    <t>Держатели пластиковые с защелкой для крепления труб, рукавов и гибких вводов диаметром 25 мм</t>
  </si>
  <si>
    <t>100 шт.</t>
  </si>
  <si>
    <t>ТСН-2001.1. Доп. 1-42. Р. 21, о. 5, поз. 1137</t>
  </si>
  <si>
    <t>8</t>
  </si>
  <si>
    <t>4.8-280-2</t>
  </si>
  <si>
    <t>Прокладка пластикового кабель-канала по бетонному основанию</t>
  </si>
  <si>
    <t>ТСН-2001.4. Доп. 1-42. Сб. 8, т. 280, поз. 2</t>
  </si>
  <si>
    <t>ТСН-2001.4-8. 8-280, 8-281</t>
  </si>
  <si>
    <t>ТСН-2001.4-8-20</t>
  </si>
  <si>
    <t>8,1</t>
  </si>
  <si>
    <t>1.1-1-2426</t>
  </si>
  <si>
    <t>Кабель-каналы, размер 20х12,5 мм, кабель-каналы</t>
  </si>
  <si>
    <t>ТСН-2001.1. Доп. 1-42. Р. 1, о. 1, поз. 2426</t>
  </si>
  <si>
    <t>8,2</t>
  </si>
  <si>
    <t>1.1-1-2428</t>
  </si>
  <si>
    <t>Кабель-каналы, размер 20х12,5 мм, углы наружные</t>
  </si>
  <si>
    <t>1000 шт.</t>
  </si>
  <si>
    <t>ТСН-2001.1. Доп. 1-42. Р. 1, о. 1, поз. 2428</t>
  </si>
  <si>
    <t>8,3</t>
  </si>
  <si>
    <t>1.1-1-2430</t>
  </si>
  <si>
    <t>Кабель-каналы, размер 20х12,5 мм, заглушки</t>
  </si>
  <si>
    <t>ТСН-2001.1. Доп. 1-42. Р. 1, о. 1, поз. 2430</t>
  </si>
  <si>
    <t>8,4</t>
  </si>
  <si>
    <t>1.1-1-2427</t>
  </si>
  <si>
    <t>Кабель-каналы, размер 20х12,5 мм, углы внутренние</t>
  </si>
  <si>
    <t>ТСН-2001.1. Доп. 1-42. Р. 1, о. 1, поз. 2427</t>
  </si>
  <si>
    <t>9</t>
  </si>
  <si>
    <t>1.21-5-555</t>
  </si>
  <si>
    <t>Лотки кабельные оцинкованные, перфорированные, простые, без крышек, тип PNK-50</t>
  </si>
  <si>
    <t>ТСН-2001.1. Доп. 1-42. Р. 21, о. 5, поз. 555</t>
  </si>
  <si>
    <t>Материалы монтажные</t>
  </si>
  <si>
    <t>ТСН-2001.1 Материалы монтажные</t>
  </si>
  <si>
    <t>ТСН-2001.1-2</t>
  </si>
  <si>
    <t>10</t>
  </si>
  <si>
    <t>1.21-5-559</t>
  </si>
  <si>
    <t>Крышки для лотков простых марки PNK-50</t>
  </si>
  <si>
    <t>ТСН-2001.1. Доп. 1-42. Р. 21, о. 5, поз. 559</t>
  </si>
  <si>
    <t>11</t>
  </si>
  <si>
    <t>4.8-175-2</t>
  </si>
  <si>
    <t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6 мм2</t>
  </si>
  <si>
    <t>ТСН-2001.4. Доп. 1-42. Сб. 8, т. 175, поз. 2</t>
  </si>
  <si>
    <t>ТСН-2001.4-8. 8-155...8-184</t>
  </si>
  <si>
    <t>ТСН-2001.4-8-16</t>
  </si>
  <si>
    <t>12</t>
  </si>
  <si>
    <t>4.8-162-1</t>
  </si>
  <si>
    <t>Провода и кабели в коробах, провод, сечением до 6 мм2</t>
  </si>
  <si>
    <t>ТСН-2001.4. Доп. 1-42. Сб. 8, т. 162, поз. 1</t>
  </si>
  <si>
    <t>13</t>
  </si>
  <si>
    <t>4.8-163-1</t>
  </si>
  <si>
    <t>Провода и кабели по перфорированным профилям, провод сечением до 6 мм2</t>
  </si>
  <si>
    <t>ТСН-2001.4. Доп. 1-42. Сб. 8, т. 163, поз. 1</t>
  </si>
  <si>
    <t>14</t>
  </si>
  <si>
    <t>Кабель КВПЭфнг(С)-LSLTx-5e 4х2х0,52</t>
  </si>
  <si>
    <t>ПМ</t>
  </si>
  <si>
    <t>[78,68 / 1,2 /  5,41] +  2% Заг.скл</t>
  </si>
  <si>
    <t>15</t>
  </si>
  <si>
    <t>Кабель ВВГЭ нг(А)-LSLTх 3х1,5</t>
  </si>
  <si>
    <t>[49,22 / 1,2 /  5,41] +  2% Заг.скл</t>
  </si>
  <si>
    <t>16</t>
  </si>
  <si>
    <t>1.23-9-38</t>
  </si>
  <si>
    <t>Кабели для адресных систем пожарной сигнализации с однопроволочными медными жилами, с изоляцией и оболочкой из ПВХ пластиката, марка КПСВВ, число пар и сечение 1х2х0,75 мм2</t>
  </si>
  <si>
    <t>км</t>
  </si>
  <si>
    <t>ТСН-2001.1. Доп. 1-42. Р. 23, о. 9, поз. 38</t>
  </si>
  <si>
    <t>17</t>
  </si>
  <si>
    <t>4.8-70-1</t>
  </si>
  <si>
    <t>Аккумуляторы кислотные стационарные, аккумулятор С-1, СК-1</t>
  </si>
  <si>
    <t>ТСН-2001.4. Доп. 1-42. Сб. 8, т. 70, поз. 1</t>
  </si>
  <si>
    <t>ТСН-2001.4-8. 8-28...8-72</t>
  </si>
  <si>
    <t>ТСН-2001.4-8-2</t>
  </si>
  <si>
    <t>18</t>
  </si>
  <si>
    <t>4.10-177-1</t>
  </si>
  <si>
    <t>Устройство связи с согласующим устройством (вызывная панель)</t>
  </si>
  <si>
    <t>ТСН-2001.4. Доп. 1-42. Сб. 10, т. 177, поз. 1</t>
  </si>
  <si>
    <t>19</t>
  </si>
  <si>
    <t>4.10-70-23</t>
  </si>
  <si>
    <t>Аппаратура цветного телевидения, устройство видеоконтрольное</t>
  </si>
  <si>
    <t>ТСН-2001.4. Доп. 1-42. Сб. 10, т. 70, поз. 23</t>
  </si>
  <si>
    <t>20</t>
  </si>
  <si>
    <t>5.2-36-1</t>
  </si>
  <si>
    <t>Комплексная наладка системы контроля и управления доступом (СКУД)</t>
  </si>
  <si>
    <t>1 считыватель</t>
  </si>
  <si>
    <t>ТСН-2001.5 Доп. 47, Сб. 2, т. 36, поз. 1</t>
  </si>
  <si>
    <t>)*0,8</t>
  </si>
  <si>
    <t>Новый раздел</t>
  </si>
  <si>
    <t>Оборудование</t>
  </si>
  <si>
    <t>21</t>
  </si>
  <si>
    <t>13.1-3-185</t>
  </si>
  <si>
    <t>Контроллер доступа С2000-2: Разнообразные режимы работы, режим запрета повторного прохода (Antipassback); встроенный звуковой сигнализатор; управление и передача сообщений по интерфейсу RS-485 в ИСО «Орион»</t>
  </si>
  <si>
    <t>компл.</t>
  </si>
  <si>
    <t>Сметная стоимость оборудования</t>
  </si>
  <si>
    <t>ТСН-2001.13-1.</t>
  </si>
  <si>
    <t>ТСН-2001.13-1-1</t>
  </si>
  <si>
    <t>22</t>
  </si>
  <si>
    <t>13.1-1-54</t>
  </si>
  <si>
    <t>Источник питания резервированный РИП-12, напряжение 12 В: Ток 3 А</t>
  </si>
  <si>
    <t>ТСН-2001.13. Доп.28. Р.1, о.1, поз.54</t>
  </si>
  <si>
    <t>23</t>
  </si>
  <si>
    <t>13.1-3-70</t>
  </si>
  <si>
    <t>ТСН-2001.13. Доп.28. Р.1, о.3, поз.70</t>
  </si>
  <si>
    <t>24</t>
  </si>
  <si>
    <t>13.1-1-20</t>
  </si>
  <si>
    <t>Батарея аккумуляторная, емкость 7 А•ч: Напряжение 12 В</t>
  </si>
  <si>
    <t>ТСН-2001.13. Доп.28. Р.1, о.1, поз.20</t>
  </si>
  <si>
    <t>25</t>
  </si>
  <si>
    <t>Считыватель Proxy-5MSG</t>
  </si>
  <si>
    <t>[2 448 / 1,2 /  4,39] +  1,2% Трансп +  3% Заг.скл</t>
  </si>
  <si>
    <t>26</t>
  </si>
  <si>
    <t>Вызывная панель DRC-4CHC PAL</t>
  </si>
  <si>
    <t>[6 972,48 / 1,2 /  4,39] +  1,2% Трансп +  3% Заг.скл</t>
  </si>
  <si>
    <t>27</t>
  </si>
  <si>
    <t>Видеодомофон CDV-1020AQ</t>
  </si>
  <si>
    <t>[38 215 / 1,2 /  4,39] +  1,2% Трансп +  3% Заг.скл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</si>
  <si>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</si>
  <si>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</si>
  <si>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</si>
  <si>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</si>
  <si>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</si>
  <si>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</si>
  <si>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</si>
  <si>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</si>
  <si>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</si>
  <si>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</si>
  <si>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</si>
  <si>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</si>
  <si>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</si>
  <si>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</si>
  <si>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</si>
  <si>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</si>
  <si>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</si>
  <si>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</si>
  <si>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</si>
  <si>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</si>
  <si>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</si>
  <si>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</si>
  <si>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</si>
  <si>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</si>
  <si>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</si>
  <si>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</si>
  <si>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</si>
  <si>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</si>
  <si>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</si>
  <si>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</si>
  <si>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</si>
  <si>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</si>
  <si>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</si>
  <si>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</si>
  <si>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</si>
  <si>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</si>
  <si>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</si>
  <si>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</si>
  <si>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</si>
  <si>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</si>
  <si>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</si>
  <si>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</si>
  <si>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</si>
  <si>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</si>
  <si>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</si>
  <si>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</si>
  <si>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</si>
  <si>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</si>
  <si>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</si>
  <si>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</si>
  <si>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</si>
  <si>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</si>
  <si>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Уровень цен</t>
  </si>
  <si>
    <t>Сборник индексов</t>
  </si>
  <si>
    <t>ТСН-2001 ремонт</t>
  </si>
  <si>
    <t>152</t>
  </si>
  <si>
    <t>Коэффициенты пересчета к ТСН-2001.13-2</t>
  </si>
  <si>
    <t>_OBSM_</t>
  </si>
  <si>
    <t>9999990008</t>
  </si>
  <si>
    <t>Трудозатраты рабочих</t>
  </si>
  <si>
    <t>чел.-ч.</t>
  </si>
  <si>
    <t>2.1-13-14</t>
  </si>
  <si>
    <t>ТСН-2001.2. Доп. 1-42, п. 1-13-14 (136001)</t>
  </si>
  <si>
    <t>Установки для сварки ручной дуговой (постоянного тока)</t>
  </si>
  <si>
    <t>маш.-ч.</t>
  </si>
  <si>
    <t>2.1-30-19</t>
  </si>
  <si>
    <t>ТСН-2001.2. Доп. 1-42, п. 1-30-19 (305001)</t>
  </si>
  <si>
    <t>Машины шлифовальные электрические</t>
  </si>
  <si>
    <t>2.1-30-56</t>
  </si>
  <si>
    <t>ТСН-2001.2. Доп. 1-42, п. 1-30-56 (309101)</t>
  </si>
  <si>
    <t>Шуруповерты</t>
  </si>
  <si>
    <t>2.1-30-6</t>
  </si>
  <si>
    <t>ТСН-2001.2. Доп. 1-42, п. 1-30-6 (303701)</t>
  </si>
  <si>
    <t>Дрели электрические</t>
  </si>
  <si>
    <t>1.1-1-2627</t>
  </si>
  <si>
    <t>ТСН-2001.1. Доп. 1-42. Р. 1, о. 1, поз. 2627</t>
  </si>
  <si>
    <t>Винты самонарезающие 5х40 мм для металла</t>
  </si>
  <si>
    <t>кг</t>
  </si>
  <si>
    <t>9999990002</t>
  </si>
  <si>
    <t>Масса оборудования</t>
  </si>
  <si>
    <t>т</t>
  </si>
  <si>
    <t>4985110000</t>
  </si>
  <si>
    <t>Доводчик дверной (4987110000)</t>
  </si>
  <si>
    <t>2248200000</t>
  </si>
  <si>
    <t>Трубы поливинилхлоридные гофрированные</t>
  </si>
  <si>
    <t>3434200000</t>
  </si>
  <si>
    <t>Коробки соединительные</t>
  </si>
  <si>
    <t>3449651000</t>
  </si>
  <si>
    <t>Держатели пластиковые для труб</t>
  </si>
  <si>
    <t>5772110000</t>
  </si>
  <si>
    <t>Короба с направляющими</t>
  </si>
  <si>
    <t>Перегородки разделительные</t>
  </si>
  <si>
    <t>Углы наружные</t>
  </si>
  <si>
    <t>Заглушки</t>
  </si>
  <si>
    <t>Накладки стыковые</t>
  </si>
  <si>
    <t>Углы внутренние</t>
  </si>
  <si>
    <t>Углы плоские</t>
  </si>
  <si>
    <t>Комплект монтажный (электромагнитный замок, доводчик двери, кнопка выхода): Состав: замок электромагнитный, со звуковой сигнализацией открытия и встроенным контроллером, номинальное напряжение питания  постоянное 12 В, потребляемая мощность не более 10 Вт, усилие удержания не менее 500 кг для тяжелых дверей и не менее 150 кг для легких дверей, масса замка не более 6 кг для тяжелых дверей и не более 1,5 кг для легких дверей; доводчик двери; габаритные размеры 293х60х47,5 мм; кнопка выхода НО 91х28 мм</t>
  </si>
  <si>
    <t>"СОГЛАСОВАНО"</t>
  </si>
  <si>
    <t>"УТВЕРЖДАЮ"</t>
  </si>
  <si>
    <t>Форма № 4б</t>
  </si>
  <si>
    <t>"_____"________________ 2019 г.</t>
  </si>
  <si>
    <t>(наименование стройки и/или объекта)</t>
  </si>
  <si>
    <t>(наименование работ и затрат)</t>
  </si>
  <si>
    <t>В базисном уровне цен</t>
  </si>
  <si>
    <t>В текущем уровне цен</t>
  </si>
  <si>
    <t>Сметная стоимость</t>
  </si>
  <si>
    <t>тыс. руб.</t>
  </si>
  <si>
    <t>Работы по монтажу оборудования</t>
  </si>
  <si>
    <t>Прочие работы и затраты</t>
  </si>
  <si>
    <t>Средства на оплату труда</t>
  </si>
  <si>
    <t>Затраты труда</t>
  </si>
  <si>
    <t xml:space="preserve">Кроме того: 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</si>
  <si>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</si>
  <si>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</si>
  <si>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</si>
  <si>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</si>
  <si>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</si>
  <si>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изм., руб.</t>
  </si>
  <si>
    <t>Попра-вочные коэффи-
циенты</t>
  </si>
  <si>
    <t>Коэффи-циенты зимних удорожа-ний</t>
  </si>
  <si>
    <t>Коэффици-енты (индексы) пересчета, нормы НР и СП</t>
  </si>
  <si>
    <t>ВСЕГО затрат в текущем уровне цен, руб.</t>
  </si>
  <si>
    <t>Составлен(а) по ТСН-2001 с учетом Дополнения №: 52</t>
  </si>
  <si>
    <t>№ и период сборника коэффициентов (индексов) пересчета: ТСН-2001 ремонт №152 май 2019 года и Коэффициенты пересчета к ТСН-2001.13-2 март 2019 года</t>
  </si>
  <si>
    <t>Всего в ценах на январь 2000 года, руб.</t>
  </si>
  <si>
    <t>ЗП</t>
  </si>
  <si>
    <t>ЭМ</t>
  </si>
  <si>
    <t>в т.ч. ЗПМ</t>
  </si>
  <si>
    <t>МР</t>
  </si>
  <si>
    <t>НР от ЗП</t>
  </si>
  <si>
    <t>%</t>
  </si>
  <si>
    <t>СП от ЗП</t>
  </si>
  <si>
    <t>НР и СП от ЗПМ</t>
  </si>
  <si>
    <t>ЗТР</t>
  </si>
  <si>
    <t>чел-ч</t>
  </si>
  <si>
    <t>Всего по позиции:</t>
  </si>
  <si>
    <r>
      <t>Кнопка выхода SR-BP42</t>
    </r>
    <r>
      <rPr>
        <i/>
        <sz val="10"/>
        <rFont val="Arial"/>
        <family val="2"/>
        <charset val="204"/>
      </rPr>
      <t xml:space="preserve">
Базисная стоимость: 32,24 = [205,2 / 1,2 /  5,41] +  2% Трансп</t>
    </r>
  </si>
  <si>
    <r>
      <t>Кабель КВПЭфнг(С)-LSLTx-5e 4х2х0,52</t>
    </r>
    <r>
      <rPr>
        <i/>
        <sz val="10"/>
        <rFont val="Arial"/>
        <family val="2"/>
        <charset val="204"/>
      </rPr>
      <t xml:space="preserve">
Базисная стоимость: 12,36 = [78,68 / 1,2 /  5,41] +  2% Заг.скл</t>
    </r>
  </si>
  <si>
    <r>
      <t>Кабель ВВГЭ нг(А)-LSLTх 3х1,5</t>
    </r>
    <r>
      <rPr>
        <i/>
        <sz val="10"/>
        <rFont val="Arial"/>
        <family val="2"/>
        <charset val="204"/>
      </rPr>
      <t xml:space="preserve">
Базисная стоимость: 7,73 = [49,22 / 1,2 /  5,41] +  2% Заг.скл</t>
    </r>
  </si>
  <si>
    <r>
      <t>Считыватель Proxy-5MSG</t>
    </r>
    <r>
      <rPr>
        <i/>
        <sz val="10"/>
        <rFont val="Arial"/>
        <family val="2"/>
        <charset val="204"/>
      </rPr>
      <t xml:space="preserve">
Базисная стоимость: 484,38 = [2 448 / 1,2 /  4,39] +  1,2% Трансп +  3% Заг.скл</t>
    </r>
  </si>
  <si>
    <r>
      <t>Вызывная панель DRC-4CHC PAL</t>
    </r>
    <r>
      <rPr>
        <i/>
        <sz val="10"/>
        <rFont val="Arial"/>
        <family val="2"/>
        <charset val="204"/>
      </rPr>
      <t xml:space="preserve">
Базисная стоимость: 1 379,61 = [6 972,48 / 1,2 /  4,39] +  1,2% Трансп +  3% Заг.скл</t>
    </r>
  </si>
  <si>
    <r>
      <t>Видеодомофон CDV-1020AQ</t>
    </r>
    <r>
      <rPr>
        <i/>
        <sz val="10"/>
        <rFont val="Arial"/>
        <family val="2"/>
        <charset val="204"/>
      </rPr>
      <t xml:space="preserve">
Базисная стоимость: 7 561,47 = [38 215 / 1,2 /  4,39] +  1,2% Трансп +  3% Заг.скл</t>
    </r>
  </si>
  <si>
    <t xml:space="preserve">   Итого по ТСН-2001.16</t>
  </si>
  <si>
    <t xml:space="preserve">   Итого возвратных сумм</t>
  </si>
  <si>
    <t xml:space="preserve">Составил   </t>
  </si>
  <si>
    <t>(должность, подпись, инициалы, фамилия)</t>
  </si>
  <si>
    <t xml:space="preserve">Проверил   </t>
  </si>
  <si>
    <t>___________________________</t>
  </si>
  <si>
    <t>" ___ " ___________ 20 ___ г.</t>
  </si>
  <si>
    <t xml:space="preserve">Мы, нижеподписавшиеся, произвели осмотр объекта </t>
  </si>
  <si>
    <t xml:space="preserve">и постановили произвести ремонт объекта в </t>
  </si>
  <si>
    <t>следующем объеме:</t>
  </si>
  <si>
    <t>Единица измерения</t>
  </si>
  <si>
    <t>Количество</t>
  </si>
  <si>
    <t>Примечание</t>
  </si>
  <si>
    <t>Заказчик _________________</t>
  </si>
  <si>
    <t>Подрядчик _________________</t>
  </si>
  <si>
    <t>TYPE</t>
  </si>
  <si>
    <t>LINK</t>
  </si>
  <si>
    <t>RABMAT_EX</t>
  </si>
  <si>
    <t>TIP_RAB</t>
  </si>
  <si>
    <t>TYPE_TRUD</t>
  </si>
  <si>
    <t>TAB</t>
  </si>
  <si>
    <t>NAME</t>
  </si>
  <si>
    <t>EDIZM</t>
  </si>
  <si>
    <t>KOLL</t>
  </si>
  <si>
    <t>UCH</t>
  </si>
  <si>
    <t>PRICE_B</t>
  </si>
  <si>
    <t>PRICE_ED</t>
  </si>
  <si>
    <t>STOIM_B</t>
  </si>
  <si>
    <t>PRICE_C</t>
  </si>
  <si>
    <t>STOIM_C</t>
  </si>
  <si>
    <t>ZPM_B</t>
  </si>
  <si>
    <t>ZPM_ED</t>
  </si>
  <si>
    <t>STOIM_ZPM_B</t>
  </si>
  <si>
    <t>ZPM_C</t>
  </si>
  <si>
    <t>STOIM_ZPM_C</t>
  </si>
  <si>
    <t>CRC_GR_RES</t>
  </si>
  <si>
    <t>CRC_B</t>
  </si>
  <si>
    <t>CRC_C</t>
  </si>
  <si>
    <t>BuildingFinished</t>
  </si>
  <si>
    <t>Trud</t>
  </si>
  <si>
    <t>Mash</t>
  </si>
  <si>
    <t>Mat</t>
  </si>
  <si>
    <t>MatZak</t>
  </si>
  <si>
    <t>Oborud</t>
  </si>
  <si>
    <t>OborudZak</t>
  </si>
  <si>
    <t>ZeroStoim</t>
  </si>
  <si>
    <t>NegativeKoll</t>
  </si>
  <si>
    <t>ReUnionKollResurcy</t>
  </si>
  <si>
    <t>Ресурсная ведомость на</t>
  </si>
  <si>
    <t>Обоснование</t>
  </si>
  <si>
    <t>Наименование</t>
  </si>
  <si>
    <t>Объем</t>
  </si>
  <si>
    <t>Текущая</t>
  </si>
  <si>
    <t>цена</t>
  </si>
  <si>
    <t>стоимость</t>
  </si>
  <si>
    <t xml:space="preserve">Трудовые ресурсы </t>
  </si>
  <si>
    <t xml:space="preserve">Итого трудовые ресурсы </t>
  </si>
  <si>
    <t xml:space="preserve">Машины и механизмы </t>
  </si>
  <si>
    <t xml:space="preserve">Итого машины и механизмы </t>
  </si>
  <si>
    <t xml:space="preserve">Материальные ресурсы </t>
  </si>
  <si>
    <t xml:space="preserve">Итого материальные ресурсы </t>
  </si>
  <si>
    <t xml:space="preserve">Оборудование </t>
  </si>
  <si>
    <t xml:space="preserve">Итого оборудование </t>
  </si>
  <si>
    <t xml:space="preserve">Итого материалы заказчика </t>
  </si>
  <si>
    <t xml:space="preserve">Итого оборудование заказчика </t>
  </si>
  <si>
    <t>Итого материальных ресурсов</t>
  </si>
  <si>
    <t>сметная прибыль</t>
  </si>
  <si>
    <t>Итого сметная стоимость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</si>
</sst>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\ #,##0.00"/>
    <numFmt numFmtId="165" formatCode="#,##0.00####;[Red]\-\ #,##0.00####"/>
    <numFmt numFmtId="166" formatCode="#,##0;[Red]\-\ #,##0"/>
  </numFmts>
  <fonts count="22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sz val="1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left" wrapText="1"/>
    </xf>
    <xf numFmtId="0" fontId="15" fillId="0" borderId="1" xfId="0" applyFont="1" applyBorder="1" applyAlignment="1">
      <alignment horizontal="center" wrapText="1"/>
    </xf>
    <xf numFmtId="0" fontId="12" fillId="0" borderId="2" xfId="0" applyFont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/>
    <xf numFmtId="0" fontId="13" fillId="0" borderId="1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center" wrapText="1"/>
    </xf>
    <xf numFmtId="0" fontId="18" fillId="0" borderId="0" xfId="0" applyFont="1" applyAlignment="1">
      <alignment horizontal="left"/>
    </xf>
    <xf numFmtId="164" fontId="18" fillId="0" borderId="0" xfId="0" applyNumberFormat="1" applyFont="1"/>
    <xf numFmtId="0" fontId="18" fillId="0" borderId="0" xfId="0" applyFont="1"/>
    <xf numFmtId="164" fontId="13" fillId="0" borderId="0" xfId="0" applyNumberFormat="1" applyFont="1"/>
    <xf numFmtId="0" fontId="13" fillId="0" borderId="0" xfId="0" applyFont="1" applyFill="1" applyAlignment="1">
      <alignment horizontal="left"/>
    </xf>
    <xf numFmtId="0" fontId="13" fillId="0" borderId="0" xfId="1" applyFont="1" applyFill="1" applyAlignment="1">
      <alignment horizontal="left"/>
    </xf>
    <xf numFmtId="0" fontId="11" fillId="0" borderId="0" xfId="1" applyFont="1" applyFill="1" applyAlignment="1">
      <alignment horizontal="lef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9" fillId="0" borderId="0" xfId="0" applyFont="1" applyAlignment="1">
      <alignment horizontal="right" wrapText="1"/>
    </xf>
    <xf numFmtId="0" fontId="13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1" fillId="0" borderId="0" xfId="0" applyFont="1" applyAlignment="1">
      <alignment wrapText="1"/>
    </xf>
    <xf numFmtId="164" fontId="19" fillId="0" borderId="0" xfId="0" applyNumberFormat="1" applyFont="1" applyAlignment="1">
      <alignment horizontal="right"/>
    </xf>
    <xf numFmtId="164" fontId="0" fillId="0" borderId="0" xfId="0" applyNumberFormat="1"/>
    <xf numFmtId="164" fontId="13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3" fillId="0" borderId="5" xfId="0" applyFont="1" applyBorder="1" applyAlignment="1">
      <alignment horizontal="left" vertical="top"/>
    </xf>
    <xf numFmtId="0" fontId="13" fillId="0" borderId="5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right" wrapText="1"/>
    </xf>
    <xf numFmtId="0" fontId="13" fillId="0" borderId="5" xfId="0" applyFont="1" applyBorder="1" applyAlignment="1">
      <alignment horizontal="right"/>
    </xf>
    <xf numFmtId="165" fontId="13" fillId="0" borderId="5" xfId="0" applyNumberFormat="1" applyFont="1" applyBorder="1" applyAlignment="1">
      <alignment horizontal="right"/>
    </xf>
    <xf numFmtId="0" fontId="13" fillId="0" borderId="5" xfId="0" applyFont="1" applyBorder="1" applyAlignment="1">
      <alignment horizontal="right" wrapText="1"/>
    </xf>
    <xf numFmtId="164" fontId="13" fillId="0" borderId="5" xfId="0" applyNumberFormat="1" applyFont="1" applyBorder="1" applyAlignment="1">
      <alignment horizontal="right"/>
    </xf>
    <xf numFmtId="0" fontId="0" fillId="0" borderId="6" xfId="0" applyBorder="1"/>
    <xf numFmtId="0" fontId="18" fillId="0" borderId="6" xfId="0" applyFont="1" applyBorder="1"/>
    <xf numFmtId="164" fontId="18" fillId="0" borderId="6" xfId="0" applyNumberFormat="1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4" fillId="0" borderId="0" xfId="0" applyFont="1" applyAlignment="1">
      <alignment horizontal="center" wrapText="1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166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vertical="center"/>
    </xf>
    <xf numFmtId="0" fontId="13" fillId="0" borderId="1" xfId="0" applyFont="1" applyBorder="1"/>
    <xf numFmtId="0" fontId="18" fillId="0" borderId="0" xfId="0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15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left" vertical="top"/>
    </xf>
    <xf numFmtId="0" fontId="13" fillId="0" borderId="4" xfId="0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4" fillId="0" borderId="4" xfId="0" applyFont="1" applyBorder="1" applyAlignment="1">
      <alignment horizontal="center" wrapText="1"/>
    </xf>
    <xf numFmtId="0" fontId="13" fillId="0" borderId="3" xfId="0" applyFont="1" applyBorder="1" applyAlignment="1">
      <alignment horizontal="left" vertical="top"/>
    </xf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right" wrapText="1"/>
    </xf>
    <xf numFmtId="0" fontId="13" fillId="0" borderId="3" xfId="0" applyFont="1" applyBorder="1" applyAlignment="1">
      <alignment horizontal="right"/>
    </xf>
    <xf numFmtId="0" fontId="13" fillId="0" borderId="4" xfId="0" applyFont="1" applyBorder="1" applyAlignment="1">
      <alignment horizontal="left" vertical="top"/>
    </xf>
    <xf numFmtId="0" fontId="13" fillId="0" borderId="4" xfId="0" applyFont="1" applyBorder="1" applyAlignment="1">
      <alignment horizontal="left" wrapText="1"/>
    </xf>
    <xf numFmtId="0" fontId="13" fillId="0" borderId="4" xfId="0" applyFont="1" applyBorder="1" applyAlignment="1">
      <alignment horizontal="right" wrapText="1"/>
    </xf>
    <xf numFmtId="0" fontId="13" fillId="0" borderId="4" xfId="0" applyFont="1" applyBorder="1" applyAlignment="1">
      <alignment horizontal="right"/>
    </xf>
    <xf numFmtId="0" fontId="14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49" fontId="13" fillId="0" borderId="3" xfId="0" applyNumberFormat="1" applyFont="1" applyBorder="1" applyAlignment="1">
      <alignment horizontal="left" vertical="top" wrapText="1"/>
    </xf>
    <xf numFmtId="164" fontId="13" fillId="0" borderId="3" xfId="0" applyNumberFormat="1" applyFont="1" applyBorder="1" applyAlignment="1">
      <alignment horizontal="right" wrapText="1"/>
    </xf>
    <xf numFmtId="0" fontId="18" fillId="0" borderId="3" xfId="0" applyFont="1" applyBorder="1" applyAlignment="1">
      <alignment horizontal="right"/>
    </xf>
    <xf numFmtId="164" fontId="18" fillId="0" borderId="3" xfId="0" applyNumberFormat="1" applyFont="1" applyBorder="1" applyAlignment="1">
      <alignment horizontal="right"/>
    </xf>
    <xf numFmtId="0" fontId="14" fillId="0" borderId="8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13" fillId="2" borderId="0" xfId="0" applyFont="1" applyFill="1" applyAlignment="1">
      <alignment horizontal="left" vertical="top"/>
    </xf>
    <xf numFmtId="0" fontId="13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right" wrapText="1"/>
    </xf>
    <xf numFmtId="0" fontId="13" fillId="2" borderId="0" xfId="0" applyFont="1" applyFill="1" applyAlignment="1">
      <alignment horizontal="right"/>
    </xf>
    <xf numFmtId="165" fontId="13" fillId="2" borderId="0" xfId="0" applyNumberFormat="1" applyFont="1" applyFill="1" applyAlignment="1">
      <alignment horizontal="right"/>
    </xf>
    <xf numFmtId="0" fontId="13" fillId="2" borderId="0" xfId="0" quotePrefix="1" applyFont="1" applyFill="1" applyAlignment="1">
      <alignment horizontal="right" wrapText="1"/>
    </xf>
    <xf numFmtId="164" fontId="13" fillId="2" borderId="0" xfId="0" applyNumberFormat="1" applyFont="1" applyFill="1" applyAlignment="1">
      <alignment horizontal="right"/>
    </xf>
    <xf numFmtId="0" fontId="13" fillId="2" borderId="5" xfId="0" applyFont="1" applyFill="1" applyBorder="1" applyAlignment="1">
      <alignment horizontal="left" vertical="top"/>
    </xf>
    <xf numFmtId="0" fontId="13" fillId="2" borderId="5" xfId="0" applyFont="1" applyFill="1" applyBorder="1" applyAlignment="1">
      <alignment horizontal="left" vertical="top" wrapText="1"/>
    </xf>
    <xf numFmtId="0" fontId="19" fillId="2" borderId="5" xfId="0" applyFont="1" applyFill="1" applyBorder="1" applyAlignment="1">
      <alignment horizontal="right" wrapText="1"/>
    </xf>
    <xf numFmtId="0" fontId="13" fillId="2" borderId="5" xfId="0" applyFont="1" applyFill="1" applyBorder="1" applyAlignment="1">
      <alignment horizontal="right"/>
    </xf>
    <xf numFmtId="165" fontId="13" fillId="2" borderId="5" xfId="0" applyNumberFormat="1" applyFont="1" applyFill="1" applyBorder="1" applyAlignment="1">
      <alignment horizontal="right"/>
    </xf>
    <xf numFmtId="0" fontId="13" fillId="2" borderId="5" xfId="0" applyFont="1" applyFill="1" applyBorder="1" applyAlignment="1">
      <alignment horizontal="right" wrapText="1"/>
    </xf>
    <xf numFmtId="164" fontId="13" fillId="2" borderId="5" xfId="0" applyNumberFormat="1" applyFont="1" applyFill="1" applyBorder="1" applyAlignment="1">
      <alignment horizontal="right"/>
    </xf>
    <xf numFmtId="0" fontId="0" fillId="2" borderId="6" xfId="0" applyFill="1" applyBorder="1"/>
    <xf numFmtId="0" fontId="18" fillId="2" borderId="6" xfId="0" applyFont="1" applyFill="1" applyBorder="1"/>
    <xf numFmtId="164" fontId="18" fillId="2" borderId="6" xfId="0" applyNumberFormat="1" applyFont="1" applyFill="1" applyBorder="1" applyAlignment="1">
      <alignment horizontal="right"/>
    </xf>
    <xf numFmtId="0" fontId="0" fillId="2" borderId="0" xfId="0" applyFill="1"/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79"/>
  <sheetViews>
    <sheetView tabSelected="1" topLeftCell="A216" zoomScaleNormal="100" workbookViewId="0">
      <selection activeCell="A224" sqref="A224:K230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6" width="11.7109375" customWidth="1"/>
    <col min="7" max="7" width="12.7109375" customWidth="1"/>
    <col min="8" max="8" width="10.7109375" customWidth="1"/>
    <col min="9" max="11" width="12.7109375" customWidth="1"/>
    <col min="15" max="30" width="0" hidden="1" customWidth="1"/>
    <col min="31" max="31" width="150.7109375" hidden="1" customWidth="1"/>
    <col min="32" max="36" width="0" hidden="1" customWidth="1"/>
  </cols>
  <sheetData>
    <row r="1" spans="1:11" x14ac:dyDescent="0.2">
      <c r="A1" s="11" t="str">
        <f>Source!B1</f>
        <v>Smeta.RU  (495) 974-1589</v>
      </c>
    </row>
    <row r="2" spans="1:11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 t="s">
        <v>291</v>
      </c>
    </row>
    <row r="3" spans="1:11" ht="16.5" x14ac:dyDescent="0.25">
      <c r="A3" s="14"/>
      <c r="B3" s="15" t="s">
        <v>289</v>
      </c>
      <c r="C3" s="15"/>
      <c r="D3" s="15"/>
      <c r="E3" s="15"/>
      <c r="F3" s="13"/>
      <c r="G3" s="15" t="s">
        <v>290</v>
      </c>
      <c r="H3" s="15"/>
      <c r="I3" s="15"/>
      <c r="J3" s="15"/>
      <c r="K3" s="15"/>
    </row>
    <row r="4" spans="1:11" ht="14.25" x14ac:dyDescent="0.2">
      <c r="A4" s="13"/>
      <c r="B4" s="16"/>
      <c r="C4" s="16"/>
      <c r="D4" s="16"/>
      <c r="E4" s="16"/>
      <c r="F4" s="13"/>
      <c r="G4" s="16"/>
      <c r="H4" s="16"/>
      <c r="I4" s="16"/>
      <c r="J4" s="16"/>
      <c r="K4" s="16"/>
    </row>
    <row r="5" spans="1:11" ht="14.25" x14ac:dyDescent="0.2">
      <c r="A5" s="17"/>
      <c r="B5" s="17"/>
      <c r="C5" s="18"/>
      <c r="D5" s="18"/>
      <c r="E5" s="18"/>
      <c r="F5" s="13"/>
      <c r="G5" s="19"/>
      <c r="H5" s="18"/>
      <c r="I5" s="18"/>
      <c r="J5" s="18"/>
      <c r="K5" s="19"/>
    </row>
    <row r="6" spans="1:11" ht="14.25" x14ac:dyDescent="0.2">
      <c r="A6" s="19"/>
      <c r="B6" s="16" t="str">
        <f>CONCATENATE("______________________ ", IF(Source!AL12&lt;&gt;"", Source!AL12, ""))</f>
        <v xml:space="preserve">______________________ </v>
      </c>
      <c r="C6" s="16"/>
      <c r="D6" s="16"/>
      <c r="E6" s="16"/>
      <c r="F6" s="13"/>
      <c r="G6" s="16" t="str">
        <f>CONCATENATE("______________________ ", IF(Source!AH12&lt;&gt;"", Source!AH12, ""))</f>
        <v xml:space="preserve">______________________ </v>
      </c>
      <c r="H6" s="16"/>
      <c r="I6" s="16"/>
      <c r="J6" s="16"/>
      <c r="K6" s="16"/>
    </row>
    <row r="7" spans="1:11" ht="14.25" x14ac:dyDescent="0.2">
      <c r="A7" s="20"/>
      <c r="B7" s="21" t="s">
        <v>292</v>
      </c>
      <c r="C7" s="21"/>
      <c r="D7" s="21"/>
      <c r="E7" s="21"/>
      <c r="F7" s="13"/>
      <c r="G7" s="21" t="s">
        <v>292</v>
      </c>
      <c r="H7" s="21"/>
      <c r="I7" s="21"/>
      <c r="J7" s="21"/>
      <c r="K7" s="21"/>
    </row>
    <row r="9" spans="1:11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15.75" x14ac:dyDescent="0.25">
      <c r="A10" s="22" t="str">
        <f>IF(Source!G12&lt;&gt;"Новый объект", Source!G12, "")</f>
        <v>12 СКУД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x14ac:dyDescent="0.2">
      <c r="A11" s="23" t="s">
        <v>293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5.75" x14ac:dyDescent="0.25">
      <c r="A13" s="22" t="str">
        <f>CONCATENATE( "ЛОКАЛЬНАЯ СМЕТА № ",IF(Source!F20&lt;&gt;"Новая локальная смета", Source!F20, ""))</f>
        <v>ЛОКАЛЬНАЯ СМЕТА № 02-01-12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ht="14.25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ht="18" x14ac:dyDescent="0.25">
      <c r="A15" s="25" t="str">
        <f>IF(Source!G20&lt;&gt;"Новая локальная смета", Source!G20, "")</f>
        <v>Система контроля доступа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">
      <c r="A16" s="26" t="s">
        <v>294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31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31" ht="14.25" x14ac:dyDescent="0.2">
      <c r="A18" s="28" t="str">
        <f>CONCATENATE( "Основание: чертежи № ", Source!J20)</f>
        <v xml:space="preserve">Основание: чертежи № 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31" ht="14.25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</row>
    <row r="20" spans="1:31" ht="28.5" x14ac:dyDescent="0.2">
      <c r="A20" s="13"/>
      <c r="B20" s="13"/>
      <c r="C20" s="13"/>
      <c r="D20" s="13"/>
      <c r="E20" s="13"/>
      <c r="F20" s="13"/>
      <c r="G20" s="13"/>
      <c r="H20" s="13"/>
      <c r="I20" s="30" t="s">
        <v>295</v>
      </c>
      <c r="J20" s="30" t="s">
        <v>296</v>
      </c>
      <c r="K20" s="13"/>
    </row>
    <row r="21" spans="1:31" ht="15" x14ac:dyDescent="0.25">
      <c r="A21" s="13"/>
      <c r="B21" s="13"/>
      <c r="C21" s="13"/>
      <c r="D21" s="13"/>
      <c r="E21" s="13"/>
      <c r="F21" s="31" t="s">
        <v>297</v>
      </c>
      <c r="G21" s="31"/>
      <c r="H21" s="31"/>
      <c r="I21" s="32">
        <f>(Source!F156/1000)</f>
        <v>50.118160000000003</v>
      </c>
      <c r="J21" s="32">
        <f>(Source!P156/1000)</f>
        <v>389.20071999999999</v>
      </c>
      <c r="K21" s="33" t="s">
        <v>298</v>
      </c>
    </row>
    <row r="22" spans="1:31" ht="14.25" x14ac:dyDescent="0.2">
      <c r="A22" s="13"/>
      <c r="B22" s="13"/>
      <c r="C22" s="13"/>
      <c r="D22" s="13"/>
      <c r="E22" s="13"/>
      <c r="F22" s="16" t="s">
        <v>39</v>
      </c>
      <c r="G22" s="16"/>
      <c r="H22" s="16"/>
      <c r="I22" s="34">
        <f>(Source!F146)/1000</f>
        <v>0.14005999999999999</v>
      </c>
      <c r="J22" s="34">
        <f>(Source!P146)/1000</f>
        <v>5.7203400000000002</v>
      </c>
      <c r="K22" s="13" t="s">
        <v>298</v>
      </c>
    </row>
    <row r="23" spans="1:31" ht="14.25" x14ac:dyDescent="0.2">
      <c r="A23" s="13"/>
      <c r="B23" s="13"/>
      <c r="C23" s="13"/>
      <c r="D23" s="13"/>
      <c r="E23" s="13"/>
      <c r="F23" s="16" t="s">
        <v>299</v>
      </c>
      <c r="G23" s="16"/>
      <c r="H23" s="16"/>
      <c r="I23" s="34">
        <f>(Source!F147)/1000</f>
        <v>18.078689999999998</v>
      </c>
      <c r="J23" s="34">
        <f>(Source!P147)/1000</f>
        <v>199.92698999999999</v>
      </c>
      <c r="K23" s="13" t="s">
        <v>298</v>
      </c>
    </row>
    <row r="24" spans="1:31" ht="14.25" x14ac:dyDescent="0.2">
      <c r="A24" s="13"/>
      <c r="B24" s="13"/>
      <c r="C24" s="13"/>
      <c r="D24" s="13"/>
      <c r="E24" s="13"/>
      <c r="F24" s="16" t="s">
        <v>163</v>
      </c>
      <c r="G24" s="16"/>
      <c r="H24" s="16"/>
      <c r="I24" s="34">
        <f>(Source!F138)/1000</f>
        <v>31.380369999999999</v>
      </c>
      <c r="J24" s="34">
        <f>(Source!P138)/1000</f>
        <v>160.02420999999998</v>
      </c>
      <c r="K24" s="13" t="s">
        <v>298</v>
      </c>
    </row>
    <row r="25" spans="1:31" ht="14.25" x14ac:dyDescent="0.2">
      <c r="A25" s="13"/>
      <c r="B25" s="13"/>
      <c r="C25" s="13"/>
      <c r="D25" s="13"/>
      <c r="E25" s="13"/>
      <c r="F25" s="16" t="s">
        <v>300</v>
      </c>
      <c r="G25" s="16"/>
      <c r="H25" s="16"/>
      <c r="I25" s="34">
        <f>(Source!F148+Source!F149)/1000</f>
        <v>0.51903999999999995</v>
      </c>
      <c r="J25" s="34">
        <f>(Source!P148+Source!P149)/1000</f>
        <v>23.52918</v>
      </c>
      <c r="K25" s="13" t="s">
        <v>298</v>
      </c>
    </row>
    <row r="26" spans="1:31" ht="14.25" x14ac:dyDescent="0.2">
      <c r="A26" s="13"/>
      <c r="B26" s="13"/>
      <c r="C26" s="13"/>
      <c r="D26" s="13"/>
      <c r="E26" s="13"/>
      <c r="F26" s="16" t="s">
        <v>301</v>
      </c>
      <c r="G26" s="16"/>
      <c r="H26" s="16"/>
      <c r="I26" s="34">
        <f>(Source!F144+ Source!F143)/1000</f>
        <v>3.0840799999999997</v>
      </c>
      <c r="J26" s="34">
        <f>((Source!P144 + Source!P143)/1000)</f>
        <v>66.893630000000002</v>
      </c>
      <c r="K26" s="13" t="s">
        <v>298</v>
      </c>
    </row>
    <row r="27" spans="1:31" ht="14.25" x14ac:dyDescent="0.2">
      <c r="A27" s="13"/>
      <c r="B27" s="13"/>
      <c r="C27" s="13"/>
      <c r="D27" s="13"/>
      <c r="E27" s="13"/>
      <c r="F27" s="16" t="s">
        <v>302</v>
      </c>
      <c r="G27" s="16"/>
      <c r="H27" s="16"/>
      <c r="I27" s="34">
        <f>Source!F151</f>
        <v>184</v>
      </c>
      <c r="J27" s="34"/>
      <c r="K27" s="13" t="s">
        <v>251</v>
      </c>
    </row>
    <row r="28" spans="1:31" ht="14.25" hidden="1" x14ac:dyDescent="0.2">
      <c r="A28" s="13"/>
      <c r="B28" s="13"/>
      <c r="C28" s="13"/>
      <c r="D28" s="13"/>
      <c r="E28" s="13"/>
      <c r="F28" s="35" t="s">
        <v>303</v>
      </c>
      <c r="G28" s="35"/>
      <c r="H28" s="35"/>
      <c r="I28" s="34"/>
      <c r="J28" s="34"/>
      <c r="K28" s="13"/>
    </row>
    <row r="29" spans="1:31" ht="14.25" hidden="1" x14ac:dyDescent="0.2">
      <c r="A29" s="13"/>
      <c r="B29" s="13"/>
      <c r="C29" s="13"/>
      <c r="D29" s="13"/>
      <c r="E29" s="13"/>
      <c r="F29" s="36" t="s">
        <v>230</v>
      </c>
      <c r="G29" s="37"/>
      <c r="H29" s="37"/>
      <c r="I29" s="34">
        <f>SUM(Y35:Y240)/1000</f>
        <v>0</v>
      </c>
      <c r="J29" s="34">
        <f>SUM(Z35:Z240)/1000</f>
        <v>0</v>
      </c>
      <c r="K29" s="13" t="s">
        <v>298</v>
      </c>
    </row>
    <row r="30" spans="1:31" ht="14.25" x14ac:dyDescent="0.2">
      <c r="A30" s="13"/>
      <c r="B30" s="13"/>
      <c r="C30" s="13"/>
      <c r="D30" s="13"/>
      <c r="E30" s="13"/>
      <c r="F30" s="19"/>
      <c r="G30" s="19"/>
      <c r="H30" s="19"/>
      <c r="I30" s="34"/>
      <c r="J30" s="34"/>
      <c r="K30" s="13"/>
    </row>
    <row r="31" spans="1:31" ht="14.25" x14ac:dyDescent="0.2">
      <c r="A31" s="13" t="s">
        <v>314</v>
      </c>
      <c r="B31" s="13"/>
      <c r="C31" s="13"/>
      <c r="D31" s="13"/>
      <c r="E31" s="13"/>
      <c r="F31" s="19"/>
      <c r="G31" s="19"/>
      <c r="H31" s="19"/>
      <c r="I31" s="34"/>
      <c r="J31" s="34"/>
      <c r="K31" s="13"/>
    </row>
    <row r="32" spans="1:31" ht="28.5" x14ac:dyDescent="0.2">
      <c r="A32" s="28" t="s">
        <v>315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AE32" s="40" t="s">
        <v>315</v>
      </c>
    </row>
    <row r="33" spans="1:22" ht="85.5" x14ac:dyDescent="0.2">
      <c r="A33" s="38" t="s">
        <v>304</v>
      </c>
      <c r="B33" s="38" t="s">
        <v>305</v>
      </c>
      <c r="C33" s="38" t="s">
        <v>306</v>
      </c>
      <c r="D33" s="38" t="s">
        <v>307</v>
      </c>
      <c r="E33" s="38" t="s">
        <v>308</v>
      </c>
      <c r="F33" s="38" t="s">
        <v>309</v>
      </c>
      <c r="G33" s="39" t="s">
        <v>310</v>
      </c>
      <c r="H33" s="39" t="s">
        <v>311</v>
      </c>
      <c r="I33" s="38" t="s">
        <v>316</v>
      </c>
      <c r="J33" s="38" t="s">
        <v>312</v>
      </c>
      <c r="K33" s="38" t="s">
        <v>313</v>
      </c>
    </row>
    <row r="34" spans="1:22" ht="14.25" x14ac:dyDescent="0.2">
      <c r="A34" s="38">
        <v>1</v>
      </c>
      <c r="B34" s="38">
        <v>2</v>
      </c>
      <c r="C34" s="38">
        <v>3</v>
      </c>
      <c r="D34" s="38">
        <v>4</v>
      </c>
      <c r="E34" s="38">
        <v>5</v>
      </c>
      <c r="F34" s="38">
        <v>6</v>
      </c>
      <c r="G34" s="38">
        <v>7</v>
      </c>
      <c r="H34" s="38">
        <v>8</v>
      </c>
      <c r="I34" s="38">
        <v>9</v>
      </c>
      <c r="J34" s="38">
        <v>10</v>
      </c>
      <c r="K34" s="38">
        <v>11</v>
      </c>
    </row>
    <row r="35" spans="1:22" ht="14.25" x14ac:dyDescent="0.2">
      <c r="A35" s="41" t="str">
        <f>Source!E24</f>
        <v>1</v>
      </c>
      <c r="B35" s="42" t="str">
        <f>Source!F24</f>
        <v>4.10-176-1</v>
      </c>
      <c r="C35" s="42" t="s">
        <v>16</v>
      </c>
      <c r="D35" s="43" t="str">
        <f>Source!H24</f>
        <v>10 шт.</v>
      </c>
      <c r="E35" s="12">
        <f>Source!I24</f>
        <v>0.4</v>
      </c>
      <c r="F35" s="45"/>
      <c r="G35" s="44"/>
      <c r="H35" s="12"/>
      <c r="I35" s="46"/>
      <c r="J35" s="12"/>
      <c r="K35" s="46"/>
      <c r="Q35">
        <f>Source!X24</f>
        <v>0</v>
      </c>
      <c r="R35">
        <f>Source!X25</f>
        <v>3146.39</v>
      </c>
      <c r="S35">
        <f>Source!Y24</f>
        <v>0</v>
      </c>
      <c r="T35">
        <f>Source!Y25</f>
        <v>1675.35</v>
      </c>
      <c r="U35">
        <f>ROUND((175/100)*ROUND(Source!R24, 2), 2)</f>
        <v>0.14000000000000001</v>
      </c>
      <c r="V35">
        <f>ROUND((157/100)*ROUND(Source!R25, 2), 2)</f>
        <v>2.73</v>
      </c>
    </row>
    <row r="36" spans="1:22" x14ac:dyDescent="0.2">
      <c r="C36" s="47" t="str">
        <f>"Объем: "&amp;Source!I24&amp;"=4/"&amp;"10"</f>
        <v>Объем: 0,4=4/10</v>
      </c>
    </row>
    <row r="37" spans="1:22" ht="14.25" x14ac:dyDescent="0.2">
      <c r="A37" s="41"/>
      <c r="B37" s="42"/>
      <c r="C37" s="42" t="s">
        <v>317</v>
      </c>
      <c r="D37" s="43"/>
      <c r="E37" s="12"/>
      <c r="F37" s="45">
        <f>Source!AO24</f>
        <v>470.98</v>
      </c>
      <c r="G37" s="44" t="str">
        <f>Source!DG24</f>
        <v/>
      </c>
      <c r="H37" s="12">
        <f>Source!AV25</f>
        <v>1</v>
      </c>
      <c r="I37" s="46">
        <f>Source!S24</f>
        <v>188.39</v>
      </c>
      <c r="J37" s="12">
        <f>IF(Source!BA25&lt;&gt; 0, Source!BA25, 1)</f>
        <v>21.69</v>
      </c>
      <c r="K37" s="46">
        <f>Source!S25</f>
        <v>4086.22</v>
      </c>
    </row>
    <row r="38" spans="1:22" ht="14.25" x14ac:dyDescent="0.2">
      <c r="A38" s="41"/>
      <c r="B38" s="42"/>
      <c r="C38" s="42" t="s">
        <v>318</v>
      </c>
      <c r="D38" s="43"/>
      <c r="E38" s="12"/>
      <c r="F38" s="45">
        <f>Source!AM24</f>
        <v>1.1100000000000001</v>
      </c>
      <c r="G38" s="44" t="str">
        <f>Source!DE24</f>
        <v/>
      </c>
      <c r="H38" s="12">
        <f>Source!AV25</f>
        <v>1</v>
      </c>
      <c r="I38" s="46">
        <f>Source!Q24</f>
        <v>0.44</v>
      </c>
      <c r="J38" s="12">
        <f>IF(Source!BB25&lt;&gt; 0, Source!BB25, 1)</f>
        <v>8.2100000000000009</v>
      </c>
      <c r="K38" s="46">
        <f>Source!Q25</f>
        <v>3.65</v>
      </c>
    </row>
    <row r="39" spans="1:22" ht="14.25" x14ac:dyDescent="0.2">
      <c r="A39" s="41"/>
      <c r="B39" s="42"/>
      <c r="C39" s="42" t="s">
        <v>319</v>
      </c>
      <c r="D39" s="43"/>
      <c r="E39" s="12"/>
      <c r="F39" s="45">
        <f>Source!AN24</f>
        <v>0.2</v>
      </c>
      <c r="G39" s="44" t="str">
        <f>Source!DF24</f>
        <v/>
      </c>
      <c r="H39" s="12">
        <f>Source!AV25</f>
        <v>1</v>
      </c>
      <c r="I39" s="48">
        <f>Source!R24</f>
        <v>0.08</v>
      </c>
      <c r="J39" s="12">
        <f>IF(Source!BS25&lt;&gt; 0, Source!BS25, 1)</f>
        <v>21.69</v>
      </c>
      <c r="K39" s="48">
        <f>Source!R25</f>
        <v>1.74</v>
      </c>
    </row>
    <row r="40" spans="1:22" ht="14.25" x14ac:dyDescent="0.2">
      <c r="A40" s="41"/>
      <c r="B40" s="42"/>
      <c r="C40" s="42" t="s">
        <v>320</v>
      </c>
      <c r="D40" s="43"/>
      <c r="E40" s="12"/>
      <c r="F40" s="45">
        <f>Source!AL24</f>
        <v>1.23</v>
      </c>
      <c r="G40" s="44" t="str">
        <f>Source!DD24</f>
        <v/>
      </c>
      <c r="H40" s="12">
        <f>Source!AW25</f>
        <v>1</v>
      </c>
      <c r="I40" s="46">
        <f>Source!P24</f>
        <v>0.49</v>
      </c>
      <c r="J40" s="12">
        <f>IF(Source!BC25&lt;&gt; 0, Source!BC25, 1)</f>
        <v>5.41</v>
      </c>
      <c r="K40" s="46">
        <f>Source!P25</f>
        <v>2.66</v>
      </c>
    </row>
    <row r="41" spans="1:22" ht="14.25" x14ac:dyDescent="0.2">
      <c r="A41" s="41"/>
      <c r="B41" s="42"/>
      <c r="C41" s="42" t="s">
        <v>321</v>
      </c>
      <c r="D41" s="43" t="s">
        <v>322</v>
      </c>
      <c r="E41" s="12">
        <f>Source!DN25</f>
        <v>114</v>
      </c>
      <c r="F41" s="45"/>
      <c r="G41" s="44"/>
      <c r="H41" s="12"/>
      <c r="I41" s="46">
        <f>SUM(Q35:Q40)</f>
        <v>0</v>
      </c>
      <c r="J41" s="12">
        <f>Source!BZ25</f>
        <v>77</v>
      </c>
      <c r="K41" s="46">
        <f>SUM(R35:R40)</f>
        <v>3146.39</v>
      </c>
    </row>
    <row r="42" spans="1:22" ht="14.25" x14ac:dyDescent="0.2">
      <c r="A42" s="41"/>
      <c r="B42" s="42"/>
      <c r="C42" s="42" t="s">
        <v>323</v>
      </c>
      <c r="D42" s="43" t="s">
        <v>322</v>
      </c>
      <c r="E42" s="12">
        <f>Source!DO25</f>
        <v>67</v>
      </c>
      <c r="F42" s="45"/>
      <c r="G42" s="44"/>
      <c r="H42" s="12"/>
      <c r="I42" s="46">
        <f>SUM(S35:S41)</f>
        <v>0</v>
      </c>
      <c r="J42" s="12">
        <f>Source!CA25</f>
        <v>41</v>
      </c>
      <c r="K42" s="46">
        <f>SUM(T35:T41)</f>
        <v>1675.35</v>
      </c>
    </row>
    <row r="43" spans="1:22" ht="14.25" x14ac:dyDescent="0.2">
      <c r="A43" s="41"/>
      <c r="B43" s="42"/>
      <c r="C43" s="42" t="s">
        <v>324</v>
      </c>
      <c r="D43" s="43" t="s">
        <v>322</v>
      </c>
      <c r="E43" s="12">
        <f>175</f>
        <v>175</v>
      </c>
      <c r="F43" s="45"/>
      <c r="G43" s="44"/>
      <c r="H43" s="12"/>
      <c r="I43" s="46">
        <f>SUM(U35:U42)</f>
        <v>0.14000000000000001</v>
      </c>
      <c r="J43" s="12">
        <f>157</f>
        <v>157</v>
      </c>
      <c r="K43" s="46">
        <f>SUM(V35:V42)</f>
        <v>2.73</v>
      </c>
    </row>
    <row r="44" spans="1:22" ht="14.25" x14ac:dyDescent="0.2">
      <c r="A44" s="52"/>
      <c r="B44" s="53"/>
      <c r="C44" s="53" t="s">
        <v>325</v>
      </c>
      <c r="D44" s="54" t="s">
        <v>326</v>
      </c>
      <c r="E44" s="55">
        <f>Source!AQ24</f>
        <v>29.96</v>
      </c>
      <c r="F44" s="56"/>
      <c r="G44" s="57" t="str">
        <f>Source!DI24</f>
        <v/>
      </c>
      <c r="H44" s="55">
        <f>Source!AV25</f>
        <v>1</v>
      </c>
      <c r="I44" s="58">
        <f>Source!U24</f>
        <v>11.984000000000002</v>
      </c>
      <c r="J44" s="55"/>
      <c r="K44" s="58"/>
    </row>
    <row r="45" spans="1:22" ht="15" x14ac:dyDescent="0.25">
      <c r="A45" s="59"/>
      <c r="B45" s="59"/>
      <c r="C45" s="60" t="s">
        <v>327</v>
      </c>
      <c r="D45" s="59"/>
      <c r="E45" s="59"/>
      <c r="F45" s="59"/>
      <c r="G45" s="59"/>
      <c r="H45" s="61">
        <f>I37+I38+I40+I41+I42+I43</f>
        <v>189.45999999999998</v>
      </c>
      <c r="I45" s="61"/>
      <c r="J45" s="61">
        <f>K37+K38+K40+K41+K42+K43</f>
        <v>8917</v>
      </c>
      <c r="K45" s="61"/>
      <c r="O45" s="49">
        <f>I37+I38+I40+I41+I42+I43</f>
        <v>189.45999999999998</v>
      </c>
      <c r="P45" s="49">
        <f>K37+K38+K40+K41+K42+K43</f>
        <v>8917</v>
      </c>
    </row>
    <row r="47" spans="1:22" ht="28.5" x14ac:dyDescent="0.2">
      <c r="A47" s="41" t="str">
        <f>Source!E26</f>
        <v>2</v>
      </c>
      <c r="B47" s="42" t="str">
        <f>Source!F26</f>
        <v>4.10-173-2</v>
      </c>
      <c r="C47" s="42" t="s">
        <v>24</v>
      </c>
      <c r="D47" s="43" t="str">
        <f>Source!H26</f>
        <v>1  ШТ.</v>
      </c>
      <c r="E47" s="12">
        <f>Source!I26</f>
        <v>3</v>
      </c>
      <c r="F47" s="45"/>
      <c r="G47" s="44"/>
      <c r="H47" s="12"/>
      <c r="I47" s="46"/>
      <c r="J47" s="12"/>
      <c r="K47" s="46"/>
      <c r="Q47">
        <f>Source!X26</f>
        <v>0</v>
      </c>
      <c r="R47">
        <f>Source!X27</f>
        <v>2010.67</v>
      </c>
      <c r="S47">
        <f>Source!Y26</f>
        <v>0</v>
      </c>
      <c r="T47">
        <f>Source!Y27</f>
        <v>1070.6199999999999</v>
      </c>
      <c r="U47">
        <f>ROUND((175/100)*ROUND(Source!R26, 2), 2)</f>
        <v>0</v>
      </c>
      <c r="V47">
        <f>ROUND((157/100)*ROUND(Source!R27, 2), 2)</f>
        <v>0</v>
      </c>
    </row>
    <row r="48" spans="1:22" ht="14.25" x14ac:dyDescent="0.2">
      <c r="A48" s="41"/>
      <c r="B48" s="42"/>
      <c r="C48" s="42" t="s">
        <v>317</v>
      </c>
      <c r="D48" s="43"/>
      <c r="E48" s="12"/>
      <c r="F48" s="45">
        <f>Source!AO26</f>
        <v>40.130000000000003</v>
      </c>
      <c r="G48" s="44" t="str">
        <f>Source!DG26</f>
        <v/>
      </c>
      <c r="H48" s="12">
        <f>Source!AV27</f>
        <v>1</v>
      </c>
      <c r="I48" s="46">
        <f>Source!S26</f>
        <v>120.39</v>
      </c>
      <c r="J48" s="12">
        <f>IF(Source!BA27&lt;&gt; 0, Source!BA27, 1)</f>
        <v>21.69</v>
      </c>
      <c r="K48" s="46">
        <f>Source!S27</f>
        <v>2611.2600000000002</v>
      </c>
    </row>
    <row r="49" spans="1:22" ht="14.25" x14ac:dyDescent="0.2">
      <c r="A49" s="41"/>
      <c r="B49" s="42"/>
      <c r="C49" s="42" t="s">
        <v>320</v>
      </c>
      <c r="D49" s="43"/>
      <c r="E49" s="12"/>
      <c r="F49" s="45">
        <f>Source!AL26</f>
        <v>1.5</v>
      </c>
      <c r="G49" s="44" t="str">
        <f>Source!DD26</f>
        <v/>
      </c>
      <c r="H49" s="12">
        <f>Source!AW27</f>
        <v>1</v>
      </c>
      <c r="I49" s="46">
        <f>Source!P26</f>
        <v>4.5</v>
      </c>
      <c r="J49" s="12">
        <f>IF(Source!BC27&lt;&gt; 0, Source!BC27, 1)</f>
        <v>5.41</v>
      </c>
      <c r="K49" s="46">
        <f>Source!P27</f>
        <v>24.35</v>
      </c>
    </row>
    <row r="50" spans="1:22" ht="14.25" x14ac:dyDescent="0.2">
      <c r="A50" s="41"/>
      <c r="B50" s="42"/>
      <c r="C50" s="42" t="s">
        <v>321</v>
      </c>
      <c r="D50" s="43" t="s">
        <v>322</v>
      </c>
      <c r="E50" s="12">
        <f>Source!DN27</f>
        <v>114</v>
      </c>
      <c r="F50" s="45"/>
      <c r="G50" s="44"/>
      <c r="H50" s="12"/>
      <c r="I50" s="46">
        <f>SUM(Q47:Q49)</f>
        <v>0</v>
      </c>
      <c r="J50" s="12">
        <f>Source!BZ27</f>
        <v>77</v>
      </c>
      <c r="K50" s="46">
        <f>SUM(R47:R49)</f>
        <v>2010.67</v>
      </c>
    </row>
    <row r="51" spans="1:22" ht="14.25" x14ac:dyDescent="0.2">
      <c r="A51" s="41"/>
      <c r="B51" s="42"/>
      <c r="C51" s="42" t="s">
        <v>323</v>
      </c>
      <c r="D51" s="43" t="s">
        <v>322</v>
      </c>
      <c r="E51" s="12">
        <f>Source!DO27</f>
        <v>67</v>
      </c>
      <c r="F51" s="45"/>
      <c r="G51" s="44"/>
      <c r="H51" s="12"/>
      <c r="I51" s="46">
        <f>SUM(S47:S50)</f>
        <v>0</v>
      </c>
      <c r="J51" s="12">
        <f>Source!CA27</f>
        <v>41</v>
      </c>
      <c r="K51" s="46">
        <f>SUM(T47:T50)</f>
        <v>1070.6199999999999</v>
      </c>
    </row>
    <row r="52" spans="1:22" ht="14.25" x14ac:dyDescent="0.2">
      <c r="A52" s="52"/>
      <c r="B52" s="53"/>
      <c r="C52" s="53" t="s">
        <v>325</v>
      </c>
      <c r="D52" s="54" t="s">
        <v>326</v>
      </c>
      <c r="E52" s="55">
        <f>Source!AQ26</f>
        <v>3.18</v>
      </c>
      <c r="F52" s="56"/>
      <c r="G52" s="57" t="str">
        <f>Source!DI26</f>
        <v/>
      </c>
      <c r="H52" s="55">
        <f>Source!AV27</f>
        <v>1</v>
      </c>
      <c r="I52" s="58">
        <f>Source!U26</f>
        <v>9.5400000000000009</v>
      </c>
      <c r="J52" s="55"/>
      <c r="K52" s="58"/>
    </row>
    <row r="53" spans="1:22" ht="15" x14ac:dyDescent="0.25">
      <c r="A53" s="59"/>
      <c r="B53" s="59"/>
      <c r="C53" s="60" t="s">
        <v>327</v>
      </c>
      <c r="D53" s="59"/>
      <c r="E53" s="59"/>
      <c r="F53" s="59"/>
      <c r="G53" s="59"/>
      <c r="H53" s="61">
        <f>I48+I49+I50+I51</f>
        <v>124.89</v>
      </c>
      <c r="I53" s="61"/>
      <c r="J53" s="61">
        <f>K48+K49+K50+K51</f>
        <v>5716.9000000000005</v>
      </c>
      <c r="K53" s="61"/>
      <c r="O53" s="49">
        <f>I48+I49+I50+I51</f>
        <v>124.89</v>
      </c>
      <c r="P53" s="49">
        <f>K48+K49+K50+K51</f>
        <v>5716.9000000000005</v>
      </c>
    </row>
    <row r="55" spans="1:22" ht="28.5" x14ac:dyDescent="0.2">
      <c r="A55" s="41" t="str">
        <f>Source!E28</f>
        <v>3</v>
      </c>
      <c r="B55" s="42" t="str">
        <f>Source!F28</f>
        <v>4.10-168-1</v>
      </c>
      <c r="C55" s="42" t="s">
        <v>31</v>
      </c>
      <c r="D55" s="43" t="str">
        <f>Source!H28</f>
        <v>1  ШТ.</v>
      </c>
      <c r="E55" s="12">
        <f>Source!I28</f>
        <v>5</v>
      </c>
      <c r="F55" s="45"/>
      <c r="G55" s="44"/>
      <c r="H55" s="12"/>
      <c r="I55" s="46"/>
      <c r="J55" s="12"/>
      <c r="K55" s="46"/>
      <c r="Q55">
        <f>Source!X28</f>
        <v>0</v>
      </c>
      <c r="R55">
        <f>Source!X29</f>
        <v>4933.57</v>
      </c>
      <c r="S55">
        <f>Source!Y28</f>
        <v>0</v>
      </c>
      <c r="T55">
        <f>Source!Y29</f>
        <v>2626.96</v>
      </c>
      <c r="U55">
        <f>ROUND((175/100)*ROUND(Source!R28, 2), 2)</f>
        <v>0.53</v>
      </c>
      <c r="V55">
        <f>ROUND((157/100)*ROUND(Source!R29, 2), 2)</f>
        <v>10.220000000000001</v>
      </c>
    </row>
    <row r="56" spans="1:22" ht="14.25" x14ac:dyDescent="0.2">
      <c r="A56" s="41"/>
      <c r="B56" s="42"/>
      <c r="C56" s="42" t="s">
        <v>317</v>
      </c>
      <c r="D56" s="43"/>
      <c r="E56" s="12"/>
      <c r="F56" s="45">
        <f>Source!AO28</f>
        <v>59.08</v>
      </c>
      <c r="G56" s="44" t="str">
        <f>Source!DG28</f>
        <v/>
      </c>
      <c r="H56" s="12">
        <f>Source!AV29</f>
        <v>1</v>
      </c>
      <c r="I56" s="46">
        <f>Source!S28</f>
        <v>295.39999999999998</v>
      </c>
      <c r="J56" s="12">
        <f>IF(Source!BA29&lt;&gt; 0, Source!BA29, 1)</f>
        <v>21.69</v>
      </c>
      <c r="K56" s="46">
        <f>Source!S29</f>
        <v>6407.23</v>
      </c>
    </row>
    <row r="57" spans="1:22" ht="14.25" x14ac:dyDescent="0.2">
      <c r="A57" s="41"/>
      <c r="B57" s="42"/>
      <c r="C57" s="42" t="s">
        <v>318</v>
      </c>
      <c r="D57" s="43"/>
      <c r="E57" s="12"/>
      <c r="F57" s="45">
        <f>Source!AM28</f>
        <v>3.52</v>
      </c>
      <c r="G57" s="44" t="str">
        <f>Source!DE28</f>
        <v/>
      </c>
      <c r="H57" s="12">
        <f>Source!AV29</f>
        <v>1</v>
      </c>
      <c r="I57" s="46">
        <f>Source!Q28</f>
        <v>17.600000000000001</v>
      </c>
      <c r="J57" s="12">
        <f>IF(Source!BB29&lt;&gt; 0, Source!BB29, 1)</f>
        <v>5.52</v>
      </c>
      <c r="K57" s="46">
        <f>Source!Q29</f>
        <v>97.15</v>
      </c>
    </row>
    <row r="58" spans="1:22" ht="14.25" x14ac:dyDescent="0.2">
      <c r="A58" s="41"/>
      <c r="B58" s="42"/>
      <c r="C58" s="42" t="s">
        <v>319</v>
      </c>
      <c r="D58" s="43"/>
      <c r="E58" s="12"/>
      <c r="F58" s="45">
        <f>Source!AN28</f>
        <v>0.06</v>
      </c>
      <c r="G58" s="44" t="str">
        <f>Source!DF28</f>
        <v/>
      </c>
      <c r="H58" s="12">
        <f>Source!AV29</f>
        <v>1</v>
      </c>
      <c r="I58" s="48">
        <f>Source!R28</f>
        <v>0.3</v>
      </c>
      <c r="J58" s="12">
        <f>IF(Source!BS29&lt;&gt; 0, Source!BS29, 1)</f>
        <v>21.69</v>
      </c>
      <c r="K58" s="48">
        <f>Source!R29</f>
        <v>6.51</v>
      </c>
    </row>
    <row r="59" spans="1:22" ht="14.25" x14ac:dyDescent="0.2">
      <c r="A59" s="41"/>
      <c r="B59" s="42"/>
      <c r="C59" s="42" t="s">
        <v>320</v>
      </c>
      <c r="D59" s="43"/>
      <c r="E59" s="12"/>
      <c r="F59" s="45">
        <f>Source!AL28</f>
        <v>11.87</v>
      </c>
      <c r="G59" s="44" t="str">
        <f>Source!DD28</f>
        <v/>
      </c>
      <c r="H59" s="12">
        <f>Source!AW29</f>
        <v>1</v>
      </c>
      <c r="I59" s="46">
        <f>Source!P28</f>
        <v>59.35</v>
      </c>
      <c r="J59" s="12">
        <f>IF(Source!BC29&lt;&gt; 0, Source!BC29, 1)</f>
        <v>5.41</v>
      </c>
      <c r="K59" s="46">
        <f>Source!P29</f>
        <v>321.08</v>
      </c>
    </row>
    <row r="60" spans="1:22" ht="14.25" x14ac:dyDescent="0.2">
      <c r="A60" s="41"/>
      <c r="B60" s="42"/>
      <c r="C60" s="42" t="s">
        <v>321</v>
      </c>
      <c r="D60" s="43" t="s">
        <v>322</v>
      </c>
      <c r="E60" s="12">
        <f>Source!DN29</f>
        <v>114</v>
      </c>
      <c r="F60" s="45"/>
      <c r="G60" s="44"/>
      <c r="H60" s="12"/>
      <c r="I60" s="46">
        <f>SUM(Q55:Q59)</f>
        <v>0</v>
      </c>
      <c r="J60" s="12">
        <f>Source!BZ29</f>
        <v>77</v>
      </c>
      <c r="K60" s="46">
        <f>SUM(R55:R59)</f>
        <v>4933.57</v>
      </c>
    </row>
    <row r="61" spans="1:22" ht="14.25" x14ac:dyDescent="0.2">
      <c r="A61" s="41"/>
      <c r="B61" s="42"/>
      <c r="C61" s="42" t="s">
        <v>323</v>
      </c>
      <c r="D61" s="43" t="s">
        <v>322</v>
      </c>
      <c r="E61" s="12">
        <f>Source!DO29</f>
        <v>67</v>
      </c>
      <c r="F61" s="45"/>
      <c r="G61" s="44"/>
      <c r="H61" s="12"/>
      <c r="I61" s="46">
        <f>SUM(S55:S60)</f>
        <v>0</v>
      </c>
      <c r="J61" s="12">
        <f>Source!CA29</f>
        <v>41</v>
      </c>
      <c r="K61" s="46">
        <f>SUM(T55:T60)</f>
        <v>2626.96</v>
      </c>
    </row>
    <row r="62" spans="1:22" ht="14.25" x14ac:dyDescent="0.2">
      <c r="A62" s="41"/>
      <c r="B62" s="42"/>
      <c r="C62" s="42" t="s">
        <v>324</v>
      </c>
      <c r="D62" s="43" t="s">
        <v>322</v>
      </c>
      <c r="E62" s="12">
        <f>175</f>
        <v>175</v>
      </c>
      <c r="F62" s="45"/>
      <c r="G62" s="44"/>
      <c r="H62" s="12"/>
      <c r="I62" s="46">
        <f>SUM(U55:U61)</f>
        <v>0.53</v>
      </c>
      <c r="J62" s="12">
        <f>157</f>
        <v>157</v>
      </c>
      <c r="K62" s="46">
        <f>SUM(V55:V61)</f>
        <v>10.220000000000001</v>
      </c>
    </row>
    <row r="63" spans="1:22" ht="14.25" x14ac:dyDescent="0.2">
      <c r="A63" s="52"/>
      <c r="B63" s="53"/>
      <c r="C63" s="53" t="s">
        <v>325</v>
      </c>
      <c r="D63" s="54" t="s">
        <v>326</v>
      </c>
      <c r="E63" s="55">
        <f>Source!AQ28</f>
        <v>4.68</v>
      </c>
      <c r="F63" s="56"/>
      <c r="G63" s="57" t="str">
        <f>Source!DI28</f>
        <v/>
      </c>
      <c r="H63" s="55">
        <f>Source!AV29</f>
        <v>1</v>
      </c>
      <c r="I63" s="58">
        <f>Source!U28</f>
        <v>23.4</v>
      </c>
      <c r="J63" s="55"/>
      <c r="K63" s="58"/>
    </row>
    <row r="64" spans="1:22" ht="15" x14ac:dyDescent="0.25">
      <c r="A64" s="59"/>
      <c r="B64" s="59"/>
      <c r="C64" s="60" t="s">
        <v>327</v>
      </c>
      <c r="D64" s="59"/>
      <c r="E64" s="59"/>
      <c r="F64" s="59"/>
      <c r="G64" s="59"/>
      <c r="H64" s="61">
        <f>I56+I57+I59+I60+I61+I62</f>
        <v>372.88</v>
      </c>
      <c r="I64" s="61"/>
      <c r="J64" s="61">
        <f>K56+K57+K59+K60+K61+K62</f>
        <v>14396.209999999997</v>
      </c>
      <c r="K64" s="61"/>
      <c r="O64" s="49">
        <f>I56+I57+I59+I60+I61+I62</f>
        <v>372.88</v>
      </c>
      <c r="P64" s="49">
        <f>K56+K57+K59+K60+K61+K62</f>
        <v>14396.209999999997</v>
      </c>
    </row>
    <row r="66" spans="1:22" ht="28.5" x14ac:dyDescent="0.2">
      <c r="A66" s="41" t="str">
        <f>Source!E30</f>
        <v>4</v>
      </c>
      <c r="B66" s="42" t="str">
        <f>Source!F30</f>
        <v>3.10-82-1</v>
      </c>
      <c r="C66" s="42" t="s">
        <v>35</v>
      </c>
      <c r="D66" s="43" t="str">
        <f>Source!H30</f>
        <v>1  ШТ.</v>
      </c>
      <c r="E66" s="12">
        <f>Source!I30</f>
        <v>7</v>
      </c>
      <c r="F66" s="45"/>
      <c r="G66" s="44"/>
      <c r="H66" s="12"/>
      <c r="I66" s="46"/>
      <c r="J66" s="12"/>
      <c r="K66" s="46"/>
      <c r="Q66">
        <f>Source!X30</f>
        <v>0</v>
      </c>
      <c r="R66">
        <f>Source!X31</f>
        <v>1896.62</v>
      </c>
      <c r="S66">
        <f>Source!Y30</f>
        <v>0</v>
      </c>
      <c r="T66">
        <f>Source!Y31</f>
        <v>1065.23</v>
      </c>
      <c r="U66">
        <f>ROUND((175/100)*ROUND(Source!R30, 2), 2)</f>
        <v>1.38</v>
      </c>
      <c r="V66">
        <f>ROUND((157/100)*ROUND(Source!R31, 2), 2)</f>
        <v>26.82</v>
      </c>
    </row>
    <row r="67" spans="1:22" ht="14.25" x14ac:dyDescent="0.2">
      <c r="A67" s="41"/>
      <c r="B67" s="42"/>
      <c r="C67" s="42" t="s">
        <v>317</v>
      </c>
      <c r="D67" s="43"/>
      <c r="E67" s="12"/>
      <c r="F67" s="45">
        <f>Source!AO30</f>
        <v>14.88</v>
      </c>
      <c r="G67" s="44" t="str">
        <f>Source!DG30</f>
        <v>)*1,15</v>
      </c>
      <c r="H67" s="12">
        <f>Source!AV31</f>
        <v>1</v>
      </c>
      <c r="I67" s="46">
        <f>Source!S30</f>
        <v>119.78</v>
      </c>
      <c r="J67" s="12">
        <f>IF(Source!BA31&lt;&gt; 0, Source!BA31, 1)</f>
        <v>21.69</v>
      </c>
      <c r="K67" s="46">
        <f>Source!S31</f>
        <v>2598.11</v>
      </c>
    </row>
    <row r="68" spans="1:22" ht="14.25" x14ac:dyDescent="0.2">
      <c r="A68" s="41"/>
      <c r="B68" s="42"/>
      <c r="C68" s="42" t="s">
        <v>318</v>
      </c>
      <c r="D68" s="43"/>
      <c r="E68" s="12"/>
      <c r="F68" s="45">
        <f>Source!AM30</f>
        <v>1.99</v>
      </c>
      <c r="G68" s="44" t="str">
        <f>Source!DE30</f>
        <v>)*1,25</v>
      </c>
      <c r="H68" s="12">
        <f>Source!AV31</f>
        <v>1</v>
      </c>
      <c r="I68" s="46">
        <f>Source!Q30</f>
        <v>17.41</v>
      </c>
      <c r="J68" s="12">
        <f>IF(Source!BB31&lt;&gt; 0, Source!BB31, 1)</f>
        <v>6.93</v>
      </c>
      <c r="K68" s="46">
        <f>Source!Q31</f>
        <v>120.67</v>
      </c>
    </row>
    <row r="69" spans="1:22" ht="14.25" x14ac:dyDescent="0.2">
      <c r="A69" s="41"/>
      <c r="B69" s="42"/>
      <c r="C69" s="42" t="s">
        <v>319</v>
      </c>
      <c r="D69" s="43"/>
      <c r="E69" s="12"/>
      <c r="F69" s="45">
        <f>Source!AN30</f>
        <v>0.09</v>
      </c>
      <c r="G69" s="44" t="str">
        <f>Source!DF30</f>
        <v>)*1,25</v>
      </c>
      <c r="H69" s="12">
        <f>Source!AV31</f>
        <v>1</v>
      </c>
      <c r="I69" s="48">
        <f>Source!R30</f>
        <v>0.79</v>
      </c>
      <c r="J69" s="12">
        <f>IF(Source!BS31&lt;&gt; 0, Source!BS31, 1)</f>
        <v>21.69</v>
      </c>
      <c r="K69" s="48">
        <f>Source!R31</f>
        <v>17.079999999999998</v>
      </c>
    </row>
    <row r="70" spans="1:22" ht="14.25" x14ac:dyDescent="0.2">
      <c r="A70" s="41"/>
      <c r="B70" s="42"/>
      <c r="C70" s="42" t="s">
        <v>320</v>
      </c>
      <c r="D70" s="43"/>
      <c r="E70" s="12"/>
      <c r="F70" s="45">
        <f>Source!AL30</f>
        <v>0.41</v>
      </c>
      <c r="G70" s="44" t="str">
        <f>Source!DD30</f>
        <v/>
      </c>
      <c r="H70" s="12">
        <f>Source!AW31</f>
        <v>1</v>
      </c>
      <c r="I70" s="46">
        <f>Source!P30</f>
        <v>2.87</v>
      </c>
      <c r="J70" s="12">
        <f>IF(Source!BC31&lt;&gt; 0, Source!BC31, 1)</f>
        <v>4.49</v>
      </c>
      <c r="K70" s="46">
        <f>Source!P31</f>
        <v>12.89</v>
      </c>
    </row>
    <row r="71" spans="1:22" ht="14.25" x14ac:dyDescent="0.2">
      <c r="A71" s="41"/>
      <c r="B71" s="42"/>
      <c r="C71" s="42" t="s">
        <v>321</v>
      </c>
      <c r="D71" s="43" t="s">
        <v>322</v>
      </c>
      <c r="E71" s="12">
        <f>Source!DN31</f>
        <v>91</v>
      </c>
      <c r="F71" s="45"/>
      <c r="G71" s="44"/>
      <c r="H71" s="12"/>
      <c r="I71" s="46">
        <f>SUM(Q66:Q70)</f>
        <v>0</v>
      </c>
      <c r="J71" s="12">
        <f>Source!BZ31</f>
        <v>73</v>
      </c>
      <c r="K71" s="46">
        <f>SUM(R66:R70)</f>
        <v>1896.62</v>
      </c>
    </row>
    <row r="72" spans="1:22" ht="14.25" x14ac:dyDescent="0.2">
      <c r="A72" s="41"/>
      <c r="B72" s="42"/>
      <c r="C72" s="42" t="s">
        <v>323</v>
      </c>
      <c r="D72" s="43" t="s">
        <v>322</v>
      </c>
      <c r="E72" s="12">
        <f>Source!DO31</f>
        <v>70</v>
      </c>
      <c r="F72" s="45"/>
      <c r="G72" s="44"/>
      <c r="H72" s="12"/>
      <c r="I72" s="46">
        <f>SUM(S66:S71)</f>
        <v>0</v>
      </c>
      <c r="J72" s="12">
        <f>Source!CA31</f>
        <v>41</v>
      </c>
      <c r="K72" s="46">
        <f>SUM(T66:T71)</f>
        <v>1065.23</v>
      </c>
    </row>
    <row r="73" spans="1:22" ht="14.25" x14ac:dyDescent="0.2">
      <c r="A73" s="41"/>
      <c r="B73" s="42"/>
      <c r="C73" s="42" t="s">
        <v>324</v>
      </c>
      <c r="D73" s="43" t="s">
        <v>322</v>
      </c>
      <c r="E73" s="12">
        <f>175</f>
        <v>175</v>
      </c>
      <c r="F73" s="45"/>
      <c r="G73" s="44"/>
      <c r="H73" s="12"/>
      <c r="I73" s="46">
        <f>SUM(U66:U72)</f>
        <v>1.38</v>
      </c>
      <c r="J73" s="12">
        <f>157</f>
        <v>157</v>
      </c>
      <c r="K73" s="46">
        <f>SUM(V66:V72)</f>
        <v>26.82</v>
      </c>
    </row>
    <row r="74" spans="1:22" ht="14.25" x14ac:dyDescent="0.2">
      <c r="A74" s="52"/>
      <c r="B74" s="53"/>
      <c r="C74" s="53" t="s">
        <v>325</v>
      </c>
      <c r="D74" s="54" t="s">
        <v>326</v>
      </c>
      <c r="E74" s="55">
        <f>Source!AQ30</f>
        <v>1.1100000000000001</v>
      </c>
      <c r="F74" s="56"/>
      <c r="G74" s="57" t="str">
        <f>Source!DI30</f>
        <v>)*1,15</v>
      </c>
      <c r="H74" s="55">
        <f>Source!AV31</f>
        <v>1</v>
      </c>
      <c r="I74" s="58">
        <f>Source!U30</f>
        <v>8.9354999999999993</v>
      </c>
      <c r="J74" s="55"/>
      <c r="K74" s="58"/>
    </row>
    <row r="75" spans="1:22" ht="15" x14ac:dyDescent="0.25">
      <c r="A75" s="59"/>
      <c r="B75" s="59"/>
      <c r="C75" s="60" t="s">
        <v>327</v>
      </c>
      <c r="D75" s="59"/>
      <c r="E75" s="59"/>
      <c r="F75" s="59"/>
      <c r="G75" s="59"/>
      <c r="H75" s="61">
        <f>I67+I68+I70+I71+I72+I73</f>
        <v>141.44</v>
      </c>
      <c r="I75" s="61"/>
      <c r="J75" s="61">
        <f>K67+K68+K70+K71+K72+K73</f>
        <v>5720.34</v>
      </c>
      <c r="K75" s="61"/>
      <c r="O75" s="49">
        <f>I67+I68+I70+I71+I72+I73</f>
        <v>141.44</v>
      </c>
      <c r="P75" s="49">
        <f>K67+K68+K70+K71+K72+K73</f>
        <v>5720.34</v>
      </c>
    </row>
    <row r="77" spans="1:22" ht="14.25" x14ac:dyDescent="0.2">
      <c r="A77" s="41" t="str">
        <f>Source!E32</f>
        <v>5</v>
      </c>
      <c r="B77" s="42" t="str">
        <f>Source!F32</f>
        <v>4.10-76-10</v>
      </c>
      <c r="C77" s="42" t="s">
        <v>44</v>
      </c>
      <c r="D77" s="43" t="str">
        <f>Source!H32</f>
        <v>1  ШТ.</v>
      </c>
      <c r="E77" s="12">
        <f>Source!I32</f>
        <v>7</v>
      </c>
      <c r="F77" s="45"/>
      <c r="G77" s="44"/>
      <c r="H77" s="12"/>
      <c r="I77" s="46"/>
      <c r="J77" s="12"/>
      <c r="K77" s="46"/>
      <c r="Q77">
        <f>Source!X32</f>
        <v>0</v>
      </c>
      <c r="R77">
        <f>Source!X33</f>
        <v>1391.22</v>
      </c>
      <c r="S77">
        <f>Source!Y32</f>
        <v>0</v>
      </c>
      <c r="T77">
        <f>Source!Y33</f>
        <v>740.78</v>
      </c>
      <c r="U77">
        <f>ROUND((175/100)*ROUND(Source!R32, 2), 2)</f>
        <v>0</v>
      </c>
      <c r="V77">
        <f>ROUND((157/100)*ROUND(Source!R33, 2), 2)</f>
        <v>0</v>
      </c>
    </row>
    <row r="78" spans="1:22" ht="14.25" x14ac:dyDescent="0.2">
      <c r="A78" s="41"/>
      <c r="B78" s="42"/>
      <c r="C78" s="42" t="s">
        <v>317</v>
      </c>
      <c r="D78" s="43"/>
      <c r="E78" s="12"/>
      <c r="F78" s="45">
        <f>Source!AO32</f>
        <v>11.9</v>
      </c>
      <c r="G78" s="44" t="str">
        <f>Source!DG32</f>
        <v/>
      </c>
      <c r="H78" s="12">
        <f>Source!AV33</f>
        <v>1</v>
      </c>
      <c r="I78" s="46">
        <f>Source!S32</f>
        <v>83.3</v>
      </c>
      <c r="J78" s="12">
        <f>IF(Source!BA33&lt;&gt; 0, Source!BA33, 1)</f>
        <v>21.69</v>
      </c>
      <c r="K78" s="46">
        <f>Source!S33</f>
        <v>1806.78</v>
      </c>
    </row>
    <row r="79" spans="1:22" ht="14.25" x14ac:dyDescent="0.2">
      <c r="A79" s="41"/>
      <c r="B79" s="42"/>
      <c r="C79" s="42" t="s">
        <v>320</v>
      </c>
      <c r="D79" s="43"/>
      <c r="E79" s="12"/>
      <c r="F79" s="45">
        <f>Source!AL32</f>
        <v>1.75</v>
      </c>
      <c r="G79" s="44" t="str">
        <f>Source!DD32</f>
        <v/>
      </c>
      <c r="H79" s="12">
        <f>Source!AW33</f>
        <v>1</v>
      </c>
      <c r="I79" s="46">
        <f>Source!P32</f>
        <v>12.25</v>
      </c>
      <c r="J79" s="12">
        <f>IF(Source!BC33&lt;&gt; 0, Source!BC33, 1)</f>
        <v>5.41</v>
      </c>
      <c r="K79" s="46">
        <f>Source!P33</f>
        <v>66.27</v>
      </c>
    </row>
    <row r="80" spans="1:22" ht="39.75" x14ac:dyDescent="0.2">
      <c r="A80" s="105" t="str">
        <f>Source!E34</f>
        <v>5,1</v>
      </c>
      <c r="B80" s="106" t="str">
        <f>Source!F34</f>
        <v>ц. пост.</v>
      </c>
      <c r="C80" s="106" t="s">
        <v>328</v>
      </c>
      <c r="D80" s="107" t="str">
        <f>Source!H34</f>
        <v>шт.</v>
      </c>
      <c r="E80" s="108">
        <f>Source!I34</f>
        <v>7</v>
      </c>
      <c r="F80" s="109">
        <f>Source!AK34</f>
        <v>32.54</v>
      </c>
      <c r="G80" s="110" t="s">
        <v>3</v>
      </c>
      <c r="H80" s="108">
        <f>Source!AW35</f>
        <v>1</v>
      </c>
      <c r="I80" s="111">
        <f>Source!O34</f>
        <v>227.78</v>
      </c>
      <c r="J80" s="108">
        <f>IF(Source!BC35&lt;&gt; 0, Source!BC35, 1)</f>
        <v>5.41</v>
      </c>
      <c r="K80" s="111">
        <f>Source!O35</f>
        <v>1220.93</v>
      </c>
      <c r="Q80">
        <f>Source!X34</f>
        <v>0</v>
      </c>
      <c r="R80">
        <f>Source!X35</f>
        <v>0</v>
      </c>
      <c r="S80">
        <f>Source!Y34</f>
        <v>0</v>
      </c>
      <c r="T80">
        <f>Source!Y35</f>
        <v>0</v>
      </c>
      <c r="U80">
        <f>ROUND((175/100)*ROUND(Source!R34, 2), 2)</f>
        <v>0</v>
      </c>
      <c r="V80">
        <f>ROUND((157/100)*ROUND(Source!R35, 2), 2)</f>
        <v>0</v>
      </c>
    </row>
    <row r="81" spans="1:22" ht="14.25" x14ac:dyDescent="0.2">
      <c r="A81" s="41"/>
      <c r="B81" s="42"/>
      <c r="C81" s="42" t="s">
        <v>321</v>
      </c>
      <c r="D81" s="43" t="s">
        <v>322</v>
      </c>
      <c r="E81" s="12">
        <f>Source!DN33</f>
        <v>114</v>
      </c>
      <c r="F81" s="45"/>
      <c r="G81" s="44"/>
      <c r="H81" s="12"/>
      <c r="I81" s="46">
        <f>SUM(Q77:Q80)</f>
        <v>0</v>
      </c>
      <c r="J81" s="12">
        <f>Source!BZ33</f>
        <v>77</v>
      </c>
      <c r="K81" s="46">
        <f>SUM(R77:R80)</f>
        <v>1391.22</v>
      </c>
    </row>
    <row r="82" spans="1:22" ht="14.25" x14ac:dyDescent="0.2">
      <c r="A82" s="41"/>
      <c r="B82" s="42"/>
      <c r="C82" s="42" t="s">
        <v>323</v>
      </c>
      <c r="D82" s="43" t="s">
        <v>322</v>
      </c>
      <c r="E82" s="12">
        <f>Source!DO33</f>
        <v>67</v>
      </c>
      <c r="F82" s="45"/>
      <c r="G82" s="44"/>
      <c r="H82" s="12"/>
      <c r="I82" s="46">
        <f>SUM(S77:S81)</f>
        <v>0</v>
      </c>
      <c r="J82" s="12">
        <f>Source!CA33</f>
        <v>41</v>
      </c>
      <c r="K82" s="46">
        <f>SUM(T77:T81)</f>
        <v>740.78</v>
      </c>
    </row>
    <row r="83" spans="1:22" ht="14.25" x14ac:dyDescent="0.2">
      <c r="A83" s="52"/>
      <c r="B83" s="53"/>
      <c r="C83" s="53" t="s">
        <v>325</v>
      </c>
      <c r="D83" s="54" t="s">
        <v>326</v>
      </c>
      <c r="E83" s="55">
        <f>Source!AQ32</f>
        <v>1</v>
      </c>
      <c r="F83" s="56"/>
      <c r="G83" s="57" t="str">
        <f>Source!DI32</f>
        <v/>
      </c>
      <c r="H83" s="55">
        <f>Source!AV33</f>
        <v>1</v>
      </c>
      <c r="I83" s="58">
        <f>Source!U32</f>
        <v>7</v>
      </c>
      <c r="J83" s="55"/>
      <c r="K83" s="58"/>
    </row>
    <row r="84" spans="1:22" ht="15" x14ac:dyDescent="0.25">
      <c r="A84" s="59"/>
      <c r="B84" s="59"/>
      <c r="C84" s="60" t="s">
        <v>327</v>
      </c>
      <c r="D84" s="59"/>
      <c r="E84" s="59"/>
      <c r="F84" s="59"/>
      <c r="G84" s="59"/>
      <c r="H84" s="61">
        <f>I78+I79+I81+I82+SUM(I80:I80)</f>
        <v>323.33</v>
      </c>
      <c r="I84" s="61"/>
      <c r="J84" s="61">
        <f>K78+K79+K81+K82+SUM(K80:K80)</f>
        <v>5225.9800000000005</v>
      </c>
      <c r="K84" s="61"/>
      <c r="O84" s="49">
        <f>I78+I79+I81+I82+SUM(I80:I80)</f>
        <v>323.33</v>
      </c>
      <c r="P84" s="49">
        <f>K78+K79+K81+K82+SUM(K80:K80)</f>
        <v>5225.9800000000005</v>
      </c>
    </row>
    <row r="86" spans="1:22" ht="28.5" x14ac:dyDescent="0.2">
      <c r="A86" s="41" t="str">
        <f>Source!E36</f>
        <v>6</v>
      </c>
      <c r="B86" s="42" t="str">
        <f>Source!F36</f>
        <v>4.11-1-1</v>
      </c>
      <c r="C86" s="42" t="s">
        <v>57</v>
      </c>
      <c r="D86" s="43" t="str">
        <f>Source!H36</f>
        <v>1  ШТ.</v>
      </c>
      <c r="E86" s="12">
        <f>Source!I36</f>
        <v>7</v>
      </c>
      <c r="F86" s="45"/>
      <c r="G86" s="44"/>
      <c r="H86" s="12"/>
      <c r="I86" s="46"/>
      <c r="J86" s="12"/>
      <c r="K86" s="46"/>
      <c r="Q86">
        <f>Source!X36</f>
        <v>0</v>
      </c>
      <c r="R86">
        <f>Source!X37</f>
        <v>696.78</v>
      </c>
      <c r="S86">
        <f>Source!Y36</f>
        <v>0</v>
      </c>
      <c r="T86">
        <f>Source!Y37</f>
        <v>371.01</v>
      </c>
      <c r="U86">
        <f>ROUND((175/100)*ROUND(Source!R36, 2), 2)</f>
        <v>12.62</v>
      </c>
      <c r="V86">
        <f>ROUND((157/100)*ROUND(Source!R37, 2), 2)</f>
        <v>245.52</v>
      </c>
    </row>
    <row r="87" spans="1:22" ht="14.25" x14ac:dyDescent="0.2">
      <c r="A87" s="41"/>
      <c r="B87" s="42"/>
      <c r="C87" s="42" t="s">
        <v>317</v>
      </c>
      <c r="D87" s="43"/>
      <c r="E87" s="12"/>
      <c r="F87" s="45">
        <f>Source!AO36</f>
        <v>5.96</v>
      </c>
      <c r="G87" s="44" t="str">
        <f>Source!DG36</f>
        <v/>
      </c>
      <c r="H87" s="12">
        <f>Source!AV37</f>
        <v>1</v>
      </c>
      <c r="I87" s="46">
        <f>Source!S36</f>
        <v>41.72</v>
      </c>
      <c r="J87" s="12">
        <f>IF(Source!BA37&lt;&gt; 0, Source!BA37, 1)</f>
        <v>21.69</v>
      </c>
      <c r="K87" s="46">
        <f>Source!S37</f>
        <v>904.91</v>
      </c>
    </row>
    <row r="88" spans="1:22" ht="14.25" x14ac:dyDescent="0.2">
      <c r="A88" s="41"/>
      <c r="B88" s="42"/>
      <c r="C88" s="42" t="s">
        <v>318</v>
      </c>
      <c r="D88" s="43"/>
      <c r="E88" s="12"/>
      <c r="F88" s="45">
        <f>Source!AM36</f>
        <v>4.26</v>
      </c>
      <c r="G88" s="44" t="str">
        <f>Source!DE36</f>
        <v/>
      </c>
      <c r="H88" s="12">
        <f>Source!AV37</f>
        <v>1</v>
      </c>
      <c r="I88" s="46">
        <f>Source!Q36</f>
        <v>29.82</v>
      </c>
      <c r="J88" s="12">
        <f>IF(Source!BB37&lt;&gt; 0, Source!BB37, 1)</f>
        <v>9.2200000000000006</v>
      </c>
      <c r="K88" s="46">
        <f>Source!Q37</f>
        <v>274.94</v>
      </c>
    </row>
    <row r="89" spans="1:22" ht="14.25" x14ac:dyDescent="0.2">
      <c r="A89" s="41"/>
      <c r="B89" s="42"/>
      <c r="C89" s="42" t="s">
        <v>319</v>
      </c>
      <c r="D89" s="43"/>
      <c r="E89" s="12"/>
      <c r="F89" s="45">
        <f>Source!AN36</f>
        <v>1.03</v>
      </c>
      <c r="G89" s="44" t="str">
        <f>Source!DF36</f>
        <v/>
      </c>
      <c r="H89" s="12">
        <f>Source!AV37</f>
        <v>1</v>
      </c>
      <c r="I89" s="48">
        <f>Source!R36</f>
        <v>7.21</v>
      </c>
      <c r="J89" s="12">
        <f>IF(Source!BS37&lt;&gt; 0, Source!BS37, 1)</f>
        <v>21.69</v>
      </c>
      <c r="K89" s="48">
        <f>Source!R37</f>
        <v>156.38</v>
      </c>
    </row>
    <row r="90" spans="1:22" ht="14.25" x14ac:dyDescent="0.2">
      <c r="A90" s="41"/>
      <c r="B90" s="42"/>
      <c r="C90" s="42" t="s">
        <v>320</v>
      </c>
      <c r="D90" s="43"/>
      <c r="E90" s="12"/>
      <c r="F90" s="45">
        <f>Source!AL36</f>
        <v>3.43</v>
      </c>
      <c r="G90" s="44" t="str">
        <f>Source!DD36</f>
        <v/>
      </c>
      <c r="H90" s="12">
        <f>Source!AW37</f>
        <v>1</v>
      </c>
      <c r="I90" s="46">
        <f>Source!P36</f>
        <v>24.01</v>
      </c>
      <c r="J90" s="12">
        <f>IF(Source!BC37&lt;&gt; 0, Source!BC37, 1)</f>
        <v>5.41</v>
      </c>
      <c r="K90" s="46">
        <f>Source!P37</f>
        <v>129.88999999999999</v>
      </c>
    </row>
    <row r="91" spans="1:22" ht="14.25" x14ac:dyDescent="0.2">
      <c r="A91" s="41"/>
      <c r="B91" s="42"/>
      <c r="C91" s="42" t="s">
        <v>321</v>
      </c>
      <c r="D91" s="43" t="s">
        <v>322</v>
      </c>
      <c r="E91" s="12">
        <f>Source!DN37</f>
        <v>114</v>
      </c>
      <c r="F91" s="45"/>
      <c r="G91" s="44"/>
      <c r="H91" s="12"/>
      <c r="I91" s="46">
        <f>SUM(Q86:Q90)</f>
        <v>0</v>
      </c>
      <c r="J91" s="12">
        <f>Source!BZ37</f>
        <v>77</v>
      </c>
      <c r="K91" s="46">
        <f>SUM(R86:R90)</f>
        <v>696.78</v>
      </c>
    </row>
    <row r="92" spans="1:22" ht="14.25" x14ac:dyDescent="0.2">
      <c r="A92" s="41"/>
      <c r="B92" s="42"/>
      <c r="C92" s="42" t="s">
        <v>323</v>
      </c>
      <c r="D92" s="43" t="s">
        <v>322</v>
      </c>
      <c r="E92" s="12">
        <f>Source!DO37</f>
        <v>67</v>
      </c>
      <c r="F92" s="45"/>
      <c r="G92" s="44"/>
      <c r="H92" s="12"/>
      <c r="I92" s="46">
        <f>SUM(S86:S91)</f>
        <v>0</v>
      </c>
      <c r="J92" s="12">
        <f>Source!CA37</f>
        <v>41</v>
      </c>
      <c r="K92" s="46">
        <f>SUM(T86:T91)</f>
        <v>371.01</v>
      </c>
    </row>
    <row r="93" spans="1:22" ht="14.25" x14ac:dyDescent="0.2">
      <c r="A93" s="41"/>
      <c r="B93" s="42"/>
      <c r="C93" s="42" t="s">
        <v>324</v>
      </c>
      <c r="D93" s="43" t="s">
        <v>322</v>
      </c>
      <c r="E93" s="12">
        <f>175</f>
        <v>175</v>
      </c>
      <c r="F93" s="45"/>
      <c r="G93" s="44"/>
      <c r="H93" s="12"/>
      <c r="I93" s="46">
        <f>SUM(U86:U92)</f>
        <v>12.62</v>
      </c>
      <c r="J93" s="12">
        <f>157</f>
        <v>157</v>
      </c>
      <c r="K93" s="46">
        <f>SUM(V86:V92)</f>
        <v>245.52</v>
      </c>
    </row>
    <row r="94" spans="1:22" ht="14.25" x14ac:dyDescent="0.2">
      <c r="A94" s="52"/>
      <c r="B94" s="53"/>
      <c r="C94" s="53" t="s">
        <v>325</v>
      </c>
      <c r="D94" s="54" t="s">
        <v>326</v>
      </c>
      <c r="E94" s="55">
        <f>Source!AQ36</f>
        <v>0.52</v>
      </c>
      <c r="F94" s="56"/>
      <c r="G94" s="57" t="str">
        <f>Source!DI36</f>
        <v/>
      </c>
      <c r="H94" s="55">
        <f>Source!AV37</f>
        <v>1</v>
      </c>
      <c r="I94" s="58">
        <f>Source!U36</f>
        <v>3.64</v>
      </c>
      <c r="J94" s="55"/>
      <c r="K94" s="58"/>
    </row>
    <row r="95" spans="1:22" ht="15" x14ac:dyDescent="0.25">
      <c r="A95" s="59"/>
      <c r="B95" s="59"/>
      <c r="C95" s="60" t="s">
        <v>327</v>
      </c>
      <c r="D95" s="59"/>
      <c r="E95" s="59"/>
      <c r="F95" s="59"/>
      <c r="G95" s="59"/>
      <c r="H95" s="61">
        <f>I87+I88+I90+I91+I92+I93</f>
        <v>108.17</v>
      </c>
      <c r="I95" s="61"/>
      <c r="J95" s="61">
        <f>K87+K88+K90+K91+K92+K93</f>
        <v>2623.0499999999997</v>
      </c>
      <c r="K95" s="61"/>
      <c r="O95" s="49">
        <f>I87+I88+I90+I91+I92+I93</f>
        <v>108.17</v>
      </c>
      <c r="P95" s="49">
        <f>K87+K88+K90+K91+K92+K93</f>
        <v>2623.0499999999997</v>
      </c>
    </row>
    <row r="97" spans="1:22" ht="71.25" x14ac:dyDescent="0.2">
      <c r="A97" s="41" t="str">
        <f>Source!E38</f>
        <v>7</v>
      </c>
      <c r="B97" s="42" t="str">
        <f>Source!F38</f>
        <v>4.8-288-3</v>
      </c>
      <c r="C97" s="42" t="s">
        <v>63</v>
      </c>
      <c r="D97" s="43" t="str">
        <f>Source!H38</f>
        <v>100 м</v>
      </c>
      <c r="E97" s="12">
        <f>Source!I38</f>
        <v>1</v>
      </c>
      <c r="F97" s="45"/>
      <c r="G97" s="44"/>
      <c r="H97" s="12"/>
      <c r="I97" s="46"/>
      <c r="J97" s="12"/>
      <c r="K97" s="46"/>
      <c r="Q97">
        <f>Source!X38</f>
        <v>0</v>
      </c>
      <c r="R97">
        <f>Source!X39</f>
        <v>3391.87</v>
      </c>
      <c r="S97">
        <f>Source!Y38</f>
        <v>0</v>
      </c>
      <c r="T97">
        <f>Source!Y39</f>
        <v>1806.06</v>
      </c>
      <c r="U97">
        <f>ROUND((175/100)*ROUND(Source!R38, 2), 2)</f>
        <v>14.49</v>
      </c>
      <c r="V97">
        <f>ROUND((157/100)*ROUND(Source!R39, 2), 2)</f>
        <v>281.95999999999998</v>
      </c>
    </row>
    <row r="98" spans="1:22" x14ac:dyDescent="0.2">
      <c r="C98" s="47" t="str">
        <f>"Объем: "&amp;Source!I38&amp;"=100/"&amp;"100"</f>
        <v>Объем: 1=100/100</v>
      </c>
    </row>
    <row r="99" spans="1:22" ht="14.25" x14ac:dyDescent="0.2">
      <c r="A99" s="41"/>
      <c r="B99" s="42"/>
      <c r="C99" s="42" t="s">
        <v>317</v>
      </c>
      <c r="D99" s="43"/>
      <c r="E99" s="12"/>
      <c r="F99" s="45">
        <f>Source!AO38</f>
        <v>203.09</v>
      </c>
      <c r="G99" s="44" t="str">
        <f>Source!DG38</f>
        <v/>
      </c>
      <c r="H99" s="12">
        <f>Source!AV39</f>
        <v>1</v>
      </c>
      <c r="I99" s="46">
        <f>Source!S38</f>
        <v>203.09</v>
      </c>
      <c r="J99" s="12">
        <f>IF(Source!BA39&lt;&gt; 0, Source!BA39, 1)</f>
        <v>21.69</v>
      </c>
      <c r="K99" s="46">
        <f>Source!S39</f>
        <v>4405.0200000000004</v>
      </c>
    </row>
    <row r="100" spans="1:22" ht="14.25" x14ac:dyDescent="0.2">
      <c r="A100" s="41"/>
      <c r="B100" s="42"/>
      <c r="C100" s="42" t="s">
        <v>318</v>
      </c>
      <c r="D100" s="43"/>
      <c r="E100" s="12"/>
      <c r="F100" s="45">
        <f>Source!AM38</f>
        <v>43.19</v>
      </c>
      <c r="G100" s="44" t="str">
        <f>Source!DE38</f>
        <v/>
      </c>
      <c r="H100" s="12">
        <f>Source!AV39</f>
        <v>1</v>
      </c>
      <c r="I100" s="46">
        <f>Source!Q38</f>
        <v>43.19</v>
      </c>
      <c r="J100" s="12">
        <f>IF(Source!BB39&lt;&gt; 0, Source!BB39, 1)</f>
        <v>8.39</v>
      </c>
      <c r="K100" s="46">
        <f>Source!Q39</f>
        <v>362.36</v>
      </c>
    </row>
    <row r="101" spans="1:22" ht="14.25" x14ac:dyDescent="0.2">
      <c r="A101" s="41"/>
      <c r="B101" s="42"/>
      <c r="C101" s="42" t="s">
        <v>319</v>
      </c>
      <c r="D101" s="43"/>
      <c r="E101" s="12"/>
      <c r="F101" s="45">
        <f>Source!AN38</f>
        <v>8.2799999999999994</v>
      </c>
      <c r="G101" s="44" t="str">
        <f>Source!DF38</f>
        <v/>
      </c>
      <c r="H101" s="12">
        <f>Source!AV39</f>
        <v>1</v>
      </c>
      <c r="I101" s="48">
        <f>Source!R38</f>
        <v>8.2799999999999994</v>
      </c>
      <c r="J101" s="12">
        <f>IF(Source!BS39&lt;&gt; 0, Source!BS39, 1)</f>
        <v>21.69</v>
      </c>
      <c r="K101" s="48">
        <f>Source!R39</f>
        <v>179.59</v>
      </c>
    </row>
    <row r="102" spans="1:22" ht="14.25" x14ac:dyDescent="0.2">
      <c r="A102" s="41"/>
      <c r="B102" s="42"/>
      <c r="C102" s="42" t="s">
        <v>320</v>
      </c>
      <c r="D102" s="43"/>
      <c r="E102" s="12"/>
      <c r="F102" s="45">
        <f>Source!AL38</f>
        <v>290.64999999999998</v>
      </c>
      <c r="G102" s="44" t="str">
        <f>Source!DD38</f>
        <v/>
      </c>
      <c r="H102" s="12">
        <f>Source!AW39</f>
        <v>1</v>
      </c>
      <c r="I102" s="46">
        <f>Source!P38</f>
        <v>290.64999999999998</v>
      </c>
      <c r="J102" s="12">
        <f>IF(Source!BC39&lt;&gt; 0, Source!BC39, 1)</f>
        <v>5.41</v>
      </c>
      <c r="K102" s="46">
        <f>Source!P39</f>
        <v>1572.42</v>
      </c>
    </row>
    <row r="103" spans="1:22" ht="57" x14ac:dyDescent="0.2">
      <c r="A103" s="41" t="str">
        <f>Source!E40</f>
        <v>7,1</v>
      </c>
      <c r="B103" s="42" t="str">
        <f>Source!F40</f>
        <v>1.12-5-373</v>
      </c>
      <c r="C103" s="42" t="s">
        <v>70</v>
      </c>
      <c r="D103" s="43" t="str">
        <f>Source!H40</f>
        <v>м</v>
      </c>
      <c r="E103" s="12">
        <f>Source!I40</f>
        <v>102</v>
      </c>
      <c r="F103" s="45">
        <f>Source!AK40</f>
        <v>5.19</v>
      </c>
      <c r="G103" s="62" t="s">
        <v>3</v>
      </c>
      <c r="H103" s="12">
        <f>Source!AW41</f>
        <v>1</v>
      </c>
      <c r="I103" s="46">
        <f>Source!O40</f>
        <v>529.38</v>
      </c>
      <c r="J103" s="12">
        <f>IF(Source!BC41&lt;&gt; 0, Source!BC41, 1)</f>
        <v>6.65</v>
      </c>
      <c r="K103" s="46">
        <f>Source!O41</f>
        <v>3520.38</v>
      </c>
      <c r="Q103">
        <f>Source!X40</f>
        <v>0</v>
      </c>
      <c r="R103">
        <f>Source!X41</f>
        <v>0</v>
      </c>
      <c r="S103">
        <f>Source!Y40</f>
        <v>0</v>
      </c>
      <c r="T103">
        <f>Source!Y41</f>
        <v>0</v>
      </c>
      <c r="U103">
        <f>ROUND((175/100)*ROUND(Source!R40, 2), 2)</f>
        <v>0</v>
      </c>
      <c r="V103">
        <f>ROUND((157/100)*ROUND(Source!R41, 2), 2)</f>
        <v>0</v>
      </c>
    </row>
    <row r="104" spans="1:22" ht="28.5" x14ac:dyDescent="0.2">
      <c r="A104" s="41" t="str">
        <f>Source!E42</f>
        <v>7,2</v>
      </c>
      <c r="B104" s="42" t="str">
        <f>Source!F42</f>
        <v>1.21-5-185</v>
      </c>
      <c r="C104" s="42" t="s">
        <v>75</v>
      </c>
      <c r="D104" s="43" t="str">
        <f>Source!H42</f>
        <v>шт.</v>
      </c>
      <c r="E104" s="12">
        <f>Source!I42</f>
        <v>5</v>
      </c>
      <c r="F104" s="45">
        <f>Source!AK42</f>
        <v>26.19</v>
      </c>
      <c r="G104" s="62" t="s">
        <v>3</v>
      </c>
      <c r="H104" s="12">
        <f>Source!AW43</f>
        <v>1</v>
      </c>
      <c r="I104" s="46">
        <f>Source!O42</f>
        <v>130.94999999999999</v>
      </c>
      <c r="J104" s="12">
        <f>IF(Source!BC43&lt;&gt; 0, Source!BC43, 1)</f>
        <v>0.96</v>
      </c>
      <c r="K104" s="46">
        <f>Source!O43</f>
        <v>125.71</v>
      </c>
      <c r="Q104">
        <f>Source!X42</f>
        <v>0</v>
      </c>
      <c r="R104">
        <f>Source!X43</f>
        <v>0</v>
      </c>
      <c r="S104">
        <f>Source!Y42</f>
        <v>0</v>
      </c>
      <c r="T104">
        <f>Source!Y43</f>
        <v>0</v>
      </c>
      <c r="U104">
        <f>ROUND((175/100)*ROUND(Source!R42, 2), 2)</f>
        <v>0</v>
      </c>
      <c r="V104">
        <f>ROUND((157/100)*ROUND(Source!R43, 2), 2)</f>
        <v>0</v>
      </c>
    </row>
    <row r="105" spans="1:22" ht="42.75" x14ac:dyDescent="0.2">
      <c r="A105" s="41" t="str">
        <f>Source!E44</f>
        <v>7,3</v>
      </c>
      <c r="B105" s="42" t="str">
        <f>Source!F44</f>
        <v>1.21-5-1137</v>
      </c>
      <c r="C105" s="42" t="s">
        <v>79</v>
      </c>
      <c r="D105" s="43" t="str">
        <f>Source!H44</f>
        <v>100 шт.</v>
      </c>
      <c r="E105" s="12">
        <f>Source!I44</f>
        <v>0.91</v>
      </c>
      <c r="F105" s="45">
        <f>Source!AK44</f>
        <v>154.37</v>
      </c>
      <c r="G105" s="62" t="s">
        <v>3</v>
      </c>
      <c r="H105" s="12">
        <f>Source!AW45</f>
        <v>1</v>
      </c>
      <c r="I105" s="46">
        <f>Source!O44</f>
        <v>140.47999999999999</v>
      </c>
      <c r="J105" s="12">
        <f>IF(Source!BC45&lt;&gt; 0, Source!BC45, 1)</f>
        <v>1.39</v>
      </c>
      <c r="K105" s="46">
        <f>Source!O45</f>
        <v>195.26</v>
      </c>
      <c r="Q105">
        <f>Source!X44</f>
        <v>0</v>
      </c>
      <c r="R105">
        <f>Source!X45</f>
        <v>0</v>
      </c>
      <c r="S105">
        <f>Source!Y44</f>
        <v>0</v>
      </c>
      <c r="T105">
        <f>Source!Y45</f>
        <v>0</v>
      </c>
      <c r="U105">
        <f>ROUND((175/100)*ROUND(Source!R44, 2), 2)</f>
        <v>0</v>
      </c>
      <c r="V105">
        <f>ROUND((157/100)*ROUND(Source!R45, 2), 2)</f>
        <v>0</v>
      </c>
    </row>
    <row r="106" spans="1:22" ht="14.25" x14ac:dyDescent="0.2">
      <c r="A106" s="41"/>
      <c r="B106" s="42"/>
      <c r="C106" s="42" t="s">
        <v>321</v>
      </c>
      <c r="D106" s="43" t="s">
        <v>322</v>
      </c>
      <c r="E106" s="12">
        <f>Source!DN39</f>
        <v>114</v>
      </c>
      <c r="F106" s="45"/>
      <c r="G106" s="44"/>
      <c r="H106" s="12"/>
      <c r="I106" s="46">
        <f>SUM(Q97:Q105)</f>
        <v>0</v>
      </c>
      <c r="J106" s="12">
        <f>Source!BZ39</f>
        <v>77</v>
      </c>
      <c r="K106" s="46">
        <f>SUM(R97:R105)</f>
        <v>3391.87</v>
      </c>
    </row>
    <row r="107" spans="1:22" ht="14.25" x14ac:dyDescent="0.2">
      <c r="A107" s="41"/>
      <c r="B107" s="42"/>
      <c r="C107" s="42" t="s">
        <v>323</v>
      </c>
      <c r="D107" s="43" t="s">
        <v>322</v>
      </c>
      <c r="E107" s="12">
        <f>Source!DO39</f>
        <v>67</v>
      </c>
      <c r="F107" s="45"/>
      <c r="G107" s="44"/>
      <c r="H107" s="12"/>
      <c r="I107" s="46">
        <f>SUM(S97:S106)</f>
        <v>0</v>
      </c>
      <c r="J107" s="12">
        <f>Source!CA39</f>
        <v>41</v>
      </c>
      <c r="K107" s="46">
        <f>SUM(T97:T106)</f>
        <v>1806.06</v>
      </c>
    </row>
    <row r="108" spans="1:22" ht="14.25" x14ac:dyDescent="0.2">
      <c r="A108" s="41"/>
      <c r="B108" s="42"/>
      <c r="C108" s="42" t="s">
        <v>324</v>
      </c>
      <c r="D108" s="43" t="s">
        <v>322</v>
      </c>
      <c r="E108" s="12">
        <f>175</f>
        <v>175</v>
      </c>
      <c r="F108" s="45"/>
      <c r="G108" s="44"/>
      <c r="H108" s="12"/>
      <c r="I108" s="46">
        <f>SUM(U97:U107)</f>
        <v>14.49</v>
      </c>
      <c r="J108" s="12">
        <f>157</f>
        <v>157</v>
      </c>
      <c r="K108" s="46">
        <f>SUM(V97:V107)</f>
        <v>281.95999999999998</v>
      </c>
    </row>
    <row r="109" spans="1:22" ht="14.25" x14ac:dyDescent="0.2">
      <c r="A109" s="52"/>
      <c r="B109" s="53"/>
      <c r="C109" s="53" t="s">
        <v>325</v>
      </c>
      <c r="D109" s="54" t="s">
        <v>326</v>
      </c>
      <c r="E109" s="55">
        <f>Source!AQ38</f>
        <v>15.93</v>
      </c>
      <c r="F109" s="56"/>
      <c r="G109" s="57" t="str">
        <f>Source!DI38</f>
        <v/>
      </c>
      <c r="H109" s="55">
        <f>Source!AV39</f>
        <v>1</v>
      </c>
      <c r="I109" s="58">
        <f>Source!U38</f>
        <v>15.93</v>
      </c>
      <c r="J109" s="55"/>
      <c r="K109" s="58"/>
    </row>
    <row r="110" spans="1:22" ht="15" x14ac:dyDescent="0.25">
      <c r="A110" s="59"/>
      <c r="B110" s="59"/>
      <c r="C110" s="60" t="s">
        <v>327</v>
      </c>
      <c r="D110" s="59"/>
      <c r="E110" s="59"/>
      <c r="F110" s="59"/>
      <c r="G110" s="59"/>
      <c r="H110" s="61">
        <f>I99+I100+I102+I106+I107+I108+SUM(I103:I105)</f>
        <v>1352.23</v>
      </c>
      <c r="I110" s="61"/>
      <c r="J110" s="61">
        <f>K99+K100+K102+K106+K107+K108+SUM(K103:K105)</f>
        <v>15661.039999999999</v>
      </c>
      <c r="K110" s="61"/>
      <c r="O110" s="49">
        <f>I99+I100+I102+I106+I107+I108+SUM(I103:I105)</f>
        <v>1352.23</v>
      </c>
      <c r="P110" s="49">
        <f>K99+K100+K102+K106+K107+K108+SUM(K103:K105)</f>
        <v>15661.039999999999</v>
      </c>
    </row>
    <row r="112" spans="1:22" ht="28.5" x14ac:dyDescent="0.2">
      <c r="A112" s="41" t="str">
        <f>Source!E46</f>
        <v>8</v>
      </c>
      <c r="B112" s="42" t="str">
        <f>Source!F46</f>
        <v>4.8-280-2</v>
      </c>
      <c r="C112" s="42" t="s">
        <v>84</v>
      </c>
      <c r="D112" s="43" t="str">
        <f>Source!H46</f>
        <v>100 м</v>
      </c>
      <c r="E112" s="12">
        <f>Source!I46</f>
        <v>0.5</v>
      </c>
      <c r="F112" s="45"/>
      <c r="G112" s="44"/>
      <c r="H112" s="12"/>
      <c r="I112" s="46"/>
      <c r="J112" s="12"/>
      <c r="K112" s="46"/>
      <c r="Q112">
        <f>Source!X46</f>
        <v>0</v>
      </c>
      <c r="R112">
        <f>Source!X47</f>
        <v>4103.09</v>
      </c>
      <c r="S112">
        <f>Source!Y46</f>
        <v>0</v>
      </c>
      <c r="T112">
        <f>Source!Y47</f>
        <v>2184.7600000000002</v>
      </c>
      <c r="U112">
        <f>ROUND((175/100)*ROUND(Source!R46, 2), 2)</f>
        <v>3.45</v>
      </c>
      <c r="V112">
        <f>ROUND((157/100)*ROUND(Source!R47, 2), 2)</f>
        <v>67.09</v>
      </c>
    </row>
    <row r="113" spans="1:22" ht="14.25" x14ac:dyDescent="0.2">
      <c r="A113" s="41"/>
      <c r="B113" s="42"/>
      <c r="C113" s="42" t="s">
        <v>317</v>
      </c>
      <c r="D113" s="43"/>
      <c r="E113" s="12"/>
      <c r="F113" s="45">
        <f>Source!AO46</f>
        <v>491.35</v>
      </c>
      <c r="G113" s="44" t="str">
        <f>Source!DG46</f>
        <v/>
      </c>
      <c r="H113" s="12">
        <f>Source!AV47</f>
        <v>1</v>
      </c>
      <c r="I113" s="46">
        <f>Source!S46</f>
        <v>245.68</v>
      </c>
      <c r="J113" s="12">
        <f>IF(Source!BA47&lt;&gt; 0, Source!BA47, 1)</f>
        <v>21.69</v>
      </c>
      <c r="K113" s="46">
        <f>Source!S47</f>
        <v>5328.69</v>
      </c>
    </row>
    <row r="114" spans="1:22" ht="14.25" x14ac:dyDescent="0.2">
      <c r="A114" s="41"/>
      <c r="B114" s="42"/>
      <c r="C114" s="42" t="s">
        <v>318</v>
      </c>
      <c r="D114" s="43"/>
      <c r="E114" s="12"/>
      <c r="F114" s="45">
        <f>Source!AM46</f>
        <v>29.47</v>
      </c>
      <c r="G114" s="44" t="str">
        <f>Source!DE46</f>
        <v/>
      </c>
      <c r="H114" s="12">
        <f>Source!AV47</f>
        <v>1</v>
      </c>
      <c r="I114" s="46">
        <f>Source!Q46</f>
        <v>14.74</v>
      </c>
      <c r="J114" s="12">
        <f>IF(Source!BB47&lt;&gt; 0, Source!BB47, 1)</f>
        <v>7.44</v>
      </c>
      <c r="K114" s="46">
        <f>Source!Q47</f>
        <v>109.63</v>
      </c>
    </row>
    <row r="115" spans="1:22" ht="14.25" x14ac:dyDescent="0.2">
      <c r="A115" s="41"/>
      <c r="B115" s="42"/>
      <c r="C115" s="42" t="s">
        <v>319</v>
      </c>
      <c r="D115" s="43"/>
      <c r="E115" s="12"/>
      <c r="F115" s="45">
        <f>Source!AN46</f>
        <v>3.94</v>
      </c>
      <c r="G115" s="44" t="str">
        <f>Source!DF46</f>
        <v/>
      </c>
      <c r="H115" s="12">
        <f>Source!AV47</f>
        <v>1</v>
      </c>
      <c r="I115" s="48">
        <f>Source!R46</f>
        <v>1.97</v>
      </c>
      <c r="J115" s="12">
        <f>IF(Source!BS47&lt;&gt; 0, Source!BS47, 1)</f>
        <v>21.69</v>
      </c>
      <c r="K115" s="48">
        <f>Source!R47</f>
        <v>42.73</v>
      </c>
    </row>
    <row r="116" spans="1:22" ht="14.25" x14ac:dyDescent="0.2">
      <c r="A116" s="41"/>
      <c r="B116" s="42"/>
      <c r="C116" s="42" t="s">
        <v>320</v>
      </c>
      <c r="D116" s="43"/>
      <c r="E116" s="12"/>
      <c r="F116" s="45">
        <f>Source!AL46</f>
        <v>1844.59</v>
      </c>
      <c r="G116" s="44" t="str">
        <f>Source!DD46</f>
        <v/>
      </c>
      <c r="H116" s="12">
        <f>Source!AW47</f>
        <v>1</v>
      </c>
      <c r="I116" s="46">
        <f>Source!P46</f>
        <v>922.3</v>
      </c>
      <c r="J116" s="12">
        <f>IF(Source!BC47&lt;&gt; 0, Source!BC47, 1)</f>
        <v>5.41</v>
      </c>
      <c r="K116" s="46">
        <f>Source!P47</f>
        <v>4989.62</v>
      </c>
    </row>
    <row r="117" spans="1:22" ht="28.5" x14ac:dyDescent="0.2">
      <c r="A117" s="41" t="str">
        <f>Source!E48</f>
        <v>8,1</v>
      </c>
      <c r="B117" s="42" t="str">
        <f>Source!F48</f>
        <v>1.1-1-2426</v>
      </c>
      <c r="C117" s="42" t="s">
        <v>90</v>
      </c>
      <c r="D117" s="43" t="str">
        <f>Source!H48</f>
        <v>м</v>
      </c>
      <c r="E117" s="12">
        <f>Source!I48</f>
        <v>50</v>
      </c>
      <c r="F117" s="45">
        <f>Source!AK48</f>
        <v>7.28</v>
      </c>
      <c r="G117" s="62" t="s">
        <v>3</v>
      </c>
      <c r="H117" s="12">
        <f>Source!AW49</f>
        <v>1</v>
      </c>
      <c r="I117" s="46">
        <f>Source!O48</f>
        <v>364</v>
      </c>
      <c r="J117" s="12">
        <f>IF(Source!BC49&lt;&gt; 0, Source!BC49, 1)</f>
        <v>1.85</v>
      </c>
      <c r="K117" s="46">
        <f>Source!O49</f>
        <v>673.4</v>
      </c>
      <c r="Q117">
        <f>Source!X48</f>
        <v>0</v>
      </c>
      <c r="R117">
        <f>Source!X49</f>
        <v>0</v>
      </c>
      <c r="S117">
        <f>Source!Y48</f>
        <v>0</v>
      </c>
      <c r="T117">
        <f>Source!Y49</f>
        <v>0</v>
      </c>
      <c r="U117">
        <f>ROUND((175/100)*ROUND(Source!R48, 2), 2)</f>
        <v>0</v>
      </c>
      <c r="V117">
        <f>ROUND((157/100)*ROUND(Source!R49, 2), 2)</f>
        <v>0</v>
      </c>
    </row>
    <row r="118" spans="1:22" ht="28.5" x14ac:dyDescent="0.2">
      <c r="A118" s="41" t="str">
        <f>Source!E50</f>
        <v>8,2</v>
      </c>
      <c r="B118" s="42" t="str">
        <f>Source!F50</f>
        <v>1.1-1-2428</v>
      </c>
      <c r="C118" s="42" t="s">
        <v>94</v>
      </c>
      <c r="D118" s="43" t="str">
        <f>Source!H50</f>
        <v>1000 шт.</v>
      </c>
      <c r="E118" s="12">
        <f>Source!I50</f>
        <v>0.01</v>
      </c>
      <c r="F118" s="45">
        <f>Source!AK50</f>
        <v>11139.68</v>
      </c>
      <c r="G118" s="62" t="s">
        <v>3</v>
      </c>
      <c r="H118" s="12">
        <f>Source!AW51</f>
        <v>1</v>
      </c>
      <c r="I118" s="46">
        <f>Source!O50</f>
        <v>111.4</v>
      </c>
      <c r="J118" s="12">
        <f>IF(Source!BC51&lt;&gt; 0, Source!BC51, 1)</f>
        <v>1.1399999999999999</v>
      </c>
      <c r="K118" s="46">
        <f>Source!O51</f>
        <v>126.99</v>
      </c>
      <c r="Q118">
        <f>Source!X50</f>
        <v>0</v>
      </c>
      <c r="R118">
        <f>Source!X51</f>
        <v>0</v>
      </c>
      <c r="S118">
        <f>Source!Y50</f>
        <v>0</v>
      </c>
      <c r="T118">
        <f>Source!Y51</f>
        <v>0</v>
      </c>
      <c r="U118">
        <f>ROUND((175/100)*ROUND(Source!R50, 2), 2)</f>
        <v>0</v>
      </c>
      <c r="V118">
        <f>ROUND((157/100)*ROUND(Source!R51, 2), 2)</f>
        <v>0</v>
      </c>
    </row>
    <row r="119" spans="1:22" ht="28.5" x14ac:dyDescent="0.2">
      <c r="A119" s="41" t="str">
        <f>Source!E52</f>
        <v>8,3</v>
      </c>
      <c r="B119" s="42" t="str">
        <f>Source!F52</f>
        <v>1.1-1-2430</v>
      </c>
      <c r="C119" s="42" t="s">
        <v>99</v>
      </c>
      <c r="D119" s="43" t="str">
        <f>Source!H52</f>
        <v>1000 шт.</v>
      </c>
      <c r="E119" s="12">
        <f>Source!I52</f>
        <v>3.0000000000000001E-3</v>
      </c>
      <c r="F119" s="45">
        <f>Source!AK52</f>
        <v>5447.7</v>
      </c>
      <c r="G119" s="62" t="s">
        <v>3</v>
      </c>
      <c r="H119" s="12">
        <f>Source!AW53</f>
        <v>1</v>
      </c>
      <c r="I119" s="46">
        <f>Source!O52</f>
        <v>16.34</v>
      </c>
      <c r="J119" s="12">
        <f>IF(Source!BC53&lt;&gt; 0, Source!BC53, 1)</f>
        <v>1.8</v>
      </c>
      <c r="K119" s="46">
        <f>Source!O53</f>
        <v>29.42</v>
      </c>
      <c r="Q119">
        <f>Source!X52</f>
        <v>0</v>
      </c>
      <c r="R119">
        <f>Source!X53</f>
        <v>0</v>
      </c>
      <c r="S119">
        <f>Source!Y52</f>
        <v>0</v>
      </c>
      <c r="T119">
        <f>Source!Y53</f>
        <v>0</v>
      </c>
      <c r="U119">
        <f>ROUND((175/100)*ROUND(Source!R52, 2), 2)</f>
        <v>0</v>
      </c>
      <c r="V119">
        <f>ROUND((157/100)*ROUND(Source!R53, 2), 2)</f>
        <v>0</v>
      </c>
    </row>
    <row r="120" spans="1:22" ht="28.5" x14ac:dyDescent="0.2">
      <c r="A120" s="41" t="str">
        <f>Source!E54</f>
        <v>8,4</v>
      </c>
      <c r="B120" s="42" t="str">
        <f>Source!F54</f>
        <v>1.1-1-2427</v>
      </c>
      <c r="C120" s="42" t="s">
        <v>103</v>
      </c>
      <c r="D120" s="43" t="str">
        <f>Source!H54</f>
        <v>1000 шт.</v>
      </c>
      <c r="E120" s="12">
        <f>Source!I54</f>
        <v>7.0000000000000001E-3</v>
      </c>
      <c r="F120" s="45">
        <f>Source!AK54</f>
        <v>8875.18</v>
      </c>
      <c r="G120" s="62" t="s">
        <v>3</v>
      </c>
      <c r="H120" s="12">
        <f>Source!AW55</f>
        <v>1</v>
      </c>
      <c r="I120" s="46">
        <f>Source!O54</f>
        <v>62.13</v>
      </c>
      <c r="J120" s="12">
        <f>IF(Source!BC55&lt;&gt; 0, Source!BC55, 1)</f>
        <v>1.44</v>
      </c>
      <c r="K120" s="46">
        <f>Source!O55</f>
        <v>89.46</v>
      </c>
      <c r="Q120">
        <f>Source!X54</f>
        <v>0</v>
      </c>
      <c r="R120">
        <f>Source!X55</f>
        <v>0</v>
      </c>
      <c r="S120">
        <f>Source!Y54</f>
        <v>0</v>
      </c>
      <c r="T120">
        <f>Source!Y55</f>
        <v>0</v>
      </c>
      <c r="U120">
        <f>ROUND((175/100)*ROUND(Source!R54, 2), 2)</f>
        <v>0</v>
      </c>
      <c r="V120">
        <f>ROUND((157/100)*ROUND(Source!R55, 2), 2)</f>
        <v>0</v>
      </c>
    </row>
    <row r="121" spans="1:22" ht="14.25" x14ac:dyDescent="0.2">
      <c r="A121" s="41"/>
      <c r="B121" s="42"/>
      <c r="C121" s="42" t="s">
        <v>321</v>
      </c>
      <c r="D121" s="43" t="s">
        <v>322</v>
      </c>
      <c r="E121" s="12">
        <f>Source!DN47</f>
        <v>114</v>
      </c>
      <c r="F121" s="45"/>
      <c r="G121" s="44"/>
      <c r="H121" s="12"/>
      <c r="I121" s="46">
        <f>SUM(Q112:Q120)</f>
        <v>0</v>
      </c>
      <c r="J121" s="12">
        <f>Source!BZ47</f>
        <v>77</v>
      </c>
      <c r="K121" s="46">
        <f>SUM(R112:R120)</f>
        <v>4103.09</v>
      </c>
    </row>
    <row r="122" spans="1:22" ht="14.25" x14ac:dyDescent="0.2">
      <c r="A122" s="41"/>
      <c r="B122" s="42"/>
      <c r="C122" s="42" t="s">
        <v>323</v>
      </c>
      <c r="D122" s="43" t="s">
        <v>322</v>
      </c>
      <c r="E122" s="12">
        <f>Source!DO47</f>
        <v>67</v>
      </c>
      <c r="F122" s="45"/>
      <c r="G122" s="44"/>
      <c r="H122" s="12"/>
      <c r="I122" s="46">
        <f>SUM(S112:S121)</f>
        <v>0</v>
      </c>
      <c r="J122" s="12">
        <f>Source!CA47</f>
        <v>41</v>
      </c>
      <c r="K122" s="46">
        <f>SUM(T112:T121)</f>
        <v>2184.7600000000002</v>
      </c>
    </row>
    <row r="123" spans="1:22" ht="14.25" x14ac:dyDescent="0.2">
      <c r="A123" s="41"/>
      <c r="B123" s="42"/>
      <c r="C123" s="42" t="s">
        <v>324</v>
      </c>
      <c r="D123" s="43" t="s">
        <v>322</v>
      </c>
      <c r="E123" s="12">
        <f>175</f>
        <v>175</v>
      </c>
      <c r="F123" s="45"/>
      <c r="G123" s="44"/>
      <c r="H123" s="12"/>
      <c r="I123" s="46">
        <f>SUM(U112:U122)</f>
        <v>3.45</v>
      </c>
      <c r="J123" s="12">
        <f>157</f>
        <v>157</v>
      </c>
      <c r="K123" s="46">
        <f>SUM(V112:V122)</f>
        <v>67.09</v>
      </c>
    </row>
    <row r="124" spans="1:22" ht="14.25" x14ac:dyDescent="0.2">
      <c r="A124" s="52"/>
      <c r="B124" s="53"/>
      <c r="C124" s="53" t="s">
        <v>325</v>
      </c>
      <c r="D124" s="54" t="s">
        <v>326</v>
      </c>
      <c r="E124" s="55">
        <f>Source!AQ46</f>
        <v>40.67</v>
      </c>
      <c r="F124" s="56"/>
      <c r="G124" s="57" t="str">
        <f>Source!DI46</f>
        <v/>
      </c>
      <c r="H124" s="55">
        <f>Source!AV47</f>
        <v>1</v>
      </c>
      <c r="I124" s="58">
        <f>Source!U46</f>
        <v>20.335000000000001</v>
      </c>
      <c r="J124" s="55"/>
      <c r="K124" s="58"/>
    </row>
    <row r="125" spans="1:22" ht="15" x14ac:dyDescent="0.25">
      <c r="A125" s="59"/>
      <c r="B125" s="59"/>
      <c r="C125" s="60" t="s">
        <v>327</v>
      </c>
      <c r="D125" s="59"/>
      <c r="E125" s="59"/>
      <c r="F125" s="59"/>
      <c r="G125" s="59"/>
      <c r="H125" s="61">
        <f>I113+I114+I116+I121+I122+I123+SUM(I117:I120)</f>
        <v>1740.04</v>
      </c>
      <c r="I125" s="61"/>
      <c r="J125" s="61">
        <f>K113+K114+K116+K121+K122+K123+SUM(K117:K120)</f>
        <v>17702.150000000001</v>
      </c>
      <c r="K125" s="61"/>
      <c r="O125" s="49">
        <f>I113+I114+I116+I121+I122+I123+SUM(I117:I120)</f>
        <v>1740.04</v>
      </c>
      <c r="P125" s="49">
        <f>K113+K114+K116+K121+K122+K123+SUM(K117:K120)</f>
        <v>17702.150000000001</v>
      </c>
    </row>
    <row r="127" spans="1:22" ht="71.25" x14ac:dyDescent="0.2">
      <c r="A127" s="41" t="str">
        <f>Source!E60</f>
        <v>11</v>
      </c>
      <c r="B127" s="42" t="str">
        <f>Source!F60</f>
        <v>4.8-175-2</v>
      </c>
      <c r="C127" s="42" t="s">
        <v>118</v>
      </c>
      <c r="D127" s="43" t="str">
        <f>Source!H60</f>
        <v>100 м</v>
      </c>
      <c r="E127" s="12">
        <f>Source!I60</f>
        <v>1</v>
      </c>
      <c r="F127" s="45"/>
      <c r="G127" s="44"/>
      <c r="H127" s="12"/>
      <c r="I127" s="46"/>
      <c r="J127" s="12"/>
      <c r="K127" s="46"/>
      <c r="Q127">
        <f>Source!X60</f>
        <v>0</v>
      </c>
      <c r="R127">
        <f>Source!X61</f>
        <v>1272.6400000000001</v>
      </c>
      <c r="S127">
        <f>Source!Y60</f>
        <v>0</v>
      </c>
      <c r="T127">
        <f>Source!Y61</f>
        <v>677.64</v>
      </c>
      <c r="U127">
        <f>ROUND((175/100)*ROUND(Source!R60, 2), 2)</f>
        <v>0.68</v>
      </c>
      <c r="V127">
        <f>ROUND((157/100)*ROUND(Source!R61, 2), 2)</f>
        <v>13.28</v>
      </c>
    </row>
    <row r="128" spans="1:22" x14ac:dyDescent="0.2">
      <c r="C128" s="47" t="str">
        <f>"Объем: "&amp;Source!I60&amp;"=100/"&amp;"100"</f>
        <v>Объем: 1=100/100</v>
      </c>
    </row>
    <row r="129" spans="1:22" ht="14.25" x14ac:dyDescent="0.2">
      <c r="A129" s="41"/>
      <c r="B129" s="42"/>
      <c r="C129" s="42" t="s">
        <v>317</v>
      </c>
      <c r="D129" s="43"/>
      <c r="E129" s="12"/>
      <c r="F129" s="45">
        <f>Source!AO60</f>
        <v>76.2</v>
      </c>
      <c r="G129" s="44" t="str">
        <f>Source!DG60</f>
        <v/>
      </c>
      <c r="H129" s="12">
        <f>Source!AV61</f>
        <v>1</v>
      </c>
      <c r="I129" s="46">
        <f>Source!S60</f>
        <v>76.2</v>
      </c>
      <c r="J129" s="12">
        <f>IF(Source!BA61&lt;&gt; 0, Source!BA61, 1)</f>
        <v>21.69</v>
      </c>
      <c r="K129" s="46">
        <f>Source!S61</f>
        <v>1652.78</v>
      </c>
    </row>
    <row r="130" spans="1:22" ht="14.25" x14ac:dyDescent="0.2">
      <c r="A130" s="41"/>
      <c r="B130" s="42"/>
      <c r="C130" s="42" t="s">
        <v>318</v>
      </c>
      <c r="D130" s="43"/>
      <c r="E130" s="12"/>
      <c r="F130" s="45">
        <f>Source!AM60</f>
        <v>1.69</v>
      </c>
      <c r="G130" s="44" t="str">
        <f>Source!DE60</f>
        <v/>
      </c>
      <c r="H130" s="12">
        <f>Source!AV61</f>
        <v>1</v>
      </c>
      <c r="I130" s="46">
        <f>Source!Q60</f>
        <v>1.69</v>
      </c>
      <c r="J130" s="12">
        <f>IF(Source!BB61&lt;&gt; 0, Source!BB61, 1)</f>
        <v>9.0399999999999991</v>
      </c>
      <c r="K130" s="46">
        <f>Source!Q61</f>
        <v>15.28</v>
      </c>
    </row>
    <row r="131" spans="1:22" ht="14.25" x14ac:dyDescent="0.2">
      <c r="A131" s="41"/>
      <c r="B131" s="42"/>
      <c r="C131" s="42" t="s">
        <v>319</v>
      </c>
      <c r="D131" s="43"/>
      <c r="E131" s="12"/>
      <c r="F131" s="45">
        <f>Source!AN60</f>
        <v>0.39</v>
      </c>
      <c r="G131" s="44" t="str">
        <f>Source!DF60</f>
        <v/>
      </c>
      <c r="H131" s="12">
        <f>Source!AV61</f>
        <v>1</v>
      </c>
      <c r="I131" s="48">
        <f>Source!R60</f>
        <v>0.39</v>
      </c>
      <c r="J131" s="12">
        <f>IF(Source!BS61&lt;&gt; 0, Source!BS61, 1)</f>
        <v>21.69</v>
      </c>
      <c r="K131" s="48">
        <f>Source!R61</f>
        <v>8.4600000000000009</v>
      </c>
    </row>
    <row r="132" spans="1:22" ht="14.25" x14ac:dyDescent="0.2">
      <c r="A132" s="41"/>
      <c r="B132" s="42"/>
      <c r="C132" s="42" t="s">
        <v>320</v>
      </c>
      <c r="D132" s="43"/>
      <c r="E132" s="12"/>
      <c r="F132" s="45">
        <f>Source!AL60</f>
        <v>9.94</v>
      </c>
      <c r="G132" s="44" t="str">
        <f>Source!DD60</f>
        <v/>
      </c>
      <c r="H132" s="12">
        <f>Source!AW61</f>
        <v>1</v>
      </c>
      <c r="I132" s="46">
        <f>Source!P60</f>
        <v>9.94</v>
      </c>
      <c r="J132" s="12">
        <f>IF(Source!BC61&lt;&gt; 0, Source!BC61, 1)</f>
        <v>5.41</v>
      </c>
      <c r="K132" s="46">
        <f>Source!P61</f>
        <v>53.78</v>
      </c>
    </row>
    <row r="133" spans="1:22" ht="14.25" x14ac:dyDescent="0.2">
      <c r="A133" s="41"/>
      <c r="B133" s="42"/>
      <c r="C133" s="42" t="s">
        <v>321</v>
      </c>
      <c r="D133" s="43" t="s">
        <v>322</v>
      </c>
      <c r="E133" s="12">
        <f>Source!DN61</f>
        <v>114</v>
      </c>
      <c r="F133" s="45"/>
      <c r="G133" s="44"/>
      <c r="H133" s="12"/>
      <c r="I133" s="46">
        <f>SUM(Q127:Q132)</f>
        <v>0</v>
      </c>
      <c r="J133" s="12">
        <f>Source!BZ61</f>
        <v>77</v>
      </c>
      <c r="K133" s="46">
        <f>SUM(R127:R132)</f>
        <v>1272.6400000000001</v>
      </c>
    </row>
    <row r="134" spans="1:22" ht="14.25" x14ac:dyDescent="0.2">
      <c r="A134" s="41"/>
      <c r="B134" s="42"/>
      <c r="C134" s="42" t="s">
        <v>323</v>
      </c>
      <c r="D134" s="43" t="s">
        <v>322</v>
      </c>
      <c r="E134" s="12">
        <f>Source!DO61</f>
        <v>67</v>
      </c>
      <c r="F134" s="45"/>
      <c r="G134" s="44"/>
      <c r="H134" s="12"/>
      <c r="I134" s="46">
        <f>SUM(S127:S133)</f>
        <v>0</v>
      </c>
      <c r="J134" s="12">
        <f>Source!CA61</f>
        <v>41</v>
      </c>
      <c r="K134" s="46">
        <f>SUM(T127:T133)</f>
        <v>677.64</v>
      </c>
    </row>
    <row r="135" spans="1:22" ht="14.25" x14ac:dyDescent="0.2">
      <c r="A135" s="41"/>
      <c r="B135" s="42"/>
      <c r="C135" s="42" t="s">
        <v>324</v>
      </c>
      <c r="D135" s="43" t="s">
        <v>322</v>
      </c>
      <c r="E135" s="12">
        <f>175</f>
        <v>175</v>
      </c>
      <c r="F135" s="45"/>
      <c r="G135" s="44"/>
      <c r="H135" s="12"/>
      <c r="I135" s="46">
        <f>SUM(U127:U134)</f>
        <v>0.68</v>
      </c>
      <c r="J135" s="12">
        <f>157</f>
        <v>157</v>
      </c>
      <c r="K135" s="46">
        <f>SUM(V127:V134)</f>
        <v>13.28</v>
      </c>
    </row>
    <row r="136" spans="1:22" ht="14.25" x14ac:dyDescent="0.2">
      <c r="A136" s="52"/>
      <c r="B136" s="53"/>
      <c r="C136" s="53" t="s">
        <v>325</v>
      </c>
      <c r="D136" s="54" t="s">
        <v>326</v>
      </c>
      <c r="E136" s="55">
        <f>Source!AQ60</f>
        <v>6.18</v>
      </c>
      <c r="F136" s="56"/>
      <c r="G136" s="57" t="str">
        <f>Source!DI60</f>
        <v/>
      </c>
      <c r="H136" s="55">
        <f>Source!AV61</f>
        <v>1</v>
      </c>
      <c r="I136" s="58">
        <f>Source!U60</f>
        <v>6.18</v>
      </c>
      <c r="J136" s="55"/>
      <c r="K136" s="58"/>
    </row>
    <row r="137" spans="1:22" ht="15" x14ac:dyDescent="0.25">
      <c r="A137" s="59"/>
      <c r="B137" s="59"/>
      <c r="C137" s="60" t="s">
        <v>327</v>
      </c>
      <c r="D137" s="59"/>
      <c r="E137" s="59"/>
      <c r="F137" s="59"/>
      <c r="G137" s="59"/>
      <c r="H137" s="61">
        <f>I129+I130+I132+I133+I134+I135</f>
        <v>88.51</v>
      </c>
      <c r="I137" s="61"/>
      <c r="J137" s="61">
        <f>K129+K130+K132+K133+K134+K135</f>
        <v>3685.4</v>
      </c>
      <c r="K137" s="61"/>
      <c r="O137" s="49">
        <f>I129+I130+I132+I133+I134+I135</f>
        <v>88.51</v>
      </c>
      <c r="P137" s="49">
        <f>K129+K130+K132+K133+K134+K135</f>
        <v>3685.4</v>
      </c>
    </row>
    <row r="139" spans="1:22" ht="28.5" x14ac:dyDescent="0.2">
      <c r="A139" s="41" t="str">
        <f>Source!E62</f>
        <v>12</v>
      </c>
      <c r="B139" s="42" t="str">
        <f>Source!F62</f>
        <v>4.8-162-1</v>
      </c>
      <c r="C139" s="42" t="s">
        <v>124</v>
      </c>
      <c r="D139" s="43" t="str">
        <f>Source!H62</f>
        <v>100 м</v>
      </c>
      <c r="E139" s="12">
        <f>Source!I62</f>
        <v>0.5</v>
      </c>
      <c r="F139" s="45"/>
      <c r="G139" s="44"/>
      <c r="H139" s="12"/>
      <c r="I139" s="46"/>
      <c r="J139" s="12"/>
      <c r="K139" s="46"/>
      <c r="Q139">
        <f>Source!X62</f>
        <v>0</v>
      </c>
      <c r="R139">
        <f>Source!X63</f>
        <v>318.16000000000003</v>
      </c>
      <c r="S139">
        <f>Source!Y62</f>
        <v>0</v>
      </c>
      <c r="T139">
        <f>Source!Y63</f>
        <v>169.41</v>
      </c>
      <c r="U139">
        <f>ROUND((175/100)*ROUND(Source!R62, 2), 2)</f>
        <v>0.18</v>
      </c>
      <c r="V139">
        <f>ROUND((157/100)*ROUND(Source!R63, 2), 2)</f>
        <v>3.41</v>
      </c>
    </row>
    <row r="140" spans="1:22" x14ac:dyDescent="0.2">
      <c r="C140" s="47" t="str">
        <f>"Объем: "&amp;Source!I62&amp;"=50/"&amp;"100"</f>
        <v>Объем: 0,5=50/100</v>
      </c>
    </row>
    <row r="141" spans="1:22" ht="14.25" x14ac:dyDescent="0.2">
      <c r="A141" s="41"/>
      <c r="B141" s="42"/>
      <c r="C141" s="42" t="s">
        <v>317</v>
      </c>
      <c r="D141" s="43"/>
      <c r="E141" s="12"/>
      <c r="F141" s="45">
        <f>Source!AO62</f>
        <v>38.1</v>
      </c>
      <c r="G141" s="44" t="str">
        <f>Source!DG62</f>
        <v/>
      </c>
      <c r="H141" s="12">
        <f>Source!AV63</f>
        <v>1</v>
      </c>
      <c r="I141" s="46">
        <f>Source!S62</f>
        <v>19.05</v>
      </c>
      <c r="J141" s="12">
        <f>IF(Source!BA63&lt;&gt; 0, Source!BA63, 1)</f>
        <v>21.69</v>
      </c>
      <c r="K141" s="46">
        <f>Source!S63</f>
        <v>413.19</v>
      </c>
    </row>
    <row r="142" spans="1:22" ht="14.25" x14ac:dyDescent="0.2">
      <c r="A142" s="41"/>
      <c r="B142" s="42"/>
      <c r="C142" s="42" t="s">
        <v>318</v>
      </c>
      <c r="D142" s="43"/>
      <c r="E142" s="12"/>
      <c r="F142" s="45">
        <f>Source!AM62</f>
        <v>0.85</v>
      </c>
      <c r="G142" s="44" t="str">
        <f>Source!DE62</f>
        <v/>
      </c>
      <c r="H142" s="12">
        <f>Source!AV63</f>
        <v>1</v>
      </c>
      <c r="I142" s="46">
        <f>Source!Q62</f>
        <v>0.43</v>
      </c>
      <c r="J142" s="12">
        <f>IF(Source!BB63&lt;&gt; 0, Source!BB63, 1)</f>
        <v>9.11</v>
      </c>
      <c r="K142" s="46">
        <f>Source!Q63</f>
        <v>3.87</v>
      </c>
    </row>
    <row r="143" spans="1:22" ht="14.25" x14ac:dyDescent="0.2">
      <c r="A143" s="41"/>
      <c r="B143" s="42"/>
      <c r="C143" s="42" t="s">
        <v>319</v>
      </c>
      <c r="D143" s="43"/>
      <c r="E143" s="12"/>
      <c r="F143" s="45">
        <f>Source!AN62</f>
        <v>0.2</v>
      </c>
      <c r="G143" s="44" t="str">
        <f>Source!DF62</f>
        <v/>
      </c>
      <c r="H143" s="12">
        <f>Source!AV63</f>
        <v>1</v>
      </c>
      <c r="I143" s="48">
        <f>Source!R62</f>
        <v>0.1</v>
      </c>
      <c r="J143" s="12">
        <f>IF(Source!BS63&lt;&gt; 0, Source!BS63, 1)</f>
        <v>21.69</v>
      </c>
      <c r="K143" s="48">
        <f>Source!R63</f>
        <v>2.17</v>
      </c>
    </row>
    <row r="144" spans="1:22" ht="14.25" x14ac:dyDescent="0.2">
      <c r="A144" s="41"/>
      <c r="B144" s="42"/>
      <c r="C144" s="42" t="s">
        <v>320</v>
      </c>
      <c r="D144" s="43"/>
      <c r="E144" s="12"/>
      <c r="F144" s="45">
        <f>Source!AL62</f>
        <v>3.71</v>
      </c>
      <c r="G144" s="44" t="str">
        <f>Source!DD62</f>
        <v/>
      </c>
      <c r="H144" s="12">
        <f>Source!AW63</f>
        <v>1</v>
      </c>
      <c r="I144" s="46">
        <f>Source!P62</f>
        <v>1.86</v>
      </c>
      <c r="J144" s="12">
        <f>IF(Source!BC63&lt;&gt; 0, Source!BC63, 1)</f>
        <v>5.41</v>
      </c>
      <c r="K144" s="46">
        <f>Source!P63</f>
        <v>10.039999999999999</v>
      </c>
    </row>
    <row r="145" spans="1:22" ht="14.25" x14ac:dyDescent="0.2">
      <c r="A145" s="41"/>
      <c r="B145" s="42"/>
      <c r="C145" s="42" t="s">
        <v>321</v>
      </c>
      <c r="D145" s="43" t="s">
        <v>322</v>
      </c>
      <c r="E145" s="12">
        <f>Source!DN63</f>
        <v>114</v>
      </c>
      <c r="F145" s="45"/>
      <c r="G145" s="44"/>
      <c r="H145" s="12"/>
      <c r="I145" s="46">
        <f>SUM(Q139:Q144)</f>
        <v>0</v>
      </c>
      <c r="J145" s="12">
        <f>Source!BZ63</f>
        <v>77</v>
      </c>
      <c r="K145" s="46">
        <f>SUM(R139:R144)</f>
        <v>318.16000000000003</v>
      </c>
    </row>
    <row r="146" spans="1:22" ht="14.25" x14ac:dyDescent="0.2">
      <c r="A146" s="41"/>
      <c r="B146" s="42"/>
      <c r="C146" s="42" t="s">
        <v>323</v>
      </c>
      <c r="D146" s="43" t="s">
        <v>322</v>
      </c>
      <c r="E146" s="12">
        <f>Source!DO63</f>
        <v>67</v>
      </c>
      <c r="F146" s="45"/>
      <c r="G146" s="44"/>
      <c r="H146" s="12"/>
      <c r="I146" s="46">
        <f>SUM(S139:S145)</f>
        <v>0</v>
      </c>
      <c r="J146" s="12">
        <f>Source!CA63</f>
        <v>41</v>
      </c>
      <c r="K146" s="46">
        <f>SUM(T139:T145)</f>
        <v>169.41</v>
      </c>
    </row>
    <row r="147" spans="1:22" ht="14.25" x14ac:dyDescent="0.2">
      <c r="A147" s="41"/>
      <c r="B147" s="42"/>
      <c r="C147" s="42" t="s">
        <v>324</v>
      </c>
      <c r="D147" s="43" t="s">
        <v>322</v>
      </c>
      <c r="E147" s="12">
        <f>175</f>
        <v>175</v>
      </c>
      <c r="F147" s="45"/>
      <c r="G147" s="44"/>
      <c r="H147" s="12"/>
      <c r="I147" s="46">
        <f>SUM(U139:U146)</f>
        <v>0.18</v>
      </c>
      <c r="J147" s="12">
        <f>157</f>
        <v>157</v>
      </c>
      <c r="K147" s="46">
        <f>SUM(V139:V146)</f>
        <v>3.41</v>
      </c>
    </row>
    <row r="148" spans="1:22" ht="14.25" x14ac:dyDescent="0.2">
      <c r="A148" s="52"/>
      <c r="B148" s="53"/>
      <c r="C148" s="53" t="s">
        <v>325</v>
      </c>
      <c r="D148" s="54" t="s">
        <v>326</v>
      </c>
      <c r="E148" s="55">
        <f>Source!AQ62</f>
        <v>3.09</v>
      </c>
      <c r="F148" s="56"/>
      <c r="G148" s="57" t="str">
        <f>Source!DI62</f>
        <v/>
      </c>
      <c r="H148" s="55">
        <f>Source!AV63</f>
        <v>1</v>
      </c>
      <c r="I148" s="58">
        <f>Source!U62</f>
        <v>1.5449999999999999</v>
      </c>
      <c r="J148" s="55"/>
      <c r="K148" s="58"/>
    </row>
    <row r="149" spans="1:22" ht="15" x14ac:dyDescent="0.25">
      <c r="A149" s="59"/>
      <c r="B149" s="59"/>
      <c r="C149" s="60" t="s">
        <v>327</v>
      </c>
      <c r="D149" s="59"/>
      <c r="E149" s="59"/>
      <c r="F149" s="59"/>
      <c r="G149" s="59"/>
      <c r="H149" s="61">
        <f>I141+I142+I144+I145+I146+I147</f>
        <v>21.52</v>
      </c>
      <c r="I149" s="61"/>
      <c r="J149" s="61">
        <f>K141+K142+K144+K145+K146+K147</f>
        <v>918.07999999999993</v>
      </c>
      <c r="K149" s="61"/>
      <c r="O149" s="49">
        <f>I141+I142+I144+I145+I146+I147</f>
        <v>21.52</v>
      </c>
      <c r="P149" s="49">
        <f>K141+K142+K144+K145+K146+K147</f>
        <v>918.07999999999993</v>
      </c>
    </row>
    <row r="151" spans="1:22" ht="42.75" x14ac:dyDescent="0.2">
      <c r="A151" s="41" t="str">
        <f>Source!E64</f>
        <v>13</v>
      </c>
      <c r="B151" s="42" t="str">
        <f>Source!F64</f>
        <v>4.8-163-1</v>
      </c>
      <c r="C151" s="42" t="s">
        <v>128</v>
      </c>
      <c r="D151" s="43" t="str">
        <f>Source!H64</f>
        <v>100 м</v>
      </c>
      <c r="E151" s="12">
        <f>Source!I64</f>
        <v>10</v>
      </c>
      <c r="F151" s="45"/>
      <c r="G151" s="44"/>
      <c r="H151" s="12"/>
      <c r="I151" s="46"/>
      <c r="J151" s="12"/>
      <c r="K151" s="46"/>
      <c r="Q151">
        <f>Source!X64</f>
        <v>0</v>
      </c>
      <c r="R151">
        <f>Source!X65</f>
        <v>8484.26</v>
      </c>
      <c r="S151">
        <f>Source!Y64</f>
        <v>0</v>
      </c>
      <c r="T151">
        <f>Source!Y65</f>
        <v>4517.59</v>
      </c>
      <c r="U151">
        <f>ROUND((175/100)*ROUND(Source!R64, 2), 2)</f>
        <v>871.85</v>
      </c>
      <c r="V151">
        <f>ROUND((157/100)*ROUND(Source!R65, 2), 2)</f>
        <v>16965.36</v>
      </c>
    </row>
    <row r="152" spans="1:22" x14ac:dyDescent="0.2">
      <c r="C152" s="47" t="str">
        <f>"Объем: "&amp;Source!I64&amp;"=1000/"&amp;"100"</f>
        <v>Объем: 10=1000/100</v>
      </c>
    </row>
    <row r="153" spans="1:22" ht="14.25" x14ac:dyDescent="0.2">
      <c r="A153" s="41"/>
      <c r="B153" s="42"/>
      <c r="C153" s="42" t="s">
        <v>317</v>
      </c>
      <c r="D153" s="43"/>
      <c r="E153" s="12"/>
      <c r="F153" s="45">
        <f>Source!AO64</f>
        <v>50.8</v>
      </c>
      <c r="G153" s="44" t="str">
        <f>Source!DG64</f>
        <v/>
      </c>
      <c r="H153" s="12">
        <f>Source!AV65</f>
        <v>1</v>
      </c>
      <c r="I153" s="46">
        <f>Source!S64</f>
        <v>508</v>
      </c>
      <c r="J153" s="12">
        <f>IF(Source!BA65&lt;&gt; 0, Source!BA65, 1)</f>
        <v>21.69</v>
      </c>
      <c r="K153" s="46">
        <f>Source!S65</f>
        <v>11018.52</v>
      </c>
    </row>
    <row r="154" spans="1:22" ht="14.25" x14ac:dyDescent="0.2">
      <c r="A154" s="41"/>
      <c r="B154" s="42"/>
      <c r="C154" s="42" t="s">
        <v>318</v>
      </c>
      <c r="D154" s="43"/>
      <c r="E154" s="12"/>
      <c r="F154" s="45">
        <f>Source!AM64</f>
        <v>231.06</v>
      </c>
      <c r="G154" s="44" t="str">
        <f>Source!DE64</f>
        <v/>
      </c>
      <c r="H154" s="12">
        <f>Source!AV65</f>
        <v>1</v>
      </c>
      <c r="I154" s="46">
        <f>Source!Q64</f>
        <v>2310.6</v>
      </c>
      <c r="J154" s="12">
        <f>IF(Source!BB65&lt;&gt; 0, Source!BB65, 1)</f>
        <v>8.7899999999999991</v>
      </c>
      <c r="K154" s="46">
        <f>Source!Q65</f>
        <v>20310.169999999998</v>
      </c>
    </row>
    <row r="155" spans="1:22" ht="14.25" x14ac:dyDescent="0.2">
      <c r="A155" s="41"/>
      <c r="B155" s="42"/>
      <c r="C155" s="42" t="s">
        <v>319</v>
      </c>
      <c r="D155" s="43"/>
      <c r="E155" s="12"/>
      <c r="F155" s="45">
        <f>Source!AN64</f>
        <v>49.82</v>
      </c>
      <c r="G155" s="44" t="str">
        <f>Source!DF64</f>
        <v/>
      </c>
      <c r="H155" s="12">
        <f>Source!AV65</f>
        <v>1</v>
      </c>
      <c r="I155" s="48">
        <f>Source!R64</f>
        <v>498.2</v>
      </c>
      <c r="J155" s="12">
        <f>IF(Source!BS65&lt;&gt; 0, Source!BS65, 1)</f>
        <v>21.69</v>
      </c>
      <c r="K155" s="48">
        <f>Source!R65</f>
        <v>10805.96</v>
      </c>
    </row>
    <row r="156" spans="1:22" ht="14.25" x14ac:dyDescent="0.2">
      <c r="A156" s="41"/>
      <c r="B156" s="42"/>
      <c r="C156" s="42" t="s">
        <v>320</v>
      </c>
      <c r="D156" s="43"/>
      <c r="E156" s="12"/>
      <c r="F156" s="45">
        <f>Source!AL64</f>
        <v>3.85</v>
      </c>
      <c r="G156" s="44" t="str">
        <f>Source!DD64</f>
        <v/>
      </c>
      <c r="H156" s="12">
        <f>Source!AW65</f>
        <v>1</v>
      </c>
      <c r="I156" s="46">
        <f>Source!P64</f>
        <v>38.5</v>
      </c>
      <c r="J156" s="12">
        <f>IF(Source!BC65&lt;&gt; 0, Source!BC65, 1)</f>
        <v>5.41</v>
      </c>
      <c r="K156" s="46">
        <f>Source!P65</f>
        <v>208.29</v>
      </c>
    </row>
    <row r="157" spans="1:22" ht="14.25" x14ac:dyDescent="0.2">
      <c r="A157" s="41"/>
      <c r="B157" s="42"/>
      <c r="C157" s="42" t="s">
        <v>321</v>
      </c>
      <c r="D157" s="43" t="s">
        <v>322</v>
      </c>
      <c r="E157" s="12">
        <f>Source!DN65</f>
        <v>114</v>
      </c>
      <c r="F157" s="45"/>
      <c r="G157" s="44"/>
      <c r="H157" s="12"/>
      <c r="I157" s="46">
        <f>SUM(Q151:Q156)</f>
        <v>0</v>
      </c>
      <c r="J157" s="12">
        <f>Source!BZ65</f>
        <v>77</v>
      </c>
      <c r="K157" s="46">
        <f>SUM(R151:R156)</f>
        <v>8484.26</v>
      </c>
    </row>
    <row r="158" spans="1:22" ht="14.25" x14ac:dyDescent="0.2">
      <c r="A158" s="41"/>
      <c r="B158" s="42"/>
      <c r="C158" s="42" t="s">
        <v>323</v>
      </c>
      <c r="D158" s="43" t="s">
        <v>322</v>
      </c>
      <c r="E158" s="12">
        <f>Source!DO65</f>
        <v>67</v>
      </c>
      <c r="F158" s="45"/>
      <c r="G158" s="44"/>
      <c r="H158" s="12"/>
      <c r="I158" s="46">
        <f>SUM(S151:S157)</f>
        <v>0</v>
      </c>
      <c r="J158" s="12">
        <f>Source!CA65</f>
        <v>41</v>
      </c>
      <c r="K158" s="46">
        <f>SUM(T151:T157)</f>
        <v>4517.59</v>
      </c>
    </row>
    <row r="159" spans="1:22" ht="14.25" x14ac:dyDescent="0.2">
      <c r="A159" s="41"/>
      <c r="B159" s="42"/>
      <c r="C159" s="42" t="s">
        <v>324</v>
      </c>
      <c r="D159" s="43" t="s">
        <v>322</v>
      </c>
      <c r="E159" s="12">
        <f>175</f>
        <v>175</v>
      </c>
      <c r="F159" s="45"/>
      <c r="G159" s="44"/>
      <c r="H159" s="12"/>
      <c r="I159" s="46">
        <f>SUM(U151:U158)</f>
        <v>871.85</v>
      </c>
      <c r="J159" s="12">
        <f>157</f>
        <v>157</v>
      </c>
      <c r="K159" s="46">
        <f>SUM(V151:V158)</f>
        <v>16965.36</v>
      </c>
    </row>
    <row r="160" spans="1:22" ht="14.25" x14ac:dyDescent="0.2">
      <c r="A160" s="52"/>
      <c r="B160" s="53"/>
      <c r="C160" s="53" t="s">
        <v>325</v>
      </c>
      <c r="D160" s="54" t="s">
        <v>326</v>
      </c>
      <c r="E160" s="55">
        <f>Source!AQ64</f>
        <v>4.12</v>
      </c>
      <c r="F160" s="56"/>
      <c r="G160" s="57" t="str">
        <f>Source!DI64</f>
        <v/>
      </c>
      <c r="H160" s="55">
        <f>Source!AV65</f>
        <v>1</v>
      </c>
      <c r="I160" s="58">
        <f>Source!U64</f>
        <v>41.2</v>
      </c>
      <c r="J160" s="55"/>
      <c r="K160" s="58"/>
    </row>
    <row r="161" spans="1:22" ht="15" x14ac:dyDescent="0.25">
      <c r="A161" s="59"/>
      <c r="B161" s="59"/>
      <c r="C161" s="60" t="s">
        <v>327</v>
      </c>
      <c r="D161" s="59"/>
      <c r="E161" s="59"/>
      <c r="F161" s="59"/>
      <c r="G161" s="59"/>
      <c r="H161" s="61">
        <f>I153+I154+I156+I157+I158+I159</f>
        <v>3728.95</v>
      </c>
      <c r="I161" s="61"/>
      <c r="J161" s="61">
        <f>K153+K154+K156+K157+K158+K159</f>
        <v>61504.19</v>
      </c>
      <c r="K161" s="61"/>
      <c r="O161" s="49">
        <f>I153+I154+I156+I157+I158+I159</f>
        <v>3728.95</v>
      </c>
      <c r="P161" s="49">
        <f>K153+K154+K156+K157+K158+K159</f>
        <v>61504.19</v>
      </c>
    </row>
    <row r="163" spans="1:22" ht="39.75" x14ac:dyDescent="0.2">
      <c r="A163" s="112" t="str">
        <f>Source!E66</f>
        <v>14</v>
      </c>
      <c r="B163" s="113" t="str">
        <f>Source!F66</f>
        <v>ц. пост.</v>
      </c>
      <c r="C163" s="113" t="s">
        <v>329</v>
      </c>
      <c r="D163" s="114" t="str">
        <f>Source!H66</f>
        <v>ПМ</v>
      </c>
      <c r="E163" s="115">
        <f>Source!I66</f>
        <v>510</v>
      </c>
      <c r="F163" s="116">
        <f>Source!AL66</f>
        <v>12.47</v>
      </c>
      <c r="G163" s="117" t="str">
        <f>Source!DD66</f>
        <v/>
      </c>
      <c r="H163" s="115">
        <f>Source!AW67</f>
        <v>1</v>
      </c>
      <c r="I163" s="118">
        <f>Source!P66</f>
        <v>6359.7</v>
      </c>
      <c r="J163" s="115">
        <f>IF(Source!BC67&lt;&gt; 0, Source!BC67, 1)</f>
        <v>5.41</v>
      </c>
      <c r="K163" s="118">
        <f>Source!P67</f>
        <v>34102.480000000003</v>
      </c>
      <c r="Q163">
        <f>Source!X66</f>
        <v>0</v>
      </c>
      <c r="R163">
        <f>Source!X67</f>
        <v>0</v>
      </c>
      <c r="S163">
        <f>Source!Y66</f>
        <v>0</v>
      </c>
      <c r="T163">
        <f>Source!Y67</f>
        <v>0</v>
      </c>
      <c r="U163">
        <f>ROUND((175/100)*ROUND(Source!R66, 2), 2)</f>
        <v>0</v>
      </c>
      <c r="V163">
        <f>ROUND((157/100)*ROUND(Source!R67, 2), 2)</f>
        <v>0</v>
      </c>
    </row>
    <row r="164" spans="1:22" ht="15" x14ac:dyDescent="0.25">
      <c r="A164" s="119"/>
      <c r="B164" s="119"/>
      <c r="C164" s="120" t="s">
        <v>327</v>
      </c>
      <c r="D164" s="119"/>
      <c r="E164" s="119"/>
      <c r="F164" s="119"/>
      <c r="G164" s="119"/>
      <c r="H164" s="121">
        <f>I163</f>
        <v>6359.7</v>
      </c>
      <c r="I164" s="121"/>
      <c r="J164" s="121">
        <f>K163</f>
        <v>34102.480000000003</v>
      </c>
      <c r="K164" s="121"/>
      <c r="O164" s="49">
        <f>I163</f>
        <v>6359.7</v>
      </c>
      <c r="P164" s="49">
        <f>K163</f>
        <v>34102.480000000003</v>
      </c>
    </row>
    <row r="165" spans="1:22" x14ac:dyDescent="0.2">
      <c r="A165" s="122"/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</row>
    <row r="166" spans="1:22" ht="39.75" x14ac:dyDescent="0.2">
      <c r="A166" s="112" t="str">
        <f>Source!E68</f>
        <v>15</v>
      </c>
      <c r="B166" s="113" t="str">
        <f>Source!F68</f>
        <v>ц. пост.</v>
      </c>
      <c r="C166" s="113" t="s">
        <v>330</v>
      </c>
      <c r="D166" s="114" t="str">
        <f>Source!H68</f>
        <v>ПМ</v>
      </c>
      <c r="E166" s="115">
        <f>Source!I68</f>
        <v>510</v>
      </c>
      <c r="F166" s="116">
        <f>Source!AL68</f>
        <v>7.8000000000000007</v>
      </c>
      <c r="G166" s="117" t="str">
        <f>Source!DD68</f>
        <v/>
      </c>
      <c r="H166" s="115">
        <f>Source!AW69</f>
        <v>1</v>
      </c>
      <c r="I166" s="118">
        <f>Source!P68</f>
        <v>3978</v>
      </c>
      <c r="J166" s="115">
        <f>IF(Source!BC69&lt;&gt; 0, Source!BC69, 1)</f>
        <v>5.41</v>
      </c>
      <c r="K166" s="118">
        <f>Source!P69</f>
        <v>21327.84</v>
      </c>
      <c r="Q166">
        <f>Source!X68</f>
        <v>0</v>
      </c>
      <c r="R166">
        <f>Source!X69</f>
        <v>0</v>
      </c>
      <c r="S166">
        <f>Source!Y68</f>
        <v>0</v>
      </c>
      <c r="T166">
        <f>Source!Y69</f>
        <v>0</v>
      </c>
      <c r="U166">
        <f>ROUND((175/100)*ROUND(Source!R68, 2), 2)</f>
        <v>0</v>
      </c>
      <c r="V166">
        <f>ROUND((157/100)*ROUND(Source!R69, 2), 2)</f>
        <v>0</v>
      </c>
    </row>
    <row r="167" spans="1:22" ht="15" x14ac:dyDescent="0.25">
      <c r="A167" s="119"/>
      <c r="B167" s="119"/>
      <c r="C167" s="120" t="s">
        <v>327</v>
      </c>
      <c r="D167" s="119"/>
      <c r="E167" s="119"/>
      <c r="F167" s="119"/>
      <c r="G167" s="119"/>
      <c r="H167" s="121">
        <f>I166</f>
        <v>3978</v>
      </c>
      <c r="I167" s="121"/>
      <c r="J167" s="121">
        <f>K166</f>
        <v>21327.84</v>
      </c>
      <c r="K167" s="121"/>
      <c r="O167" s="49">
        <f>I166</f>
        <v>3978</v>
      </c>
      <c r="P167" s="49">
        <f>K166</f>
        <v>21327.84</v>
      </c>
    </row>
    <row r="169" spans="1:22" ht="85.5" x14ac:dyDescent="0.2">
      <c r="A169" s="52" t="str">
        <f>Source!E70</f>
        <v>16</v>
      </c>
      <c r="B169" s="53" t="str">
        <f>Source!F70</f>
        <v>1.23-9-38</v>
      </c>
      <c r="C169" s="53" t="s">
        <v>139</v>
      </c>
      <c r="D169" s="54" t="str">
        <f>Source!H70</f>
        <v>км</v>
      </c>
      <c r="E169" s="55">
        <f>Source!I70</f>
        <v>0.11</v>
      </c>
      <c r="F169" s="56">
        <f>Source!AL70</f>
        <v>4020.51</v>
      </c>
      <c r="G169" s="57" t="str">
        <f>Source!DD70</f>
        <v/>
      </c>
      <c r="H169" s="55">
        <f>Source!AW71</f>
        <v>1</v>
      </c>
      <c r="I169" s="58">
        <f>Source!P70</f>
        <v>442.26</v>
      </c>
      <c r="J169" s="55">
        <f>IF(Source!BC71&lt;&gt; 0, Source!BC71, 1)</f>
        <v>2.65</v>
      </c>
      <c r="K169" s="58">
        <f>Source!P71</f>
        <v>1171.98</v>
      </c>
      <c r="Q169">
        <f>Source!X70</f>
        <v>0</v>
      </c>
      <c r="R169">
        <f>Source!X71</f>
        <v>0</v>
      </c>
      <c r="S169">
        <f>Source!Y70</f>
        <v>0</v>
      </c>
      <c r="T169">
        <f>Source!Y71</f>
        <v>0</v>
      </c>
      <c r="U169">
        <f>ROUND((175/100)*ROUND(Source!R70, 2), 2)</f>
        <v>0</v>
      </c>
      <c r="V169">
        <f>ROUND((157/100)*ROUND(Source!R71, 2), 2)</f>
        <v>0</v>
      </c>
    </row>
    <row r="170" spans="1:22" ht="15" x14ac:dyDescent="0.25">
      <c r="A170" s="59"/>
      <c r="B170" s="59"/>
      <c r="C170" s="60" t="s">
        <v>327</v>
      </c>
      <c r="D170" s="59"/>
      <c r="E170" s="59"/>
      <c r="F170" s="59"/>
      <c r="G170" s="59"/>
      <c r="H170" s="61">
        <f>I169</f>
        <v>442.26</v>
      </c>
      <c r="I170" s="61"/>
      <c r="J170" s="61">
        <f>K169</f>
        <v>1171.98</v>
      </c>
      <c r="K170" s="61"/>
      <c r="O170" s="49">
        <f>I169</f>
        <v>442.26</v>
      </c>
      <c r="P170" s="49">
        <f>K169</f>
        <v>1171.98</v>
      </c>
    </row>
    <row r="172" spans="1:22" ht="28.5" x14ac:dyDescent="0.2">
      <c r="A172" s="41" t="str">
        <f>Source!E72</f>
        <v>17</v>
      </c>
      <c r="B172" s="42" t="str">
        <f>Source!F72</f>
        <v>4.8-70-1</v>
      </c>
      <c r="C172" s="42" t="s">
        <v>144</v>
      </c>
      <c r="D172" s="43" t="str">
        <f>Source!H72</f>
        <v>1  ШТ.</v>
      </c>
      <c r="E172" s="12">
        <f>Source!I72</f>
        <v>1</v>
      </c>
      <c r="F172" s="45"/>
      <c r="G172" s="44"/>
      <c r="H172" s="12"/>
      <c r="I172" s="46"/>
      <c r="J172" s="12"/>
      <c r="K172" s="46"/>
      <c r="Q172">
        <f>Source!X72</f>
        <v>0</v>
      </c>
      <c r="R172">
        <f>Source!X73</f>
        <v>434.23</v>
      </c>
      <c r="S172">
        <f>Source!Y72</f>
        <v>0</v>
      </c>
      <c r="T172">
        <f>Source!Y73</f>
        <v>231.22</v>
      </c>
      <c r="U172">
        <f>ROUND((175/100)*ROUND(Source!R72, 2), 2)</f>
        <v>0</v>
      </c>
      <c r="V172">
        <f>ROUND((157/100)*ROUND(Source!R73, 2), 2)</f>
        <v>0</v>
      </c>
    </row>
    <row r="173" spans="1:22" ht="14.25" x14ac:dyDescent="0.2">
      <c r="A173" s="41"/>
      <c r="B173" s="42"/>
      <c r="C173" s="42" t="s">
        <v>317</v>
      </c>
      <c r="D173" s="43"/>
      <c r="E173" s="12"/>
      <c r="F173" s="45">
        <f>Source!AO72</f>
        <v>26</v>
      </c>
      <c r="G173" s="44" t="str">
        <f>Source!DG72</f>
        <v/>
      </c>
      <c r="H173" s="12">
        <f>Source!AV73</f>
        <v>1</v>
      </c>
      <c r="I173" s="46">
        <f>Source!S72</f>
        <v>26</v>
      </c>
      <c r="J173" s="12">
        <f>IF(Source!BA73&lt;&gt; 0, Source!BA73, 1)</f>
        <v>21.69</v>
      </c>
      <c r="K173" s="46">
        <f>Source!S73</f>
        <v>563.94000000000005</v>
      </c>
    </row>
    <row r="174" spans="1:22" ht="14.25" x14ac:dyDescent="0.2">
      <c r="A174" s="41"/>
      <c r="B174" s="42"/>
      <c r="C174" s="42" t="s">
        <v>320</v>
      </c>
      <c r="D174" s="43"/>
      <c r="E174" s="12"/>
      <c r="F174" s="45">
        <f>Source!AL72</f>
        <v>1.82</v>
      </c>
      <c r="G174" s="44" t="str">
        <f>Source!DD72</f>
        <v/>
      </c>
      <c r="H174" s="12">
        <f>Source!AW73</f>
        <v>1</v>
      </c>
      <c r="I174" s="46">
        <f>Source!P72</f>
        <v>1.82</v>
      </c>
      <c r="J174" s="12">
        <f>IF(Source!BC73&lt;&gt; 0, Source!BC73, 1)</f>
        <v>5.41</v>
      </c>
      <c r="K174" s="46">
        <f>Source!P73</f>
        <v>9.85</v>
      </c>
    </row>
    <row r="175" spans="1:22" ht="14.25" x14ac:dyDescent="0.2">
      <c r="A175" s="41"/>
      <c r="B175" s="42"/>
      <c r="C175" s="42" t="s">
        <v>321</v>
      </c>
      <c r="D175" s="43" t="s">
        <v>322</v>
      </c>
      <c r="E175" s="12">
        <f>Source!DN73</f>
        <v>114</v>
      </c>
      <c r="F175" s="45"/>
      <c r="G175" s="44"/>
      <c r="H175" s="12"/>
      <c r="I175" s="46">
        <f>SUM(Q172:Q174)</f>
        <v>0</v>
      </c>
      <c r="J175" s="12">
        <f>Source!BZ73</f>
        <v>77</v>
      </c>
      <c r="K175" s="46">
        <f>SUM(R172:R174)</f>
        <v>434.23</v>
      </c>
    </row>
    <row r="176" spans="1:22" ht="14.25" x14ac:dyDescent="0.2">
      <c r="A176" s="41"/>
      <c r="B176" s="42"/>
      <c r="C176" s="42" t="s">
        <v>323</v>
      </c>
      <c r="D176" s="43" t="s">
        <v>322</v>
      </c>
      <c r="E176" s="12">
        <f>Source!DO73</f>
        <v>67</v>
      </c>
      <c r="F176" s="45"/>
      <c r="G176" s="44"/>
      <c r="H176" s="12"/>
      <c r="I176" s="46">
        <f>SUM(S172:S175)</f>
        <v>0</v>
      </c>
      <c r="J176" s="12">
        <f>Source!CA73</f>
        <v>41</v>
      </c>
      <c r="K176" s="46">
        <f>SUM(T172:T175)</f>
        <v>231.22</v>
      </c>
    </row>
    <row r="177" spans="1:22" ht="14.25" x14ac:dyDescent="0.2">
      <c r="A177" s="52"/>
      <c r="B177" s="53"/>
      <c r="C177" s="53" t="s">
        <v>325</v>
      </c>
      <c r="D177" s="54" t="s">
        <v>326</v>
      </c>
      <c r="E177" s="55">
        <f>Source!AQ72</f>
        <v>2.06</v>
      </c>
      <c r="F177" s="56"/>
      <c r="G177" s="57" t="str">
        <f>Source!DI72</f>
        <v/>
      </c>
      <c r="H177" s="55">
        <f>Source!AV73</f>
        <v>1</v>
      </c>
      <c r="I177" s="58">
        <f>Source!U72</f>
        <v>2.06</v>
      </c>
      <c r="J177" s="55"/>
      <c r="K177" s="58"/>
    </row>
    <row r="178" spans="1:22" ht="15" x14ac:dyDescent="0.25">
      <c r="A178" s="59"/>
      <c r="B178" s="59"/>
      <c r="C178" s="60" t="s">
        <v>327</v>
      </c>
      <c r="D178" s="59"/>
      <c r="E178" s="59"/>
      <c r="F178" s="59"/>
      <c r="G178" s="59"/>
      <c r="H178" s="61">
        <f>I173+I174+I175+I176</f>
        <v>27.82</v>
      </c>
      <c r="I178" s="61"/>
      <c r="J178" s="61">
        <f>K173+K174+K175+K176</f>
        <v>1239.24</v>
      </c>
      <c r="K178" s="61"/>
      <c r="O178" s="49">
        <f>I173+I174+I175+I176</f>
        <v>27.82</v>
      </c>
      <c r="P178" s="49">
        <f>K173+K174+K175+K176</f>
        <v>1239.24</v>
      </c>
    </row>
    <row r="180" spans="1:22" ht="28.5" x14ac:dyDescent="0.2">
      <c r="A180" s="41" t="str">
        <f>Source!E74</f>
        <v>18</v>
      </c>
      <c r="B180" s="42" t="str">
        <f>Source!F74</f>
        <v>4.10-177-1</v>
      </c>
      <c r="C180" s="42" t="s">
        <v>150</v>
      </c>
      <c r="D180" s="43" t="str">
        <f>Source!H74</f>
        <v>10 шт.</v>
      </c>
      <c r="E180" s="12">
        <f>Source!I74</f>
        <v>0.4</v>
      </c>
      <c r="F180" s="45"/>
      <c r="G180" s="44"/>
      <c r="H180" s="12"/>
      <c r="I180" s="46"/>
      <c r="J180" s="12"/>
      <c r="K180" s="46"/>
      <c r="Q180">
        <f>Source!X74</f>
        <v>0</v>
      </c>
      <c r="R180">
        <f>Source!X75</f>
        <v>1519.75</v>
      </c>
      <c r="S180">
        <f>Source!Y74</f>
        <v>0</v>
      </c>
      <c r="T180">
        <f>Source!Y75</f>
        <v>809.22</v>
      </c>
      <c r="U180">
        <f>ROUND((175/100)*ROUND(Source!R74, 2), 2)</f>
        <v>0.82</v>
      </c>
      <c r="V180">
        <f>ROUND((157/100)*ROUND(Source!R75, 2), 2)</f>
        <v>16.079999999999998</v>
      </c>
    </row>
    <row r="181" spans="1:22" x14ac:dyDescent="0.2">
      <c r="C181" s="47" t="str">
        <f>"Объем: "&amp;Source!I74&amp;"=4/"&amp;"10"</f>
        <v>Объем: 0,4=4/10</v>
      </c>
    </row>
    <row r="182" spans="1:22" ht="14.25" x14ac:dyDescent="0.2">
      <c r="A182" s="41"/>
      <c r="B182" s="42"/>
      <c r="C182" s="42" t="s">
        <v>317</v>
      </c>
      <c r="D182" s="43"/>
      <c r="E182" s="12"/>
      <c r="F182" s="45">
        <f>Source!AO74</f>
        <v>227.49</v>
      </c>
      <c r="G182" s="44" t="str">
        <f>Source!DG74</f>
        <v/>
      </c>
      <c r="H182" s="12">
        <f>Source!AV75</f>
        <v>1</v>
      </c>
      <c r="I182" s="46">
        <f>Source!S74</f>
        <v>91</v>
      </c>
      <c r="J182" s="12">
        <f>IF(Source!BA75&lt;&gt; 0, Source!BA75, 1)</f>
        <v>21.69</v>
      </c>
      <c r="K182" s="46">
        <f>Source!S75</f>
        <v>1973.7</v>
      </c>
    </row>
    <row r="183" spans="1:22" ht="14.25" x14ac:dyDescent="0.2">
      <c r="A183" s="41"/>
      <c r="B183" s="42"/>
      <c r="C183" s="42" t="s">
        <v>318</v>
      </c>
      <c r="D183" s="43"/>
      <c r="E183" s="12"/>
      <c r="F183" s="45">
        <f>Source!AM74</f>
        <v>6.98</v>
      </c>
      <c r="G183" s="44" t="str">
        <f>Source!DE74</f>
        <v/>
      </c>
      <c r="H183" s="12">
        <f>Source!AV75</f>
        <v>1</v>
      </c>
      <c r="I183" s="46">
        <f>Source!Q74</f>
        <v>2.79</v>
      </c>
      <c r="J183" s="12">
        <f>IF(Source!BB75&lt;&gt; 0, Source!BB75, 1)</f>
        <v>8.02</v>
      </c>
      <c r="K183" s="46">
        <f>Source!Q75</f>
        <v>22.39</v>
      </c>
    </row>
    <row r="184" spans="1:22" ht="14.25" x14ac:dyDescent="0.2">
      <c r="A184" s="41"/>
      <c r="B184" s="42"/>
      <c r="C184" s="42" t="s">
        <v>319</v>
      </c>
      <c r="D184" s="43"/>
      <c r="E184" s="12"/>
      <c r="F184" s="45">
        <f>Source!AN74</f>
        <v>1.18</v>
      </c>
      <c r="G184" s="44" t="str">
        <f>Source!DF74</f>
        <v/>
      </c>
      <c r="H184" s="12">
        <f>Source!AV75</f>
        <v>1</v>
      </c>
      <c r="I184" s="48">
        <f>Source!R74</f>
        <v>0.47</v>
      </c>
      <c r="J184" s="12">
        <f>IF(Source!BS75&lt;&gt; 0, Source!BS75, 1)</f>
        <v>21.69</v>
      </c>
      <c r="K184" s="48">
        <f>Source!R75</f>
        <v>10.24</v>
      </c>
    </row>
    <row r="185" spans="1:22" ht="14.25" x14ac:dyDescent="0.2">
      <c r="A185" s="41"/>
      <c r="B185" s="42"/>
      <c r="C185" s="42" t="s">
        <v>320</v>
      </c>
      <c r="D185" s="43"/>
      <c r="E185" s="12"/>
      <c r="F185" s="45">
        <f>Source!AL74</f>
        <v>2.4700000000000002</v>
      </c>
      <c r="G185" s="44" t="str">
        <f>Source!DD74</f>
        <v/>
      </c>
      <c r="H185" s="12">
        <f>Source!AW75</f>
        <v>1</v>
      </c>
      <c r="I185" s="46">
        <f>Source!P74</f>
        <v>0.99</v>
      </c>
      <c r="J185" s="12">
        <f>IF(Source!BC75&lt;&gt; 0, Source!BC75, 1)</f>
        <v>5.41</v>
      </c>
      <c r="K185" s="46">
        <f>Source!P75</f>
        <v>5.35</v>
      </c>
    </row>
    <row r="186" spans="1:22" ht="14.25" x14ac:dyDescent="0.2">
      <c r="A186" s="41"/>
      <c r="B186" s="42"/>
      <c r="C186" s="42" t="s">
        <v>321</v>
      </c>
      <c r="D186" s="43" t="s">
        <v>322</v>
      </c>
      <c r="E186" s="12">
        <f>Source!DN75</f>
        <v>114</v>
      </c>
      <c r="F186" s="45"/>
      <c r="G186" s="44"/>
      <c r="H186" s="12"/>
      <c r="I186" s="46">
        <f>SUM(Q180:Q185)</f>
        <v>0</v>
      </c>
      <c r="J186" s="12">
        <f>Source!BZ75</f>
        <v>77</v>
      </c>
      <c r="K186" s="46">
        <f>SUM(R180:R185)</f>
        <v>1519.75</v>
      </c>
    </row>
    <row r="187" spans="1:22" ht="14.25" x14ac:dyDescent="0.2">
      <c r="A187" s="41"/>
      <c r="B187" s="42"/>
      <c r="C187" s="42" t="s">
        <v>323</v>
      </c>
      <c r="D187" s="43" t="s">
        <v>322</v>
      </c>
      <c r="E187" s="12">
        <f>Source!DO75</f>
        <v>67</v>
      </c>
      <c r="F187" s="45"/>
      <c r="G187" s="44"/>
      <c r="H187" s="12"/>
      <c r="I187" s="46">
        <f>SUM(S180:S186)</f>
        <v>0</v>
      </c>
      <c r="J187" s="12">
        <f>Source!CA75</f>
        <v>41</v>
      </c>
      <c r="K187" s="46">
        <f>SUM(T180:T186)</f>
        <v>809.22</v>
      </c>
    </row>
    <row r="188" spans="1:22" ht="14.25" x14ac:dyDescent="0.2">
      <c r="A188" s="41"/>
      <c r="B188" s="42"/>
      <c r="C188" s="42" t="s">
        <v>324</v>
      </c>
      <c r="D188" s="43" t="s">
        <v>322</v>
      </c>
      <c r="E188" s="12">
        <f>175</f>
        <v>175</v>
      </c>
      <c r="F188" s="45"/>
      <c r="G188" s="44"/>
      <c r="H188" s="12"/>
      <c r="I188" s="46">
        <f>SUM(U180:U187)</f>
        <v>0.82</v>
      </c>
      <c r="J188" s="12">
        <f>157</f>
        <v>157</v>
      </c>
      <c r="K188" s="46">
        <f>SUM(V180:V187)</f>
        <v>16.079999999999998</v>
      </c>
    </row>
    <row r="189" spans="1:22" ht="14.25" x14ac:dyDescent="0.2">
      <c r="A189" s="52"/>
      <c r="B189" s="53"/>
      <c r="C189" s="53" t="s">
        <v>325</v>
      </c>
      <c r="D189" s="54" t="s">
        <v>326</v>
      </c>
      <c r="E189" s="55">
        <f>Source!AQ74</f>
        <v>14.64</v>
      </c>
      <c r="F189" s="56"/>
      <c r="G189" s="57" t="str">
        <f>Source!DI74</f>
        <v/>
      </c>
      <c r="H189" s="55">
        <f>Source!AV75</f>
        <v>1</v>
      </c>
      <c r="I189" s="58">
        <f>Source!U74</f>
        <v>5.8560000000000008</v>
      </c>
      <c r="J189" s="55"/>
      <c r="K189" s="58"/>
    </row>
    <row r="190" spans="1:22" ht="15" x14ac:dyDescent="0.25">
      <c r="A190" s="59"/>
      <c r="B190" s="59"/>
      <c r="C190" s="60" t="s">
        <v>327</v>
      </c>
      <c r="D190" s="59"/>
      <c r="E190" s="59"/>
      <c r="F190" s="59"/>
      <c r="G190" s="59"/>
      <c r="H190" s="61">
        <f>I182+I183+I185+I186+I187+I188</f>
        <v>95.6</v>
      </c>
      <c r="I190" s="61"/>
      <c r="J190" s="61">
        <f>K182+K183+K185+K186+K187+K188</f>
        <v>4346.49</v>
      </c>
      <c r="K190" s="61"/>
      <c r="O190" s="49">
        <f>I182+I183+I185+I186+I187+I188</f>
        <v>95.6</v>
      </c>
      <c r="P190" s="49">
        <f>K182+K183+K185+K186+K187+K188</f>
        <v>4346.49</v>
      </c>
    </row>
    <row r="192" spans="1:22" ht="28.5" x14ac:dyDescent="0.2">
      <c r="A192" s="41" t="str">
        <f>Source!E76</f>
        <v>19</v>
      </c>
      <c r="B192" s="42" t="str">
        <f>Source!F76</f>
        <v>4.10-70-23</v>
      </c>
      <c r="C192" s="42" t="s">
        <v>154</v>
      </c>
      <c r="D192" s="43" t="str">
        <f>Source!H76</f>
        <v>1  ШТ.</v>
      </c>
      <c r="E192" s="12">
        <f>Source!I76</f>
        <v>1</v>
      </c>
      <c r="F192" s="45"/>
      <c r="G192" s="44"/>
      <c r="H192" s="12"/>
      <c r="I192" s="46"/>
      <c r="J192" s="12"/>
      <c r="K192" s="46"/>
      <c r="Q192">
        <f>Source!X76</f>
        <v>0</v>
      </c>
      <c r="R192">
        <f>Source!X77</f>
        <v>485.68</v>
      </c>
      <c r="S192">
        <f>Source!Y76</f>
        <v>0</v>
      </c>
      <c r="T192">
        <f>Source!Y77</f>
        <v>258.61</v>
      </c>
      <c r="U192">
        <f>ROUND((175/100)*ROUND(Source!R76, 2), 2)</f>
        <v>0.3</v>
      </c>
      <c r="V192">
        <f>ROUND((157/100)*ROUND(Source!R77, 2), 2)</f>
        <v>5.79</v>
      </c>
    </row>
    <row r="193" spans="1:22" ht="14.25" x14ac:dyDescent="0.2">
      <c r="A193" s="41"/>
      <c r="B193" s="42"/>
      <c r="C193" s="42" t="s">
        <v>317</v>
      </c>
      <c r="D193" s="43"/>
      <c r="E193" s="12"/>
      <c r="F193" s="45">
        <f>Source!AO76</f>
        <v>29.08</v>
      </c>
      <c r="G193" s="44" t="str">
        <f>Source!DG76</f>
        <v/>
      </c>
      <c r="H193" s="12">
        <f>Source!AV77</f>
        <v>1</v>
      </c>
      <c r="I193" s="46">
        <f>Source!S76</f>
        <v>29.08</v>
      </c>
      <c r="J193" s="12">
        <f>IF(Source!BA77&lt;&gt; 0, Source!BA77, 1)</f>
        <v>21.69</v>
      </c>
      <c r="K193" s="46">
        <f>Source!S77</f>
        <v>630.75</v>
      </c>
    </row>
    <row r="194" spans="1:22" ht="14.25" x14ac:dyDescent="0.2">
      <c r="A194" s="41"/>
      <c r="B194" s="42"/>
      <c r="C194" s="42" t="s">
        <v>318</v>
      </c>
      <c r="D194" s="43"/>
      <c r="E194" s="12"/>
      <c r="F194" s="45">
        <f>Source!AM76</f>
        <v>0.73</v>
      </c>
      <c r="G194" s="44" t="str">
        <f>Source!DE76</f>
        <v/>
      </c>
      <c r="H194" s="12">
        <f>Source!AV77</f>
        <v>1</v>
      </c>
      <c r="I194" s="46">
        <f>Source!Q76</f>
        <v>0.73</v>
      </c>
      <c r="J194" s="12">
        <f>IF(Source!BB77&lt;&gt; 0, Source!BB77, 1)</f>
        <v>9.07</v>
      </c>
      <c r="K194" s="46">
        <f>Source!Q77</f>
        <v>6.62</v>
      </c>
    </row>
    <row r="195" spans="1:22" ht="14.25" x14ac:dyDescent="0.2">
      <c r="A195" s="41"/>
      <c r="B195" s="42"/>
      <c r="C195" s="42" t="s">
        <v>319</v>
      </c>
      <c r="D195" s="43"/>
      <c r="E195" s="12"/>
      <c r="F195" s="45">
        <f>Source!AN76</f>
        <v>0.17</v>
      </c>
      <c r="G195" s="44" t="str">
        <f>Source!DF76</f>
        <v/>
      </c>
      <c r="H195" s="12">
        <f>Source!AV77</f>
        <v>1</v>
      </c>
      <c r="I195" s="48">
        <f>Source!R76</f>
        <v>0.17</v>
      </c>
      <c r="J195" s="12">
        <f>IF(Source!BS77&lt;&gt; 0, Source!BS77, 1)</f>
        <v>21.69</v>
      </c>
      <c r="K195" s="48">
        <f>Source!R77</f>
        <v>3.69</v>
      </c>
    </row>
    <row r="196" spans="1:22" ht="14.25" x14ac:dyDescent="0.2">
      <c r="A196" s="41"/>
      <c r="B196" s="42"/>
      <c r="C196" s="42" t="s">
        <v>320</v>
      </c>
      <c r="D196" s="43"/>
      <c r="E196" s="12"/>
      <c r="F196" s="45">
        <f>Source!AL76</f>
        <v>0.28000000000000003</v>
      </c>
      <c r="G196" s="44" t="str">
        <f>Source!DD76</f>
        <v/>
      </c>
      <c r="H196" s="12">
        <f>Source!AW77</f>
        <v>1</v>
      </c>
      <c r="I196" s="46">
        <f>Source!P76</f>
        <v>0.28000000000000003</v>
      </c>
      <c r="J196" s="12">
        <f>IF(Source!BC77&lt;&gt; 0, Source!BC77, 1)</f>
        <v>5.39</v>
      </c>
      <c r="K196" s="46">
        <f>Source!P77</f>
        <v>1.51</v>
      </c>
    </row>
    <row r="197" spans="1:22" ht="14.25" x14ac:dyDescent="0.2">
      <c r="A197" s="41"/>
      <c r="B197" s="42"/>
      <c r="C197" s="42" t="s">
        <v>321</v>
      </c>
      <c r="D197" s="43" t="s">
        <v>322</v>
      </c>
      <c r="E197" s="12">
        <f>Source!DN77</f>
        <v>114</v>
      </c>
      <c r="F197" s="45"/>
      <c r="G197" s="44"/>
      <c r="H197" s="12"/>
      <c r="I197" s="46">
        <f>SUM(Q192:Q196)</f>
        <v>0</v>
      </c>
      <c r="J197" s="12">
        <f>Source!BZ77</f>
        <v>77</v>
      </c>
      <c r="K197" s="46">
        <f>SUM(R192:R196)</f>
        <v>485.68</v>
      </c>
    </row>
    <row r="198" spans="1:22" ht="14.25" x14ac:dyDescent="0.2">
      <c r="A198" s="41"/>
      <c r="B198" s="42"/>
      <c r="C198" s="42" t="s">
        <v>323</v>
      </c>
      <c r="D198" s="43" t="s">
        <v>322</v>
      </c>
      <c r="E198" s="12">
        <f>Source!DO77</f>
        <v>67</v>
      </c>
      <c r="F198" s="45"/>
      <c r="G198" s="44"/>
      <c r="H198" s="12"/>
      <c r="I198" s="46">
        <f>SUM(S192:S197)</f>
        <v>0</v>
      </c>
      <c r="J198" s="12">
        <f>Source!CA77</f>
        <v>41</v>
      </c>
      <c r="K198" s="46">
        <f>SUM(T192:T197)</f>
        <v>258.61</v>
      </c>
    </row>
    <row r="199" spans="1:22" ht="14.25" x14ac:dyDescent="0.2">
      <c r="A199" s="41"/>
      <c r="B199" s="42"/>
      <c r="C199" s="42" t="s">
        <v>324</v>
      </c>
      <c r="D199" s="43" t="s">
        <v>322</v>
      </c>
      <c r="E199" s="12">
        <f>175</f>
        <v>175</v>
      </c>
      <c r="F199" s="45"/>
      <c r="G199" s="44"/>
      <c r="H199" s="12"/>
      <c r="I199" s="46">
        <f>SUM(U192:U198)</f>
        <v>0.3</v>
      </c>
      <c r="J199" s="12">
        <f>157</f>
        <v>157</v>
      </c>
      <c r="K199" s="46">
        <f>SUM(V192:V198)</f>
        <v>5.79</v>
      </c>
    </row>
    <row r="200" spans="1:22" ht="14.25" x14ac:dyDescent="0.2">
      <c r="A200" s="52"/>
      <c r="B200" s="53"/>
      <c r="C200" s="53" t="s">
        <v>325</v>
      </c>
      <c r="D200" s="54" t="s">
        <v>326</v>
      </c>
      <c r="E200" s="55">
        <f>Source!AQ76</f>
        <v>2</v>
      </c>
      <c r="F200" s="56"/>
      <c r="G200" s="57" t="str">
        <f>Source!DI76</f>
        <v/>
      </c>
      <c r="H200" s="55">
        <f>Source!AV77</f>
        <v>1</v>
      </c>
      <c r="I200" s="58">
        <f>Source!U76</f>
        <v>2</v>
      </c>
      <c r="J200" s="55"/>
      <c r="K200" s="58"/>
    </row>
    <row r="201" spans="1:22" ht="15" x14ac:dyDescent="0.25">
      <c r="A201" s="59"/>
      <c r="B201" s="59"/>
      <c r="C201" s="60" t="s">
        <v>327</v>
      </c>
      <c r="D201" s="59"/>
      <c r="E201" s="59"/>
      <c r="F201" s="59"/>
      <c r="G201" s="59"/>
      <c r="H201" s="61">
        <f>I193+I194+I196+I197+I198+I199</f>
        <v>30.39</v>
      </c>
      <c r="I201" s="61"/>
      <c r="J201" s="61">
        <f>K193+K194+K196+K197+K198+K199</f>
        <v>1388.96</v>
      </c>
      <c r="K201" s="61"/>
      <c r="O201" s="49">
        <f>I193+I194+I196+I197+I198+I199</f>
        <v>30.39</v>
      </c>
      <c r="P201" s="49">
        <f>K193+K194+K196+K197+K198+K199</f>
        <v>1388.96</v>
      </c>
    </row>
    <row r="203" spans="1:22" ht="42.75" x14ac:dyDescent="0.2">
      <c r="A203" s="41" t="str">
        <f>Source!E78</f>
        <v>20</v>
      </c>
      <c r="B203" s="42" t="str">
        <f>Source!F78</f>
        <v>5.2-36-1</v>
      </c>
      <c r="C203" s="42" t="s">
        <v>158</v>
      </c>
      <c r="D203" s="43" t="str">
        <f>Source!H78</f>
        <v>1 считыватель</v>
      </c>
      <c r="E203" s="12">
        <f>Source!I78</f>
        <v>5</v>
      </c>
      <c r="F203" s="45"/>
      <c r="G203" s="44"/>
      <c r="H203" s="12"/>
      <c r="I203" s="46"/>
      <c r="J203" s="12"/>
      <c r="K203" s="46"/>
      <c r="Q203">
        <f>Source!X78</f>
        <v>0</v>
      </c>
      <c r="R203">
        <f>Source!X79</f>
        <v>7655.43</v>
      </c>
      <c r="S203">
        <f>Source!Y78</f>
        <v>0</v>
      </c>
      <c r="T203">
        <f>Source!Y79</f>
        <v>4615.7700000000004</v>
      </c>
      <c r="U203">
        <f>ROUND((175/100)*ROUND(Source!R78, 2), 2)</f>
        <v>0</v>
      </c>
      <c r="V203">
        <f>ROUND((157/100)*ROUND(Source!R79, 2), 2)</f>
        <v>0</v>
      </c>
    </row>
    <row r="204" spans="1:22" ht="14.25" x14ac:dyDescent="0.2">
      <c r="A204" s="41"/>
      <c r="B204" s="42"/>
      <c r="C204" s="42" t="s">
        <v>317</v>
      </c>
      <c r="D204" s="43"/>
      <c r="E204" s="12"/>
      <c r="F204" s="45">
        <f>Source!AO78</f>
        <v>129.76</v>
      </c>
      <c r="G204" s="44" t="str">
        <f>Source!DG78</f>
        <v>)*0,8</v>
      </c>
      <c r="H204" s="12">
        <f>Source!AV79</f>
        <v>1</v>
      </c>
      <c r="I204" s="46">
        <f>Source!S78</f>
        <v>519.04</v>
      </c>
      <c r="J204" s="12">
        <f>IF(Source!BA79&lt;&gt; 0, Source!BA79, 1)</f>
        <v>21.69</v>
      </c>
      <c r="K204" s="46">
        <f>Source!S79</f>
        <v>11257.98</v>
      </c>
    </row>
    <row r="205" spans="1:22" ht="14.25" x14ac:dyDescent="0.2">
      <c r="A205" s="41"/>
      <c r="B205" s="42"/>
      <c r="C205" s="42" t="s">
        <v>321</v>
      </c>
      <c r="D205" s="43" t="s">
        <v>322</v>
      </c>
      <c r="E205" s="12">
        <f>Source!DN79</f>
        <v>0</v>
      </c>
      <c r="F205" s="45"/>
      <c r="G205" s="44"/>
      <c r="H205" s="12"/>
      <c r="I205" s="46">
        <f>SUM(Q203:Q204)</f>
        <v>0</v>
      </c>
      <c r="J205" s="12">
        <f>Source!BZ79</f>
        <v>68</v>
      </c>
      <c r="K205" s="46">
        <f>SUM(R203:R204)</f>
        <v>7655.43</v>
      </c>
    </row>
    <row r="206" spans="1:22" ht="14.25" x14ac:dyDescent="0.2">
      <c r="A206" s="41"/>
      <c r="B206" s="42"/>
      <c r="C206" s="42" t="s">
        <v>323</v>
      </c>
      <c r="D206" s="43" t="s">
        <v>322</v>
      </c>
      <c r="E206" s="12">
        <f>Source!DO79</f>
        <v>0</v>
      </c>
      <c r="F206" s="45"/>
      <c r="G206" s="44"/>
      <c r="H206" s="12"/>
      <c r="I206" s="46">
        <f>SUM(S203:S205)</f>
        <v>0</v>
      </c>
      <c r="J206" s="12">
        <f>Source!CA79</f>
        <v>41</v>
      </c>
      <c r="K206" s="46">
        <f>SUM(T203:T205)</f>
        <v>4615.7700000000004</v>
      </c>
    </row>
    <row r="207" spans="1:22" ht="14.25" x14ac:dyDescent="0.2">
      <c r="A207" s="52"/>
      <c r="B207" s="53"/>
      <c r="C207" s="53" t="s">
        <v>325</v>
      </c>
      <c r="D207" s="54" t="s">
        <v>326</v>
      </c>
      <c r="E207" s="55">
        <f>Source!AQ78</f>
        <v>6.06</v>
      </c>
      <c r="F207" s="56"/>
      <c r="G207" s="57" t="str">
        <f>Source!DI78</f>
        <v>)*0,8</v>
      </c>
      <c r="H207" s="55">
        <f>Source!AV79</f>
        <v>1</v>
      </c>
      <c r="I207" s="58">
        <f>Source!U78</f>
        <v>24.24</v>
      </c>
      <c r="J207" s="55"/>
      <c r="K207" s="58"/>
    </row>
    <row r="208" spans="1:22" ht="15" x14ac:dyDescent="0.25">
      <c r="A208" s="59"/>
      <c r="B208" s="59"/>
      <c r="C208" s="60" t="s">
        <v>327</v>
      </c>
      <c r="D208" s="59"/>
      <c r="E208" s="59"/>
      <c r="F208" s="59"/>
      <c r="G208" s="59"/>
      <c r="H208" s="61">
        <f>I204+I205+I206</f>
        <v>519.04</v>
      </c>
      <c r="I208" s="61"/>
      <c r="J208" s="61">
        <f>K204+K205+K206</f>
        <v>23529.18</v>
      </c>
      <c r="K208" s="61"/>
      <c r="O208" s="49">
        <f>I204+I205+I206</f>
        <v>519.04</v>
      </c>
      <c r="P208" s="49">
        <f>K204+K205+K206</f>
        <v>23529.18</v>
      </c>
    </row>
    <row r="211" spans="1:22" ht="16.5" x14ac:dyDescent="0.25">
      <c r="A211" s="63" t="str">
        <f>CONCATENATE("Раздел: ",IF(Source!G81&lt;&gt;"Новый раздел", Source!G81, ""))</f>
        <v>Раздел: Оборудование</v>
      </c>
      <c r="B211" s="63"/>
      <c r="C211" s="63"/>
      <c r="D211" s="63"/>
      <c r="E211" s="63"/>
      <c r="F211" s="63"/>
      <c r="G211" s="63"/>
      <c r="H211" s="63"/>
      <c r="I211" s="63"/>
      <c r="J211" s="63"/>
      <c r="K211" s="63"/>
    </row>
    <row r="212" spans="1:22" ht="99.75" x14ac:dyDescent="0.2">
      <c r="A212" s="52" t="str">
        <f>Source!E85</f>
        <v>21</v>
      </c>
      <c r="B212" s="53" t="str">
        <f>Source!F85</f>
        <v>13.1-3-185</v>
      </c>
      <c r="C212" s="53" t="s">
        <v>166</v>
      </c>
      <c r="D212" s="54" t="str">
        <f>Source!H85</f>
        <v>компл.</v>
      </c>
      <c r="E212" s="55">
        <f>Source!I85</f>
        <v>4</v>
      </c>
      <c r="F212" s="56">
        <f>Source!AL85</f>
        <v>1024.44</v>
      </c>
      <c r="G212" s="57" t="str">
        <f>Source!DD85</f>
        <v/>
      </c>
      <c r="H212" s="55">
        <f>Source!AW86</f>
        <v>1</v>
      </c>
      <c r="I212" s="58">
        <f>Source!P85</f>
        <v>4097.76</v>
      </c>
      <c r="J212" s="55">
        <f>IF(Source!BC86&lt;&gt; 0, Source!BC86, 1)</f>
        <v>2.67</v>
      </c>
      <c r="K212" s="58">
        <f>Source!P86</f>
        <v>10941.02</v>
      </c>
      <c r="Q212">
        <f>Source!X85</f>
        <v>0</v>
      </c>
      <c r="R212">
        <f>Source!X86</f>
        <v>0</v>
      </c>
      <c r="S212">
        <f>Source!Y85</f>
        <v>0</v>
      </c>
      <c r="T212">
        <f>Source!Y86</f>
        <v>0</v>
      </c>
      <c r="U212">
        <f>ROUND((175/100)*ROUND(Source!R85, 2), 2)</f>
        <v>0</v>
      </c>
      <c r="V212">
        <f>ROUND((157/100)*ROUND(Source!R86, 2), 2)</f>
        <v>0</v>
      </c>
    </row>
    <row r="213" spans="1:22" ht="15" x14ac:dyDescent="0.25">
      <c r="A213" s="59"/>
      <c r="B213" s="59"/>
      <c r="C213" s="60" t="s">
        <v>327</v>
      </c>
      <c r="D213" s="59"/>
      <c r="E213" s="59"/>
      <c r="F213" s="59"/>
      <c r="G213" s="59"/>
      <c r="H213" s="61">
        <f>I212</f>
        <v>4097.76</v>
      </c>
      <c r="I213" s="61"/>
      <c r="J213" s="61">
        <f>K212</f>
        <v>10941.02</v>
      </c>
      <c r="K213" s="61"/>
      <c r="O213" s="49">
        <f>I212</f>
        <v>4097.76</v>
      </c>
      <c r="P213" s="49">
        <f>K212</f>
        <v>10941.02</v>
      </c>
    </row>
    <row r="215" spans="1:22" ht="28.5" x14ac:dyDescent="0.2">
      <c r="A215" s="52" t="str">
        <f>Source!E87</f>
        <v>22</v>
      </c>
      <c r="B215" s="53" t="str">
        <f>Source!F87</f>
        <v>13.1-1-54</v>
      </c>
      <c r="C215" s="53" t="s">
        <v>173</v>
      </c>
      <c r="D215" s="54" t="str">
        <f>Source!H87</f>
        <v>шт.</v>
      </c>
      <c r="E215" s="55">
        <f>Source!I87</f>
        <v>3</v>
      </c>
      <c r="F215" s="56">
        <f>Source!AL87</f>
        <v>667.24</v>
      </c>
      <c r="G215" s="57" t="str">
        <f>Source!DD87</f>
        <v/>
      </c>
      <c r="H215" s="55">
        <f>Source!AW88</f>
        <v>1</v>
      </c>
      <c r="I215" s="58">
        <f>Source!P87</f>
        <v>2001.72</v>
      </c>
      <c r="J215" s="55">
        <f>IF(Source!BC88&lt;&gt; 0, Source!BC88, 1)</f>
        <v>4.3899999999999997</v>
      </c>
      <c r="K215" s="58">
        <f>Source!P88</f>
        <v>8787.5499999999993</v>
      </c>
      <c r="Q215">
        <f>Source!X87</f>
        <v>0</v>
      </c>
      <c r="R215">
        <f>Source!X88</f>
        <v>0</v>
      </c>
      <c r="S215">
        <f>Source!Y87</f>
        <v>0</v>
      </c>
      <c r="T215">
        <f>Source!Y88</f>
        <v>0</v>
      </c>
      <c r="U215">
        <f>ROUND((175/100)*ROUND(Source!R87, 2), 2)</f>
        <v>0</v>
      </c>
      <c r="V215">
        <f>ROUND((157/100)*ROUND(Source!R88, 2), 2)</f>
        <v>0</v>
      </c>
    </row>
    <row r="216" spans="1:22" ht="15" x14ac:dyDescent="0.25">
      <c r="A216" s="59"/>
      <c r="B216" s="59"/>
      <c r="C216" s="60" t="s">
        <v>327</v>
      </c>
      <c r="D216" s="59"/>
      <c r="E216" s="59"/>
      <c r="F216" s="59"/>
      <c r="G216" s="59"/>
      <c r="H216" s="61">
        <f>I215</f>
        <v>2001.72</v>
      </c>
      <c r="I216" s="61"/>
      <c r="J216" s="61">
        <f>K215</f>
        <v>8787.5499999999993</v>
      </c>
      <c r="K216" s="61"/>
      <c r="O216" s="49">
        <f>I215</f>
        <v>2001.72</v>
      </c>
      <c r="P216" s="49">
        <f>K215</f>
        <v>8787.5499999999993</v>
      </c>
    </row>
    <row r="218" spans="1:22" ht="228" x14ac:dyDescent="0.2">
      <c r="A218" s="52" t="str">
        <f>Source!E89</f>
        <v>23</v>
      </c>
      <c r="B218" s="53" t="str">
        <f>Source!F89</f>
        <v>13.1-3-70</v>
      </c>
      <c r="C218" s="53" t="s">
        <v>288</v>
      </c>
      <c r="D218" s="54" t="str">
        <f>Source!H89</f>
        <v>компл.</v>
      </c>
      <c r="E218" s="55">
        <f>Source!I89</f>
        <v>7</v>
      </c>
      <c r="F218" s="56">
        <f>Source!AL89</f>
        <v>3298.25</v>
      </c>
      <c r="G218" s="57" t="str">
        <f>Source!DD89</f>
        <v/>
      </c>
      <c r="H218" s="55">
        <f>Source!AW90</f>
        <v>1</v>
      </c>
      <c r="I218" s="58">
        <f>Source!P89</f>
        <v>23087.75</v>
      </c>
      <c r="J218" s="55">
        <f>IF(Source!BC90&lt;&gt; 0, Source!BC90, 1)</f>
        <v>3.11</v>
      </c>
      <c r="K218" s="58">
        <f>Source!P90</f>
        <v>71802.899999999994</v>
      </c>
      <c r="Q218">
        <f>Source!X89</f>
        <v>0</v>
      </c>
      <c r="R218">
        <f>Source!X90</f>
        <v>0</v>
      </c>
      <c r="S218">
        <f>Source!Y89</f>
        <v>0</v>
      </c>
      <c r="T218">
        <f>Source!Y90</f>
        <v>0</v>
      </c>
      <c r="U218">
        <f>ROUND((175/100)*ROUND(Source!R89, 2), 2)</f>
        <v>0</v>
      </c>
      <c r="V218">
        <f>ROUND((157/100)*ROUND(Source!R90, 2), 2)</f>
        <v>0</v>
      </c>
    </row>
    <row r="219" spans="1:22" ht="15" x14ac:dyDescent="0.25">
      <c r="A219" s="59"/>
      <c r="B219" s="59"/>
      <c r="C219" s="60" t="s">
        <v>327</v>
      </c>
      <c r="D219" s="59"/>
      <c r="E219" s="59"/>
      <c r="F219" s="59"/>
      <c r="G219" s="59"/>
      <c r="H219" s="61">
        <f>I218</f>
        <v>23087.75</v>
      </c>
      <c r="I219" s="61"/>
      <c r="J219" s="61">
        <f>K218</f>
        <v>71802.899999999994</v>
      </c>
      <c r="K219" s="61"/>
      <c r="O219" s="49">
        <f>I218</f>
        <v>23087.75</v>
      </c>
      <c r="P219" s="49">
        <f>K218</f>
        <v>71802.899999999994</v>
      </c>
    </row>
    <row r="221" spans="1:22" ht="28.5" x14ac:dyDescent="0.2">
      <c r="A221" s="52" t="str">
        <f>Source!E91</f>
        <v>24</v>
      </c>
      <c r="B221" s="53" t="str">
        <f>Source!F91</f>
        <v>13.1-1-20</v>
      </c>
      <c r="C221" s="53" t="s">
        <v>180</v>
      </c>
      <c r="D221" s="54" t="str">
        <f>Source!H91</f>
        <v>шт.</v>
      </c>
      <c r="E221" s="55">
        <f>Source!I91</f>
        <v>1</v>
      </c>
      <c r="F221" s="56">
        <f>Source!AL91</f>
        <v>89.39</v>
      </c>
      <c r="G221" s="57" t="str">
        <f>Source!DD91</f>
        <v/>
      </c>
      <c r="H221" s="55">
        <f>Source!AW92</f>
        <v>1</v>
      </c>
      <c r="I221" s="58">
        <f>Source!P91</f>
        <v>89.39</v>
      </c>
      <c r="J221" s="55">
        <f>IF(Source!BC92&lt;&gt; 0, Source!BC92, 1)</f>
        <v>4.92</v>
      </c>
      <c r="K221" s="58">
        <f>Source!P92</f>
        <v>439.8</v>
      </c>
      <c r="Q221">
        <f>Source!X91</f>
        <v>0</v>
      </c>
      <c r="R221">
        <f>Source!X92</f>
        <v>0</v>
      </c>
      <c r="S221">
        <f>Source!Y91</f>
        <v>0</v>
      </c>
      <c r="T221">
        <f>Source!Y92</f>
        <v>0</v>
      </c>
      <c r="U221">
        <f>ROUND((175/100)*ROUND(Source!R91, 2), 2)</f>
        <v>0</v>
      </c>
      <c r="V221">
        <f>ROUND((157/100)*ROUND(Source!R92, 2), 2)</f>
        <v>0</v>
      </c>
    </row>
    <row r="222" spans="1:22" ht="15" x14ac:dyDescent="0.25">
      <c r="A222" s="59"/>
      <c r="B222" s="59"/>
      <c r="C222" s="60" t="s">
        <v>327</v>
      </c>
      <c r="D222" s="59"/>
      <c r="E222" s="59"/>
      <c r="F222" s="59"/>
      <c r="G222" s="59"/>
      <c r="H222" s="61">
        <f>I221</f>
        <v>89.39</v>
      </c>
      <c r="I222" s="61"/>
      <c r="J222" s="61">
        <f>K221</f>
        <v>439.8</v>
      </c>
      <c r="K222" s="61"/>
      <c r="O222" s="49">
        <f>I221</f>
        <v>89.39</v>
      </c>
      <c r="P222" s="49">
        <f>K221</f>
        <v>439.8</v>
      </c>
    </row>
    <row r="224" spans="1:22" ht="39.75" x14ac:dyDescent="0.2">
      <c r="A224" s="112" t="str">
        <f>Source!E93</f>
        <v>25</v>
      </c>
      <c r="B224" s="113" t="str">
        <f>Source!F93</f>
        <v>ц. пост.</v>
      </c>
      <c r="C224" s="113" t="s">
        <v>331</v>
      </c>
      <c r="D224" s="114" t="str">
        <f>Source!H93</f>
        <v>шт.</v>
      </c>
      <c r="E224" s="115">
        <f>Source!I93</f>
        <v>5</v>
      </c>
      <c r="F224" s="116">
        <f>Source!AL93</f>
        <v>388.21000000000004</v>
      </c>
      <c r="G224" s="117" t="str">
        <f>Source!DD93</f>
        <v/>
      </c>
      <c r="H224" s="115">
        <f>Source!AW94</f>
        <v>1</v>
      </c>
      <c r="I224" s="118">
        <f>Source!P93</f>
        <v>1941.05</v>
      </c>
      <c r="J224" s="115">
        <f>IF(Source!BC94&lt;&gt; 0, Source!BC94, 1)</f>
        <v>4.3899999999999997</v>
      </c>
      <c r="K224" s="118">
        <f>Source!P94</f>
        <v>10632.14</v>
      </c>
      <c r="Q224">
        <f>Source!X93</f>
        <v>0</v>
      </c>
      <c r="R224">
        <f>Source!X94</f>
        <v>0</v>
      </c>
      <c r="S224">
        <f>Source!Y93</f>
        <v>0</v>
      </c>
      <c r="T224">
        <f>Source!Y94</f>
        <v>0</v>
      </c>
      <c r="U224">
        <f>ROUND((175/100)*ROUND(Source!R93, 2), 2)</f>
        <v>0</v>
      </c>
      <c r="V224">
        <f>ROUND((157/100)*ROUND(Source!R94, 2), 2)</f>
        <v>0</v>
      </c>
    </row>
    <row r="225" spans="1:22" ht="15" x14ac:dyDescent="0.25">
      <c r="A225" s="119"/>
      <c r="B225" s="119"/>
      <c r="C225" s="120" t="s">
        <v>327</v>
      </c>
      <c r="D225" s="119"/>
      <c r="E225" s="119"/>
      <c r="F225" s="119"/>
      <c r="G225" s="119"/>
      <c r="H225" s="121">
        <f>I224</f>
        <v>1941.05</v>
      </c>
      <c r="I225" s="121"/>
      <c r="J225" s="121">
        <f>K224</f>
        <v>10632.14</v>
      </c>
      <c r="K225" s="121"/>
      <c r="O225" s="49">
        <f>I224</f>
        <v>1941.05</v>
      </c>
      <c r="P225" s="49">
        <f>K224</f>
        <v>10632.14</v>
      </c>
    </row>
    <row r="226" spans="1:22" x14ac:dyDescent="0.2">
      <c r="A226" s="122"/>
      <c r="B226" s="122"/>
      <c r="C226" s="122"/>
      <c r="D226" s="122"/>
      <c r="E226" s="122"/>
      <c r="F226" s="122"/>
      <c r="G226" s="122"/>
      <c r="H226" s="122"/>
      <c r="I226" s="122"/>
      <c r="J226" s="122"/>
      <c r="K226" s="122"/>
    </row>
    <row r="227" spans="1:22" ht="39.75" x14ac:dyDescent="0.2">
      <c r="A227" s="112" t="str">
        <f>Source!E95</f>
        <v>26</v>
      </c>
      <c r="B227" s="113" t="str">
        <f>Source!F95</f>
        <v>ц. пост.</v>
      </c>
      <c r="C227" s="113" t="s">
        <v>332</v>
      </c>
      <c r="D227" s="114" t="str">
        <f>Source!H95</f>
        <v>шт.</v>
      </c>
      <c r="E227" s="115">
        <f>Source!I95</f>
        <v>4</v>
      </c>
      <c r="F227" s="116">
        <f>Source!AL95</f>
        <v>32.54</v>
      </c>
      <c r="G227" s="117" t="str">
        <f>Source!DD95</f>
        <v/>
      </c>
      <c r="H227" s="115">
        <f>Source!AW96</f>
        <v>1</v>
      </c>
      <c r="I227" s="118">
        <f>Source!P95</f>
        <v>130.16</v>
      </c>
      <c r="J227" s="115">
        <f>IF(Source!BC96&lt;&gt; 0, Source!BC96, 1)</f>
        <v>4.3899999999999997</v>
      </c>
      <c r="K227" s="118">
        <f>Source!P96</f>
        <v>24225.95</v>
      </c>
      <c r="Q227">
        <f>Source!X95</f>
        <v>0</v>
      </c>
      <c r="R227">
        <f>Source!X96</f>
        <v>0</v>
      </c>
      <c r="S227">
        <f>Source!Y95</f>
        <v>0</v>
      </c>
      <c r="T227">
        <f>Source!Y96</f>
        <v>0</v>
      </c>
      <c r="U227">
        <f>ROUND((175/100)*ROUND(Source!R95, 2), 2)</f>
        <v>0</v>
      </c>
      <c r="V227">
        <f>ROUND((157/100)*ROUND(Source!R96, 2), 2)</f>
        <v>0</v>
      </c>
    </row>
    <row r="228" spans="1:22" ht="15" x14ac:dyDescent="0.25">
      <c r="A228" s="119"/>
      <c r="B228" s="119"/>
      <c r="C228" s="120" t="s">
        <v>327</v>
      </c>
      <c r="D228" s="119"/>
      <c r="E228" s="119"/>
      <c r="F228" s="119"/>
      <c r="G228" s="119"/>
      <c r="H228" s="121">
        <f>I227</f>
        <v>130.16</v>
      </c>
      <c r="I228" s="121"/>
      <c r="J228" s="121">
        <f>K227</f>
        <v>24225.95</v>
      </c>
      <c r="K228" s="121"/>
      <c r="O228" s="49">
        <f>I227</f>
        <v>130.16</v>
      </c>
      <c r="P228" s="49">
        <f>K227</f>
        <v>24225.95</v>
      </c>
    </row>
    <row r="229" spans="1:22" x14ac:dyDescent="0.2">
      <c r="A229" s="122"/>
      <c r="B229" s="122"/>
      <c r="C229" s="122"/>
      <c r="D229" s="122"/>
      <c r="E229" s="122"/>
      <c r="F229" s="122"/>
      <c r="G229" s="122"/>
      <c r="H229" s="122"/>
      <c r="I229" s="122"/>
      <c r="J229" s="122"/>
      <c r="K229" s="122"/>
    </row>
    <row r="230" spans="1:22" ht="39.75" x14ac:dyDescent="0.2">
      <c r="A230" s="112" t="str">
        <f>Source!E97</f>
        <v>27</v>
      </c>
      <c r="B230" s="113" t="str">
        <f>Source!F97</f>
        <v>ц. пост.</v>
      </c>
      <c r="C230" s="113" t="s">
        <v>333</v>
      </c>
      <c r="D230" s="114" t="str">
        <f>Source!H97</f>
        <v>шт.</v>
      </c>
      <c r="E230" s="115">
        <f>Source!I97</f>
        <v>1</v>
      </c>
      <c r="F230" s="116">
        <f>Source!AL97</f>
        <v>32.54</v>
      </c>
      <c r="G230" s="117" t="str">
        <f>Source!DD97</f>
        <v/>
      </c>
      <c r="H230" s="115">
        <f>Source!AW98</f>
        <v>1</v>
      </c>
      <c r="I230" s="118">
        <f>Source!P97</f>
        <v>32.54</v>
      </c>
      <c r="J230" s="115">
        <f>IF(Source!BC98&lt;&gt; 0, Source!BC98, 1)</f>
        <v>4.3899999999999997</v>
      </c>
      <c r="K230" s="118">
        <f>Source!P98</f>
        <v>33194.85</v>
      </c>
      <c r="Q230">
        <f>Source!X97</f>
        <v>0</v>
      </c>
      <c r="R230">
        <f>Source!X98</f>
        <v>0</v>
      </c>
      <c r="S230">
        <f>Source!Y97</f>
        <v>0</v>
      </c>
      <c r="T230">
        <f>Source!Y98</f>
        <v>0</v>
      </c>
      <c r="U230">
        <f>ROUND((175/100)*ROUND(Source!R97, 2), 2)</f>
        <v>0</v>
      </c>
      <c r="V230">
        <f>ROUND((157/100)*ROUND(Source!R98, 2), 2)</f>
        <v>0</v>
      </c>
    </row>
    <row r="231" spans="1:22" ht="15" x14ac:dyDescent="0.25">
      <c r="A231" s="59"/>
      <c r="B231" s="59"/>
      <c r="C231" s="60" t="s">
        <v>327</v>
      </c>
      <c r="D231" s="59"/>
      <c r="E231" s="59"/>
      <c r="F231" s="59"/>
      <c r="G231" s="59"/>
      <c r="H231" s="61">
        <f>I230</f>
        <v>32.54</v>
      </c>
      <c r="I231" s="61"/>
      <c r="J231" s="61">
        <f>K230</f>
        <v>33194.85</v>
      </c>
      <c r="K231" s="61"/>
      <c r="O231" s="49">
        <f>I230</f>
        <v>32.54</v>
      </c>
      <c r="P231" s="49">
        <f>K230</f>
        <v>33194.85</v>
      </c>
    </row>
    <row r="234" spans="1:22" ht="15" x14ac:dyDescent="0.25">
      <c r="A234" s="66" t="str">
        <f>CONCATENATE("Итого по разделу: ",IF(Source!G100&lt;&gt;"Новый раздел", Source!G100, ""))</f>
        <v>Итого по разделу: Оборудование</v>
      </c>
      <c r="B234" s="66"/>
      <c r="C234" s="66"/>
      <c r="D234" s="66"/>
      <c r="E234" s="66"/>
      <c r="F234" s="66"/>
      <c r="G234" s="66"/>
      <c r="H234" s="51">
        <f>SUM(O211:O233)</f>
        <v>31380.37</v>
      </c>
      <c r="I234" s="65"/>
      <c r="J234" s="51">
        <f>SUM(P211:P233)</f>
        <v>160024.21</v>
      </c>
      <c r="K234" s="65"/>
    </row>
    <row r="235" spans="1:22" hidden="1" x14ac:dyDescent="0.2">
      <c r="A235" t="s">
        <v>334</v>
      </c>
      <c r="I235">
        <f>SUM(W211:W234)</f>
        <v>0</v>
      </c>
      <c r="J235">
        <f>SUM(X211:X234)</f>
        <v>0</v>
      </c>
    </row>
    <row r="236" spans="1:22" hidden="1" x14ac:dyDescent="0.2">
      <c r="A236" t="s">
        <v>335</v>
      </c>
      <c r="I236">
        <f>SUM(Y211:Y235)</f>
        <v>0</v>
      </c>
      <c r="J236">
        <f>SUM(Z211:Z235)</f>
        <v>0</v>
      </c>
    </row>
    <row r="238" spans="1:22" ht="15" x14ac:dyDescent="0.25">
      <c r="A238" s="66" t="str">
        <f>CONCATENATE("Итого по локальной смете: ",IF(Source!G129&lt;&gt;"Новая локальная смета", Source!G129, ""))</f>
        <v>Итого по локальной смете: Система контроля доступа</v>
      </c>
      <c r="B238" s="66"/>
      <c r="C238" s="66"/>
      <c r="D238" s="66"/>
      <c r="E238" s="66"/>
      <c r="F238" s="66"/>
      <c r="G238" s="66"/>
      <c r="H238" s="51">
        <f>SUM(O35:O237)</f>
        <v>51024.600000000006</v>
      </c>
      <c r="I238" s="65"/>
      <c r="J238" s="51">
        <f>SUM(P35:P237)</f>
        <v>389200.72</v>
      </c>
      <c r="K238" s="65"/>
    </row>
    <row r="239" spans="1:22" hidden="1" x14ac:dyDescent="0.2">
      <c r="A239" t="s">
        <v>334</v>
      </c>
      <c r="I239">
        <f>SUM(W35:W238)</f>
        <v>0</v>
      </c>
      <c r="J239">
        <f>SUM(X35:X238)</f>
        <v>0</v>
      </c>
    </row>
    <row r="240" spans="1:22" hidden="1" x14ac:dyDescent="0.2">
      <c r="A240" t="s">
        <v>335</v>
      </c>
      <c r="I240">
        <f>SUM(Y35:Y239)</f>
        <v>0</v>
      </c>
      <c r="J240">
        <f>SUM(Z35:Z239)</f>
        <v>0</v>
      </c>
    </row>
    <row r="241" spans="1:11" ht="14.25" x14ac:dyDescent="0.2">
      <c r="C241" s="67" t="str">
        <f>Source!H131</f>
        <v>Прямые затраты</v>
      </c>
      <c r="D241" s="67"/>
      <c r="E241" s="67"/>
      <c r="F241" s="67"/>
      <c r="G241" s="67"/>
      <c r="H241" s="50">
        <f>Source!F131</f>
        <v>50118.16</v>
      </c>
      <c r="I241" s="50"/>
      <c r="J241" s="50">
        <f>Source!P131</f>
        <v>307001.87</v>
      </c>
      <c r="K241" s="50"/>
    </row>
    <row r="242" spans="1:11" ht="14.25" x14ac:dyDescent="0.2">
      <c r="C242" s="67" t="str">
        <f>Source!H132</f>
        <v>Стоимость материальных ресурсов (всего)</v>
      </c>
      <c r="D242" s="67"/>
      <c r="E242" s="67"/>
      <c r="F242" s="67"/>
      <c r="G242" s="67"/>
      <c r="H242" s="50">
        <f>Source!F132</f>
        <v>45112.6</v>
      </c>
      <c r="I242" s="50"/>
      <c r="J242" s="50">
        <f>Source!P132</f>
        <v>230016.06</v>
      </c>
      <c r="K242" s="50"/>
    </row>
    <row r="243" spans="1:11" ht="14.25" x14ac:dyDescent="0.2">
      <c r="C243" s="67" t="str">
        <f>Source!H135</f>
        <v>Стоимость материалов (всего)</v>
      </c>
      <c r="D243" s="67"/>
      <c r="E243" s="67"/>
      <c r="F243" s="67"/>
      <c r="G243" s="67"/>
      <c r="H243" s="50">
        <f>Source!F135</f>
        <v>13732.23</v>
      </c>
      <c r="I243" s="50"/>
      <c r="J243" s="50">
        <f>Source!P135</f>
        <v>69991.850000000006</v>
      </c>
      <c r="K243" s="50"/>
    </row>
    <row r="244" spans="1:11" ht="14.25" x14ac:dyDescent="0.2">
      <c r="C244" s="67" t="str">
        <f>Source!H138</f>
        <v>Стоимость оборудования (всего)</v>
      </c>
      <c r="D244" s="67"/>
      <c r="E244" s="67"/>
      <c r="F244" s="67"/>
      <c r="G244" s="67"/>
      <c r="H244" s="50">
        <f>Source!F138</f>
        <v>31380.37</v>
      </c>
      <c r="I244" s="50"/>
      <c r="J244" s="50">
        <f>Source!P138</f>
        <v>160024.21</v>
      </c>
      <c r="K244" s="50"/>
    </row>
    <row r="245" spans="1:11" ht="14.25" x14ac:dyDescent="0.2">
      <c r="C245" s="67" t="str">
        <f>Source!H141</f>
        <v>Эксплуатация машин</v>
      </c>
      <c r="D245" s="67"/>
      <c r="E245" s="67"/>
      <c r="F245" s="67"/>
      <c r="G245" s="67"/>
      <c r="H245" s="50">
        <f>Source!F141</f>
        <v>2439.44</v>
      </c>
      <c r="I245" s="50"/>
      <c r="J245" s="50">
        <f>Source!P141</f>
        <v>21326.73</v>
      </c>
      <c r="K245" s="50"/>
    </row>
    <row r="246" spans="1:11" ht="14.25" x14ac:dyDescent="0.2">
      <c r="C246" s="67" t="str">
        <f>Source!H143</f>
        <v>ЗП машинистов</v>
      </c>
      <c r="D246" s="67"/>
      <c r="E246" s="67"/>
      <c r="F246" s="67"/>
      <c r="G246" s="67"/>
      <c r="H246" s="50">
        <f>Source!F143</f>
        <v>517.96</v>
      </c>
      <c r="I246" s="50"/>
      <c r="J246" s="50">
        <f>Source!P143</f>
        <v>11234.55</v>
      </c>
      <c r="K246" s="50"/>
    </row>
    <row r="247" spans="1:11" ht="14.25" x14ac:dyDescent="0.2">
      <c r="C247" s="67" t="str">
        <f>Source!H144</f>
        <v>Основная ЗП рабочих</v>
      </c>
      <c r="D247" s="67"/>
      <c r="E247" s="67"/>
      <c r="F247" s="67"/>
      <c r="G247" s="67"/>
      <c r="H247" s="50">
        <f>Source!F144</f>
        <v>2566.12</v>
      </c>
      <c r="I247" s="50"/>
      <c r="J247" s="50">
        <f>Source!P144</f>
        <v>55659.08</v>
      </c>
      <c r="K247" s="50"/>
    </row>
    <row r="248" spans="1:11" ht="14.25" x14ac:dyDescent="0.2">
      <c r="C248" s="67" t="str">
        <f>Source!H146</f>
        <v>Строительные работы с НР и СП</v>
      </c>
      <c r="D248" s="67"/>
      <c r="E248" s="67"/>
      <c r="F248" s="67"/>
      <c r="G248" s="67"/>
      <c r="H248" s="50">
        <f>Source!F146</f>
        <v>140.06</v>
      </c>
      <c r="I248" s="50"/>
      <c r="J248" s="50">
        <f>Source!P146</f>
        <v>5720.34</v>
      </c>
      <c r="K248" s="50"/>
    </row>
    <row r="249" spans="1:11" ht="14.25" x14ac:dyDescent="0.2">
      <c r="C249" s="67" t="str">
        <f>Source!H147</f>
        <v>Монтажные работы с НР и СП</v>
      </c>
      <c r="D249" s="67"/>
      <c r="E249" s="67"/>
      <c r="F249" s="67"/>
      <c r="G249" s="67"/>
      <c r="H249" s="50">
        <f>Source!F147</f>
        <v>18078.689999999999</v>
      </c>
      <c r="I249" s="50"/>
      <c r="J249" s="50">
        <f>Source!P147</f>
        <v>199926.99</v>
      </c>
      <c r="K249" s="50"/>
    </row>
    <row r="250" spans="1:11" ht="14.25" x14ac:dyDescent="0.2">
      <c r="C250" s="67" t="str">
        <f>Source!H148</f>
        <v>Прочие работы с НР и СП</v>
      </c>
      <c r="D250" s="67"/>
      <c r="E250" s="67"/>
      <c r="F250" s="67"/>
      <c r="G250" s="67"/>
      <c r="H250" s="50">
        <f>Source!F148</f>
        <v>519.04</v>
      </c>
      <c r="I250" s="50"/>
      <c r="J250" s="50">
        <f>Source!P148</f>
        <v>23529.18</v>
      </c>
      <c r="K250" s="50"/>
    </row>
    <row r="251" spans="1:11" ht="14.25" x14ac:dyDescent="0.2">
      <c r="C251" s="67" t="str">
        <f>Source!H151</f>
        <v>Трудозатраты строителей</v>
      </c>
      <c r="D251" s="67"/>
      <c r="E251" s="67"/>
      <c r="F251" s="67"/>
      <c r="G251" s="67"/>
      <c r="H251" s="68">
        <f>Source!F151</f>
        <v>184</v>
      </c>
      <c r="I251" s="68"/>
      <c r="J251" s="68">
        <f>Source!P151</f>
        <v>184</v>
      </c>
      <c r="K251" s="68"/>
    </row>
    <row r="252" spans="1:11" ht="14.25" x14ac:dyDescent="0.2">
      <c r="C252" s="67" t="str">
        <f>Source!H154</f>
        <v>Накладные расходы</v>
      </c>
      <c r="D252" s="67"/>
      <c r="E252" s="67"/>
      <c r="F252" s="67"/>
      <c r="G252" s="67"/>
      <c r="H252" s="50">
        <f>Source!F154</f>
        <v>0</v>
      </c>
      <c r="I252" s="50"/>
      <c r="J252" s="50">
        <f>Source!P154</f>
        <v>41740.36</v>
      </c>
      <c r="K252" s="50"/>
    </row>
    <row r="253" spans="1:11" ht="14.25" x14ac:dyDescent="0.2">
      <c r="C253" s="67" t="str">
        <f>Source!H155</f>
        <v>Сметная прибыль</v>
      </c>
      <c r="D253" s="67"/>
      <c r="E253" s="67"/>
      <c r="F253" s="67"/>
      <c r="G253" s="67"/>
      <c r="H253" s="50">
        <f>Source!F155</f>
        <v>0</v>
      </c>
      <c r="I253" s="50"/>
      <c r="J253" s="50">
        <f>Source!P155</f>
        <v>22820.23</v>
      </c>
      <c r="K253" s="50"/>
    </row>
    <row r="254" spans="1:11" ht="14.25" x14ac:dyDescent="0.2">
      <c r="C254" s="67" t="str">
        <f>Source!H156</f>
        <v>Всего с НР и СП</v>
      </c>
      <c r="D254" s="67"/>
      <c r="E254" s="67"/>
      <c r="F254" s="67"/>
      <c r="G254" s="67"/>
      <c r="H254" s="50">
        <f>Source!F156</f>
        <v>50118.16</v>
      </c>
      <c r="I254" s="50"/>
      <c r="J254" s="50">
        <f>Source!P156</f>
        <v>389200.72</v>
      </c>
      <c r="K254" s="50"/>
    </row>
    <row r="256" spans="1:11" ht="15" x14ac:dyDescent="0.25">
      <c r="A256" s="66" t="str">
        <f>CONCATENATE("Итого по смете: ",IF(Source!G158&lt;&gt;"Новый объект", Source!G158, ""))</f>
        <v>Итого по смете: 12 СКУД</v>
      </c>
      <c r="B256" s="66"/>
      <c r="C256" s="66"/>
      <c r="D256" s="66"/>
      <c r="E256" s="66"/>
      <c r="F256" s="66"/>
      <c r="G256" s="66"/>
      <c r="H256" s="51">
        <f>SUM(O1:O255)</f>
        <v>51024.600000000006</v>
      </c>
      <c r="I256" s="65"/>
      <c r="J256" s="51">
        <f>SUM(P1:P255)</f>
        <v>389200.72</v>
      </c>
      <c r="K256" s="65"/>
    </row>
    <row r="257" spans="1:11" hidden="1" x14ac:dyDescent="0.2">
      <c r="A257" t="s">
        <v>334</v>
      </c>
      <c r="I257">
        <f>SUM(W1:W256)</f>
        <v>0</v>
      </c>
      <c r="J257">
        <f>SUM(X1:X256)</f>
        <v>0</v>
      </c>
    </row>
    <row r="258" spans="1:11" hidden="1" x14ac:dyDescent="0.2">
      <c r="A258" t="s">
        <v>335</v>
      </c>
      <c r="I258">
        <f>SUM(Y1:Y257)</f>
        <v>0</v>
      </c>
      <c r="J258">
        <f>SUM(Z1:Z257)</f>
        <v>0</v>
      </c>
    </row>
    <row r="259" spans="1:11" ht="14.25" x14ac:dyDescent="0.2">
      <c r="C259" s="67" t="str">
        <f>Source!H160</f>
        <v>Прямые затраты</v>
      </c>
      <c r="D259" s="67"/>
      <c r="E259" s="67"/>
      <c r="F259" s="67"/>
      <c r="G259" s="67"/>
      <c r="H259" s="50">
        <f>Source!F160</f>
        <v>50118.16</v>
      </c>
      <c r="I259" s="50"/>
      <c r="J259" s="50">
        <f>Source!P160</f>
        <v>307001.87</v>
      </c>
      <c r="K259" s="50"/>
    </row>
    <row r="260" spans="1:11" ht="14.25" x14ac:dyDescent="0.2">
      <c r="C260" s="67" t="str">
        <f>Source!H161</f>
        <v>Стоимость материальных ресурсов (всего)</v>
      </c>
      <c r="D260" s="67"/>
      <c r="E260" s="67"/>
      <c r="F260" s="67"/>
      <c r="G260" s="67"/>
      <c r="H260" s="50">
        <f>Source!F161</f>
        <v>45112.6</v>
      </c>
      <c r="I260" s="50"/>
      <c r="J260" s="50">
        <f>Source!P161</f>
        <v>230016.06</v>
      </c>
      <c r="K260" s="50"/>
    </row>
    <row r="261" spans="1:11" ht="14.25" x14ac:dyDescent="0.2">
      <c r="C261" s="67" t="str">
        <f>Source!H164</f>
        <v>Стоимость материалов (всего)</v>
      </c>
      <c r="D261" s="67"/>
      <c r="E261" s="67"/>
      <c r="F261" s="67"/>
      <c r="G261" s="67"/>
      <c r="H261" s="50">
        <f>Source!F164</f>
        <v>13732.23</v>
      </c>
      <c r="I261" s="50"/>
      <c r="J261" s="50">
        <f>Source!P164</f>
        <v>69991.850000000006</v>
      </c>
      <c r="K261" s="50"/>
    </row>
    <row r="262" spans="1:11" ht="14.25" x14ac:dyDescent="0.2">
      <c r="C262" s="67" t="str">
        <f>Source!H167</f>
        <v>Стоимость оборудования (всего)</v>
      </c>
      <c r="D262" s="67"/>
      <c r="E262" s="67"/>
      <c r="F262" s="67"/>
      <c r="G262" s="67"/>
      <c r="H262" s="50">
        <f>Source!F167</f>
        <v>31380.37</v>
      </c>
      <c r="I262" s="50"/>
      <c r="J262" s="50">
        <f>Source!P167</f>
        <v>160024.21</v>
      </c>
      <c r="K262" s="50"/>
    </row>
    <row r="263" spans="1:11" ht="14.25" x14ac:dyDescent="0.2">
      <c r="C263" s="67" t="str">
        <f>Source!H170</f>
        <v>Эксплуатация машин</v>
      </c>
      <c r="D263" s="67"/>
      <c r="E263" s="67"/>
      <c r="F263" s="67"/>
      <c r="G263" s="67"/>
      <c r="H263" s="50">
        <f>Source!F170</f>
        <v>2439.44</v>
      </c>
      <c r="I263" s="50"/>
      <c r="J263" s="50">
        <f>Source!P170</f>
        <v>21326.73</v>
      </c>
      <c r="K263" s="50"/>
    </row>
    <row r="264" spans="1:11" ht="14.25" x14ac:dyDescent="0.2">
      <c r="C264" s="67" t="str">
        <f>Source!H172</f>
        <v>ЗП машинистов</v>
      </c>
      <c r="D264" s="67"/>
      <c r="E264" s="67"/>
      <c r="F264" s="67"/>
      <c r="G264" s="67"/>
      <c r="H264" s="50">
        <f>Source!F172</f>
        <v>517.96</v>
      </c>
      <c r="I264" s="50"/>
      <c r="J264" s="50">
        <f>Source!P172</f>
        <v>11234.55</v>
      </c>
      <c r="K264" s="50"/>
    </row>
    <row r="265" spans="1:11" ht="14.25" x14ac:dyDescent="0.2">
      <c r="C265" s="67" t="str">
        <f>Source!H173</f>
        <v>Основная ЗП рабочих</v>
      </c>
      <c r="D265" s="67"/>
      <c r="E265" s="67"/>
      <c r="F265" s="67"/>
      <c r="G265" s="67"/>
      <c r="H265" s="50">
        <f>Source!F173</f>
        <v>2566.12</v>
      </c>
      <c r="I265" s="50"/>
      <c r="J265" s="50">
        <f>Source!P173</f>
        <v>55659.08</v>
      </c>
      <c r="K265" s="50"/>
    </row>
    <row r="266" spans="1:11" ht="14.25" x14ac:dyDescent="0.2">
      <c r="C266" s="67" t="str">
        <f>Source!H175</f>
        <v>Строительные работы с НР и СП</v>
      </c>
      <c r="D266" s="67"/>
      <c r="E266" s="67"/>
      <c r="F266" s="67"/>
      <c r="G266" s="67"/>
      <c r="H266" s="50">
        <f>Source!F175</f>
        <v>140.06</v>
      </c>
      <c r="I266" s="50"/>
      <c r="J266" s="50">
        <f>Source!P175</f>
        <v>5720.34</v>
      </c>
      <c r="K266" s="50"/>
    </row>
    <row r="267" spans="1:11" ht="14.25" x14ac:dyDescent="0.2">
      <c r="C267" s="67" t="str">
        <f>Source!H176</f>
        <v>Монтажные работы с НР и СП</v>
      </c>
      <c r="D267" s="67"/>
      <c r="E267" s="67"/>
      <c r="F267" s="67"/>
      <c r="G267" s="67"/>
      <c r="H267" s="50">
        <f>Source!F176</f>
        <v>18078.689999999999</v>
      </c>
      <c r="I267" s="50"/>
      <c r="J267" s="50">
        <f>Source!P176</f>
        <v>199926.99</v>
      </c>
      <c r="K267" s="50"/>
    </row>
    <row r="268" spans="1:11" ht="14.25" x14ac:dyDescent="0.2">
      <c r="C268" s="67" t="str">
        <f>Source!H177</f>
        <v>Прочие работы с НР и СП</v>
      </c>
      <c r="D268" s="67"/>
      <c r="E268" s="67"/>
      <c r="F268" s="67"/>
      <c r="G268" s="67"/>
      <c r="H268" s="50">
        <f>Source!F177</f>
        <v>519.04</v>
      </c>
      <c r="I268" s="50"/>
      <c r="J268" s="50">
        <f>Source!P177</f>
        <v>23529.18</v>
      </c>
      <c r="K268" s="50"/>
    </row>
    <row r="269" spans="1:11" ht="14.25" x14ac:dyDescent="0.2">
      <c r="C269" s="67" t="str">
        <f>Source!H180</f>
        <v>Трудозатраты строителей</v>
      </c>
      <c r="D269" s="67"/>
      <c r="E269" s="67"/>
      <c r="F269" s="67"/>
      <c r="G269" s="67"/>
      <c r="H269" s="50">
        <f>Source!F180</f>
        <v>183.85</v>
      </c>
      <c r="I269" s="50"/>
      <c r="J269" s="50">
        <f>Source!P180</f>
        <v>183.85</v>
      </c>
      <c r="K269" s="50"/>
    </row>
    <row r="270" spans="1:11" ht="14.25" x14ac:dyDescent="0.2">
      <c r="C270" s="67" t="str">
        <f>Source!H183</f>
        <v>Накладные расходы</v>
      </c>
      <c r="D270" s="67"/>
      <c r="E270" s="67"/>
      <c r="F270" s="67"/>
      <c r="G270" s="67"/>
      <c r="H270" s="50">
        <f>Source!F183</f>
        <v>0</v>
      </c>
      <c r="I270" s="50"/>
      <c r="J270" s="50">
        <f>Source!P183</f>
        <v>41740.36</v>
      </c>
      <c r="K270" s="50"/>
    </row>
    <row r="271" spans="1:11" ht="14.25" x14ac:dyDescent="0.2">
      <c r="C271" s="67" t="str">
        <f>Source!H184</f>
        <v>Сметная прибыль</v>
      </c>
      <c r="D271" s="67"/>
      <c r="E271" s="67"/>
      <c r="F271" s="67"/>
      <c r="G271" s="67"/>
      <c r="H271" s="50">
        <f>Source!F184</f>
        <v>0</v>
      </c>
      <c r="I271" s="50"/>
      <c r="J271" s="50">
        <f>Source!P184</f>
        <v>22820.23</v>
      </c>
      <c r="K271" s="50"/>
    </row>
    <row r="272" spans="1:11" ht="14.25" x14ac:dyDescent="0.2">
      <c r="C272" s="67" t="str">
        <f>Source!H185</f>
        <v>Всего с НР и СП</v>
      </c>
      <c r="D272" s="67"/>
      <c r="E272" s="67"/>
      <c r="F272" s="67"/>
      <c r="G272" s="67"/>
      <c r="H272" s="50">
        <f>Source!F185</f>
        <v>50118.16</v>
      </c>
      <c r="I272" s="50"/>
      <c r="J272" s="50">
        <f>Source!P185</f>
        <v>389200.72</v>
      </c>
      <c r="K272" s="50"/>
    </row>
    <row r="275" spans="1:11" ht="14.25" x14ac:dyDescent="0.2">
      <c r="A275" s="69" t="s">
        <v>336</v>
      </c>
      <c r="B275" s="69"/>
      <c r="C275" s="70" t="str">
        <f>IF(Source!AC12&lt;&gt;"", Source!AC12," ")</f>
        <v xml:space="preserve"> </v>
      </c>
      <c r="D275" s="70"/>
      <c r="E275" s="70"/>
      <c r="F275" s="70"/>
      <c r="G275" s="70"/>
      <c r="H275" s="13" t="str">
        <f>IF(Source!AB12&lt;&gt;"", Source!AB12," ")</f>
        <v xml:space="preserve"> </v>
      </c>
      <c r="I275" s="13"/>
      <c r="J275" s="13"/>
      <c r="K275" s="13"/>
    </row>
    <row r="276" spans="1:11" ht="14.25" x14ac:dyDescent="0.2">
      <c r="A276" s="13"/>
      <c r="B276" s="13"/>
      <c r="C276" s="23" t="s">
        <v>337</v>
      </c>
      <c r="D276" s="23"/>
      <c r="E276" s="23"/>
      <c r="F276" s="23"/>
      <c r="G276" s="23"/>
      <c r="H276" s="13"/>
      <c r="I276" s="13"/>
      <c r="J276" s="13"/>
      <c r="K276" s="13"/>
    </row>
    <row r="277" spans="1:11" ht="14.25" x14ac:dyDescent="0.2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spans="1:11" ht="14.25" x14ac:dyDescent="0.2">
      <c r="A278" s="69" t="s">
        <v>338</v>
      </c>
      <c r="B278" s="69"/>
      <c r="C278" s="70" t="str">
        <f>IF(Source!AE12&lt;&gt;"", Source!AE12," ")</f>
        <v xml:space="preserve"> </v>
      </c>
      <c r="D278" s="70"/>
      <c r="E278" s="70"/>
      <c r="F278" s="70"/>
      <c r="G278" s="70"/>
      <c r="H278" s="13" t="str">
        <f>IF(Source!AD12&lt;&gt;"", Source!AD12," ")</f>
        <v xml:space="preserve"> </v>
      </c>
      <c r="I278" s="13"/>
      <c r="J278" s="13"/>
      <c r="K278" s="13"/>
    </row>
    <row r="279" spans="1:11" ht="14.25" x14ac:dyDescent="0.2">
      <c r="A279" s="13"/>
      <c r="B279" s="13"/>
      <c r="C279" s="23" t="s">
        <v>337</v>
      </c>
      <c r="D279" s="23"/>
      <c r="E279" s="23"/>
      <c r="F279" s="23"/>
      <c r="G279" s="23"/>
      <c r="H279" s="13"/>
      <c r="I279" s="13"/>
      <c r="J279" s="13"/>
      <c r="K279" s="13"/>
    </row>
  </sheetData>
  <mergeCells count="171">
    <mergeCell ref="C279:G279"/>
    <mergeCell ref="C272:G272"/>
    <mergeCell ref="H272:I272"/>
    <mergeCell ref="J272:K272"/>
    <mergeCell ref="A275:B275"/>
    <mergeCell ref="C276:G276"/>
    <mergeCell ref="A278:B278"/>
    <mergeCell ref="C270:G270"/>
    <mergeCell ref="H270:I270"/>
    <mergeCell ref="J270:K270"/>
    <mergeCell ref="C271:G271"/>
    <mergeCell ref="H271:I271"/>
    <mergeCell ref="J271:K271"/>
    <mergeCell ref="C268:G268"/>
    <mergeCell ref="H268:I268"/>
    <mergeCell ref="J268:K268"/>
    <mergeCell ref="C269:G269"/>
    <mergeCell ref="H269:I269"/>
    <mergeCell ref="J269:K269"/>
    <mergeCell ref="C266:G266"/>
    <mergeCell ref="H266:I266"/>
    <mergeCell ref="J266:K266"/>
    <mergeCell ref="C267:G267"/>
    <mergeCell ref="H267:I267"/>
    <mergeCell ref="J267:K267"/>
    <mergeCell ref="C264:G264"/>
    <mergeCell ref="H264:I264"/>
    <mergeCell ref="J264:K264"/>
    <mergeCell ref="C265:G265"/>
    <mergeCell ref="H265:I265"/>
    <mergeCell ref="J265:K265"/>
    <mergeCell ref="C262:G262"/>
    <mergeCell ref="H262:I262"/>
    <mergeCell ref="J262:K262"/>
    <mergeCell ref="C263:G263"/>
    <mergeCell ref="H263:I263"/>
    <mergeCell ref="J263:K263"/>
    <mergeCell ref="C260:G260"/>
    <mergeCell ref="H260:I260"/>
    <mergeCell ref="J260:K260"/>
    <mergeCell ref="C261:G261"/>
    <mergeCell ref="H261:I261"/>
    <mergeCell ref="J261:K261"/>
    <mergeCell ref="J256:K256"/>
    <mergeCell ref="H256:I256"/>
    <mergeCell ref="A256:G256"/>
    <mergeCell ref="C259:G259"/>
    <mergeCell ref="H259:I259"/>
    <mergeCell ref="J259:K259"/>
    <mergeCell ref="C253:G253"/>
    <mergeCell ref="H253:I253"/>
    <mergeCell ref="J253:K253"/>
    <mergeCell ref="C254:G254"/>
    <mergeCell ref="H254:I254"/>
    <mergeCell ref="J254:K254"/>
    <mergeCell ref="C251:G251"/>
    <mergeCell ref="H251:I251"/>
    <mergeCell ref="J251:K251"/>
    <mergeCell ref="C252:G252"/>
    <mergeCell ref="H252:I252"/>
    <mergeCell ref="J252:K252"/>
    <mergeCell ref="C249:G249"/>
    <mergeCell ref="H249:I249"/>
    <mergeCell ref="J249:K249"/>
    <mergeCell ref="C250:G250"/>
    <mergeCell ref="H250:I250"/>
    <mergeCell ref="J250:K250"/>
    <mergeCell ref="C247:G247"/>
    <mergeCell ref="H247:I247"/>
    <mergeCell ref="J247:K247"/>
    <mergeCell ref="C248:G248"/>
    <mergeCell ref="H248:I248"/>
    <mergeCell ref="J248:K248"/>
    <mergeCell ref="C245:G245"/>
    <mergeCell ref="H245:I245"/>
    <mergeCell ref="J245:K245"/>
    <mergeCell ref="C246:G246"/>
    <mergeCell ref="H246:I246"/>
    <mergeCell ref="J246:K246"/>
    <mergeCell ref="C243:G243"/>
    <mergeCell ref="H243:I243"/>
    <mergeCell ref="J243:K243"/>
    <mergeCell ref="C244:G244"/>
    <mergeCell ref="H244:I244"/>
    <mergeCell ref="J244:K244"/>
    <mergeCell ref="C241:G241"/>
    <mergeCell ref="H241:I241"/>
    <mergeCell ref="J241:K241"/>
    <mergeCell ref="C242:G242"/>
    <mergeCell ref="H242:I242"/>
    <mergeCell ref="J242:K242"/>
    <mergeCell ref="J234:K234"/>
    <mergeCell ref="H234:I234"/>
    <mergeCell ref="A234:G234"/>
    <mergeCell ref="J238:K238"/>
    <mergeCell ref="H238:I238"/>
    <mergeCell ref="A238:G238"/>
    <mergeCell ref="J225:K225"/>
    <mergeCell ref="H225:I225"/>
    <mergeCell ref="J228:K228"/>
    <mergeCell ref="H228:I228"/>
    <mergeCell ref="J231:K231"/>
    <mergeCell ref="H231:I231"/>
    <mergeCell ref="J216:K216"/>
    <mergeCell ref="H216:I216"/>
    <mergeCell ref="J219:K219"/>
    <mergeCell ref="H219:I219"/>
    <mergeCell ref="J222:K222"/>
    <mergeCell ref="H222:I222"/>
    <mergeCell ref="J201:K201"/>
    <mergeCell ref="H201:I201"/>
    <mergeCell ref="J208:K208"/>
    <mergeCell ref="H208:I208"/>
    <mergeCell ref="A211:K211"/>
    <mergeCell ref="J213:K213"/>
    <mergeCell ref="H213:I213"/>
    <mergeCell ref="J170:K170"/>
    <mergeCell ref="H170:I170"/>
    <mergeCell ref="J178:K178"/>
    <mergeCell ref="H178:I178"/>
    <mergeCell ref="J190:K190"/>
    <mergeCell ref="H190:I190"/>
    <mergeCell ref="J161:K161"/>
    <mergeCell ref="H161:I161"/>
    <mergeCell ref="J164:K164"/>
    <mergeCell ref="H164:I164"/>
    <mergeCell ref="J167:K167"/>
    <mergeCell ref="H167:I167"/>
    <mergeCell ref="J125:K125"/>
    <mergeCell ref="H125:I125"/>
    <mergeCell ref="J137:K137"/>
    <mergeCell ref="H137:I137"/>
    <mergeCell ref="J149:K149"/>
    <mergeCell ref="H149:I149"/>
    <mergeCell ref="J84:K84"/>
    <mergeCell ref="H84:I84"/>
    <mergeCell ref="J95:K95"/>
    <mergeCell ref="H95:I95"/>
    <mergeCell ref="J110:K110"/>
    <mergeCell ref="H110:I110"/>
    <mergeCell ref="J53:K53"/>
    <mergeCell ref="H53:I53"/>
    <mergeCell ref="J64:K64"/>
    <mergeCell ref="H64:I64"/>
    <mergeCell ref="J75:K75"/>
    <mergeCell ref="H75:I75"/>
    <mergeCell ref="F25:H25"/>
    <mergeCell ref="F26:H26"/>
    <mergeCell ref="F27:H27"/>
    <mergeCell ref="F29:H29"/>
    <mergeCell ref="A32:K32"/>
    <mergeCell ref="J45:K45"/>
    <mergeCell ref="H45:I45"/>
    <mergeCell ref="A16:K16"/>
    <mergeCell ref="A18:K18"/>
    <mergeCell ref="F21:H21"/>
    <mergeCell ref="F22:H22"/>
    <mergeCell ref="F23:H23"/>
    <mergeCell ref="F24:H24"/>
    <mergeCell ref="B7:E7"/>
    <mergeCell ref="G7:K7"/>
    <mergeCell ref="A10:K10"/>
    <mergeCell ref="A11:K11"/>
    <mergeCell ref="A13:K13"/>
    <mergeCell ref="A15:K15"/>
    <mergeCell ref="B3:E3"/>
    <mergeCell ref="G3:K3"/>
    <mergeCell ref="B4:E4"/>
    <mergeCell ref="G4:K4"/>
    <mergeCell ref="B6:E6"/>
    <mergeCell ref="G6:K6"/>
  </mergeCells>
  <pageMargins left="0.4" right="0.2" top="0.2" bottom="0.4" header="0.2" footer="0.2"/>
  <pageSetup paperSize="9" scale="64" fitToHeight="0" orientation="portrait" horizontalDpi="4294967295" verticalDpi="4294967295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zoomScaleNormal="100" workbookViewId="0"/>
  </sheetViews>
  <sheetFormatPr defaultRowHeight="12.75" x14ac:dyDescent="0.2"/>
  <cols>
    <col min="1" max="1" width="6.7109375" customWidth="1"/>
    <col min="2" max="2" width="75.7109375" customWidth="1"/>
    <col min="3" max="5" width="15.7109375" customWidth="1"/>
  </cols>
  <sheetData>
    <row r="1" spans="1:5" x14ac:dyDescent="0.2">
      <c r="A1" s="11" t="str">
        <f>Source!B1</f>
        <v>Smeta.RU  (495) 974-1589</v>
      </c>
    </row>
    <row r="2" spans="1:5" ht="14.25" x14ac:dyDescent="0.2">
      <c r="C2" s="13"/>
      <c r="D2" s="13"/>
    </row>
    <row r="3" spans="1:5" ht="15" x14ac:dyDescent="0.25">
      <c r="C3" s="13"/>
      <c r="D3" s="64" t="s">
        <v>290</v>
      </c>
    </row>
    <row r="4" spans="1:5" ht="15" x14ac:dyDescent="0.25">
      <c r="C4" s="64"/>
      <c r="D4" s="64"/>
    </row>
    <row r="5" spans="1:5" ht="15" x14ac:dyDescent="0.25">
      <c r="C5" s="71" t="s">
        <v>339</v>
      </c>
      <c r="D5" s="71"/>
    </row>
    <row r="6" spans="1:5" ht="15" x14ac:dyDescent="0.25">
      <c r="C6" s="72"/>
      <c r="D6" s="72"/>
    </row>
    <row r="7" spans="1:5" ht="15" x14ac:dyDescent="0.25">
      <c r="C7" s="71" t="s">
        <v>339</v>
      </c>
      <c r="D7" s="71"/>
    </row>
    <row r="8" spans="1:5" ht="15" x14ac:dyDescent="0.25">
      <c r="C8" s="72"/>
      <c r="D8" s="72"/>
    </row>
    <row r="9" spans="1:5" ht="15" x14ac:dyDescent="0.25">
      <c r="C9" s="64" t="s">
        <v>340</v>
      </c>
      <c r="D9" s="13"/>
    </row>
    <row r="10" spans="1:5" ht="14.25" x14ac:dyDescent="0.2">
      <c r="A10" s="13"/>
      <c r="B10" s="13"/>
      <c r="C10" s="13"/>
      <c r="D10" s="13"/>
      <c r="E10" s="13"/>
    </row>
    <row r="11" spans="1:5" ht="15.75" x14ac:dyDescent="0.25">
      <c r="A11" s="73" t="str">
        <f>CONCATENATE("Дефектный акт ", IF(Source!AN15&lt;&gt;"", Source!AN15," "))</f>
        <v xml:space="preserve">Дефектный акт  </v>
      </c>
      <c r="B11" s="73"/>
      <c r="C11" s="73"/>
      <c r="D11" s="73"/>
      <c r="E11" s="13"/>
    </row>
    <row r="12" spans="1:5" ht="15" x14ac:dyDescent="0.25">
      <c r="A12" s="74" t="str">
        <f>CONCATENATE("На капитальный ремонт ", Source!F12)</f>
        <v>На капитальный ремонт 12 СКУД</v>
      </c>
      <c r="B12" s="74"/>
      <c r="C12" s="74"/>
      <c r="D12" s="74"/>
      <c r="E12" s="13"/>
    </row>
    <row r="13" spans="1:5" ht="14.25" x14ac:dyDescent="0.2">
      <c r="A13" s="13"/>
      <c r="B13" s="13"/>
      <c r="C13" s="13"/>
      <c r="D13" s="13"/>
      <c r="E13" s="13"/>
    </row>
    <row r="14" spans="1:5" ht="15" x14ac:dyDescent="0.2">
      <c r="A14" s="13"/>
      <c r="B14" s="75" t="s">
        <v>341</v>
      </c>
      <c r="C14" s="13"/>
      <c r="D14" s="13"/>
      <c r="E14" s="13"/>
    </row>
    <row r="15" spans="1:5" ht="15" x14ac:dyDescent="0.2">
      <c r="A15" s="13"/>
      <c r="B15" s="75" t="s">
        <v>342</v>
      </c>
      <c r="C15" s="13"/>
      <c r="D15" s="13"/>
      <c r="E15" s="13"/>
    </row>
    <row r="16" spans="1:5" ht="15" x14ac:dyDescent="0.2">
      <c r="A16" s="13"/>
      <c r="B16" s="75" t="s">
        <v>343</v>
      </c>
      <c r="C16" s="13"/>
      <c r="D16" s="13"/>
      <c r="E16" s="13"/>
    </row>
    <row r="17" spans="1:5" ht="28.5" x14ac:dyDescent="0.2">
      <c r="A17" s="38" t="s">
        <v>304</v>
      </c>
      <c r="B17" s="38" t="s">
        <v>306</v>
      </c>
      <c r="C17" s="38" t="s">
        <v>344</v>
      </c>
      <c r="D17" s="38" t="s">
        <v>345</v>
      </c>
      <c r="E17" s="39" t="s">
        <v>346</v>
      </c>
    </row>
    <row r="18" spans="1:5" ht="14.25" x14ac:dyDescent="0.2">
      <c r="A18" s="76">
        <v>1</v>
      </c>
      <c r="B18" s="76">
        <v>2</v>
      </c>
      <c r="C18" s="76">
        <v>3</v>
      </c>
      <c r="D18" s="76">
        <v>4</v>
      </c>
      <c r="E18" s="77">
        <v>5</v>
      </c>
    </row>
    <row r="19" spans="1:5" ht="16.5" x14ac:dyDescent="0.25">
      <c r="A19" s="78" t="str">
        <f>CONCATENATE("Локальная смета: ", Source!G20)</f>
        <v>Локальная смета: Система контроля доступа</v>
      </c>
      <c r="B19" s="78"/>
      <c r="C19" s="78"/>
      <c r="D19" s="78"/>
      <c r="E19" s="78"/>
    </row>
    <row r="20" spans="1:5" ht="14.25" x14ac:dyDescent="0.2">
      <c r="A20" s="83" t="str">
        <f>Source!E24</f>
        <v>1</v>
      </c>
      <c r="B20" s="84" t="str">
        <f>Source!G24</f>
        <v>Блок контроля датчиков (контроллер)</v>
      </c>
      <c r="C20" s="85" t="str">
        <f>Source!H24</f>
        <v>10 шт.</v>
      </c>
      <c r="D20" s="86">
        <f>Source!I24</f>
        <v>0.4</v>
      </c>
      <c r="E20" s="83"/>
    </row>
    <row r="21" spans="1:5" ht="14.25" x14ac:dyDescent="0.2">
      <c r="A21" s="83" t="str">
        <f>Source!E26</f>
        <v>2</v>
      </c>
      <c r="B21" s="84" t="str">
        <f>Source!G26</f>
        <v>Блок бесперебойного питания (ББП) в диспетчерской</v>
      </c>
      <c r="C21" s="85" t="str">
        <f>Source!H26</f>
        <v>1  ШТ.</v>
      </c>
      <c r="D21" s="86">
        <f>Source!I26</f>
        <v>3</v>
      </c>
      <c r="E21" s="83"/>
    </row>
    <row r="22" spans="1:5" ht="14.25" x14ac:dyDescent="0.2">
      <c r="A22" s="83" t="str">
        <f>Source!E28</f>
        <v>3</v>
      </c>
      <c r="B22" s="84" t="str">
        <f>Source!G28</f>
        <v>Блок считывания кода (БСК) и считыватель в диспетчерской</v>
      </c>
      <c r="C22" s="85" t="str">
        <f>Source!H28</f>
        <v>1  ШТ.</v>
      </c>
      <c r="D22" s="86">
        <f>Source!I28</f>
        <v>5</v>
      </c>
      <c r="E22" s="83"/>
    </row>
    <row r="23" spans="1:5" ht="14.25" x14ac:dyDescent="0.2">
      <c r="A23" s="83" t="str">
        <f>Source!E30</f>
        <v>4</v>
      </c>
      <c r="B23" s="84" t="str">
        <f>Source!G30</f>
        <v>Установка дверного доводчика к металлическим дверям</v>
      </c>
      <c r="C23" s="85" t="str">
        <f>Source!H30</f>
        <v>1  ШТ.</v>
      </c>
      <c r="D23" s="86">
        <f>Source!I30</f>
        <v>7</v>
      </c>
      <c r="E23" s="83"/>
    </row>
    <row r="24" spans="1:5" ht="14.25" x14ac:dyDescent="0.2">
      <c r="A24" s="83" t="str">
        <f>Source!E32</f>
        <v>5</v>
      </c>
      <c r="B24" s="84" t="str">
        <f>Source!G32</f>
        <v>Ключ или кнопка на панели</v>
      </c>
      <c r="C24" s="85" t="str">
        <f>Source!H32</f>
        <v>1  ШТ.</v>
      </c>
      <c r="D24" s="86">
        <f>Source!I32</f>
        <v>7</v>
      </c>
      <c r="E24" s="83"/>
    </row>
    <row r="25" spans="1:5" ht="14.25" x14ac:dyDescent="0.2">
      <c r="A25" s="83" t="str">
        <f>Source!E34</f>
        <v>5,1</v>
      </c>
      <c r="B25" s="84" t="str">
        <f>Source!G34</f>
        <v>Кнопка выхода SR-BP42</v>
      </c>
      <c r="C25" s="85" t="str">
        <f>Source!H34</f>
        <v>шт.</v>
      </c>
      <c r="D25" s="86">
        <f>Source!I34</f>
        <v>7</v>
      </c>
      <c r="E25" s="83"/>
    </row>
    <row r="26" spans="1:5" ht="28.5" x14ac:dyDescent="0.2">
      <c r="A26" s="83" t="str">
        <f>Source!E36</f>
        <v>6</v>
      </c>
      <c r="B26" s="84" t="str">
        <f>Source!G36</f>
        <v>Конструкции для установки приборов и средств автоматизации массой до 1 кг</v>
      </c>
      <c r="C26" s="85" t="str">
        <f>Source!H36</f>
        <v>1  ШТ.</v>
      </c>
      <c r="D26" s="86">
        <f>Source!I36</f>
        <v>7</v>
      </c>
      <c r="E26" s="83"/>
    </row>
    <row r="27" spans="1:5" ht="28.5" x14ac:dyDescent="0.2">
      <c r="A27" s="83" t="str">
        <f>Source!E38</f>
        <v>7</v>
      </c>
      <c r="B27" s="84" t="str">
        <f>Source!G38</f>
        <v>Трубы гофрированные поливинилхлоридные наружным диаметром 25 мм открыто по стенам и потолкам с установкой соединительных коробок</v>
      </c>
      <c r="C27" s="85" t="str">
        <f>Source!H38</f>
        <v>100 м</v>
      </c>
      <c r="D27" s="86">
        <f>Source!I38</f>
        <v>1</v>
      </c>
      <c r="E27" s="83"/>
    </row>
    <row r="28" spans="1:5" ht="28.5" x14ac:dyDescent="0.2">
      <c r="A28" s="83" t="str">
        <f>Source!E40</f>
        <v>7,1</v>
      </c>
      <c r="B28" s="84" t="str">
        <f>Source!G40</f>
        <v>Трубы электротехнические гофрированные, поливинилхлоридные, негорючие, с зондом, наружный диаметр 25 мм</v>
      </c>
      <c r="C28" s="85" t="str">
        <f>Source!H40</f>
        <v>м</v>
      </c>
      <c r="D28" s="86">
        <f>Source!I40</f>
        <v>102</v>
      </c>
      <c r="E28" s="83"/>
    </row>
    <row r="29" spans="1:5" ht="14.25" x14ac:dyDescent="0.2">
      <c r="A29" s="83" t="str">
        <f>Source!E42</f>
        <v>7,2</v>
      </c>
      <c r="B29" s="84" t="str">
        <f>Source!G42</f>
        <v>Коробки ответвительные, тип КРП-1 УХЛ4, размеры 52х109х109 мм</v>
      </c>
      <c r="C29" s="85" t="str">
        <f>Source!H42</f>
        <v>шт.</v>
      </c>
      <c r="D29" s="86">
        <f>Source!I42</f>
        <v>5</v>
      </c>
      <c r="E29" s="83"/>
    </row>
    <row r="30" spans="1:5" ht="28.5" x14ac:dyDescent="0.2">
      <c r="A30" s="83" t="str">
        <f>Source!E44</f>
        <v>7,3</v>
      </c>
      <c r="B30" s="84" t="str">
        <f>Source!G44</f>
        <v>Держатели пластиковые с защелкой для крепления труб, рукавов и гибких вводов диаметром 25 мм</v>
      </c>
      <c r="C30" s="85" t="str">
        <f>Source!H44</f>
        <v>100 шт.</v>
      </c>
      <c r="D30" s="86">
        <f>Source!I44</f>
        <v>0.91</v>
      </c>
      <c r="E30" s="83"/>
    </row>
    <row r="31" spans="1:5" ht="14.25" x14ac:dyDescent="0.2">
      <c r="A31" s="83" t="str">
        <f>Source!E46</f>
        <v>8</v>
      </c>
      <c r="B31" s="84" t="str">
        <f>Source!G46</f>
        <v>Прокладка пластикового кабель-канала по бетонному основанию</v>
      </c>
      <c r="C31" s="85" t="str">
        <f>Source!H46</f>
        <v>100 м</v>
      </c>
      <c r="D31" s="86">
        <f>Source!I46</f>
        <v>0.5</v>
      </c>
      <c r="E31" s="83"/>
    </row>
    <row r="32" spans="1:5" ht="14.25" x14ac:dyDescent="0.2">
      <c r="A32" s="83" t="str">
        <f>Source!E48</f>
        <v>8,1</v>
      </c>
      <c r="B32" s="84" t="str">
        <f>Source!G48</f>
        <v>Кабель-каналы, размер 20х12,5 мм, кабель-каналы</v>
      </c>
      <c r="C32" s="85" t="str">
        <f>Source!H48</f>
        <v>м</v>
      </c>
      <c r="D32" s="86">
        <f>Source!I48</f>
        <v>50</v>
      </c>
      <c r="E32" s="83"/>
    </row>
    <row r="33" spans="1:5" ht="14.25" x14ac:dyDescent="0.2">
      <c r="A33" s="83" t="str">
        <f>Source!E50</f>
        <v>8,2</v>
      </c>
      <c r="B33" s="84" t="str">
        <f>Source!G50</f>
        <v>Кабель-каналы, размер 20х12,5 мм, углы наружные</v>
      </c>
      <c r="C33" s="85" t="str">
        <f>Source!H50</f>
        <v>1000 шт.</v>
      </c>
      <c r="D33" s="86">
        <f>Source!I50</f>
        <v>0.01</v>
      </c>
      <c r="E33" s="83"/>
    </row>
    <row r="34" spans="1:5" ht="14.25" x14ac:dyDescent="0.2">
      <c r="A34" s="83" t="str">
        <f>Source!E52</f>
        <v>8,3</v>
      </c>
      <c r="B34" s="84" t="str">
        <f>Source!G52</f>
        <v>Кабель-каналы, размер 20х12,5 мм, заглушки</v>
      </c>
      <c r="C34" s="85" t="str">
        <f>Source!H52</f>
        <v>1000 шт.</v>
      </c>
      <c r="D34" s="86">
        <f>Source!I52</f>
        <v>3.0000000000000001E-3</v>
      </c>
      <c r="E34" s="83"/>
    </row>
    <row r="35" spans="1:5" ht="14.25" x14ac:dyDescent="0.2">
      <c r="A35" s="83" t="str">
        <f>Source!E54</f>
        <v>8,4</v>
      </c>
      <c r="B35" s="84" t="str">
        <f>Source!G54</f>
        <v>Кабель-каналы, размер 20х12,5 мм, углы внутренние</v>
      </c>
      <c r="C35" s="85" t="str">
        <f>Source!H54</f>
        <v>1000 шт.</v>
      </c>
      <c r="D35" s="86">
        <f>Source!I54</f>
        <v>7.0000000000000001E-3</v>
      </c>
      <c r="E35" s="83"/>
    </row>
    <row r="36" spans="1:5" ht="42.75" x14ac:dyDescent="0.2">
      <c r="A36" s="83" t="str">
        <f>Source!E60</f>
        <v>11</v>
      </c>
      <c r="B36" s="84" t="str">
        <f>Source!G60</f>
        <v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6 мм2</v>
      </c>
      <c r="C36" s="85" t="str">
        <f>Source!H60</f>
        <v>100 м</v>
      </c>
      <c r="D36" s="86">
        <f>Source!I60</f>
        <v>1</v>
      </c>
      <c r="E36" s="83"/>
    </row>
    <row r="37" spans="1:5" ht="14.25" x14ac:dyDescent="0.2">
      <c r="A37" s="83" t="str">
        <f>Source!E62</f>
        <v>12</v>
      </c>
      <c r="B37" s="84" t="str">
        <f>Source!G62</f>
        <v>Провода и кабели в коробах, провод, сечением до 6 мм2</v>
      </c>
      <c r="C37" s="85" t="str">
        <f>Source!H62</f>
        <v>100 м</v>
      </c>
      <c r="D37" s="86">
        <f>Source!I62</f>
        <v>0.5</v>
      </c>
      <c r="E37" s="83"/>
    </row>
    <row r="38" spans="1:5" ht="28.5" x14ac:dyDescent="0.2">
      <c r="A38" s="83" t="str">
        <f>Source!E64</f>
        <v>13</v>
      </c>
      <c r="B38" s="84" t="str">
        <f>Source!G64</f>
        <v>Провода и кабели по перфорированным профилям, провод сечением до 6 мм2</v>
      </c>
      <c r="C38" s="85" t="str">
        <f>Source!H64</f>
        <v>100 м</v>
      </c>
      <c r="D38" s="86">
        <f>Source!I64</f>
        <v>10</v>
      </c>
      <c r="E38" s="83"/>
    </row>
    <row r="39" spans="1:5" ht="14.25" x14ac:dyDescent="0.2">
      <c r="A39" s="83" t="str">
        <f>Source!E66</f>
        <v>14</v>
      </c>
      <c r="B39" s="84" t="str">
        <f>Source!G66</f>
        <v>Кабель КВПЭфнг(С)-LSLTx-5e 4х2х0,52</v>
      </c>
      <c r="C39" s="85" t="str">
        <f>Source!H66</f>
        <v>ПМ</v>
      </c>
      <c r="D39" s="86">
        <f>Source!I66</f>
        <v>510</v>
      </c>
      <c r="E39" s="83"/>
    </row>
    <row r="40" spans="1:5" ht="14.25" x14ac:dyDescent="0.2">
      <c r="A40" s="83" t="str">
        <f>Source!E68</f>
        <v>15</v>
      </c>
      <c r="B40" s="84" t="str">
        <f>Source!G68</f>
        <v>Кабель ВВГЭ нг(А)-LSLTх 3х1,5</v>
      </c>
      <c r="C40" s="85" t="str">
        <f>Source!H68</f>
        <v>ПМ</v>
      </c>
      <c r="D40" s="86">
        <f>Source!I68</f>
        <v>510</v>
      </c>
      <c r="E40" s="83"/>
    </row>
    <row r="41" spans="1:5" ht="42.75" x14ac:dyDescent="0.2">
      <c r="A41" s="83" t="str">
        <f>Source!E70</f>
        <v>16</v>
      </c>
      <c r="B41" s="84" t="str">
        <f>Source!G70</f>
        <v>Кабели для адресных систем пожарной сигнализации с однопроволочными медными жилами, с изоляцией и оболочкой из ПВХ пластиката, марка КПСВВ, число пар и сечение 1х2х0,75 мм2</v>
      </c>
      <c r="C41" s="85" t="str">
        <f>Source!H70</f>
        <v>км</v>
      </c>
      <c r="D41" s="86">
        <f>Source!I70</f>
        <v>0.11</v>
      </c>
      <c r="E41" s="83"/>
    </row>
    <row r="42" spans="1:5" ht="14.25" x14ac:dyDescent="0.2">
      <c r="A42" s="83" t="str">
        <f>Source!E72</f>
        <v>17</v>
      </c>
      <c r="B42" s="84" t="str">
        <f>Source!G72</f>
        <v>Аккумуляторы кислотные стационарные, аккумулятор С-1, СК-1</v>
      </c>
      <c r="C42" s="85" t="str">
        <f>Source!H72</f>
        <v>1  ШТ.</v>
      </c>
      <c r="D42" s="86">
        <f>Source!I72</f>
        <v>1</v>
      </c>
      <c r="E42" s="83"/>
    </row>
    <row r="43" spans="1:5" ht="14.25" x14ac:dyDescent="0.2">
      <c r="A43" s="83" t="str">
        <f>Source!E74</f>
        <v>18</v>
      </c>
      <c r="B43" s="84" t="str">
        <f>Source!G74</f>
        <v>Устройство связи с согласующим устройством (вызывная панель)</v>
      </c>
      <c r="C43" s="85" t="str">
        <f>Source!H74</f>
        <v>10 шт.</v>
      </c>
      <c r="D43" s="86">
        <f>Source!I74</f>
        <v>0.4</v>
      </c>
      <c r="E43" s="83"/>
    </row>
    <row r="44" spans="1:5" ht="14.25" x14ac:dyDescent="0.2">
      <c r="A44" s="83" t="str">
        <f>Source!E76</f>
        <v>19</v>
      </c>
      <c r="B44" s="84" t="str">
        <f>Source!G76</f>
        <v>Аппаратура цветного телевидения, устройство видеоконтрольное</v>
      </c>
      <c r="C44" s="85" t="str">
        <f>Source!H76</f>
        <v>1  ШТ.</v>
      </c>
      <c r="D44" s="86">
        <f>Source!I76</f>
        <v>1</v>
      </c>
      <c r="E44" s="83"/>
    </row>
    <row r="45" spans="1:5" ht="14.25" x14ac:dyDescent="0.2">
      <c r="A45" s="83" t="str">
        <f>Source!E78</f>
        <v>20</v>
      </c>
      <c r="B45" s="84" t="str">
        <f>Source!G78</f>
        <v>Комплексная наладка системы контроля и управления доступом (СКУД)</v>
      </c>
      <c r="C45" s="85" t="str">
        <f>Source!H78</f>
        <v>1 считыватель</v>
      </c>
      <c r="D45" s="86">
        <f>Source!I78</f>
        <v>5</v>
      </c>
      <c r="E45" s="83"/>
    </row>
    <row r="46" spans="1:5" ht="16.5" x14ac:dyDescent="0.25">
      <c r="A46" s="78" t="str">
        <f>CONCATENATE("Раздел: ", Source!G81)</f>
        <v>Раздел: Оборудование</v>
      </c>
      <c r="B46" s="78"/>
      <c r="C46" s="78"/>
      <c r="D46" s="78"/>
      <c r="E46" s="78"/>
    </row>
    <row r="47" spans="1:5" ht="57" x14ac:dyDescent="0.2">
      <c r="A47" s="83" t="str">
        <f>Source!E85</f>
        <v>21</v>
      </c>
      <c r="B47" s="84" t="str">
        <f>Source!G85</f>
        <v>Контроллер доступа С2000-2: Разнообразные режимы работы, режим запрета повторного прохода (Antipassback); встроенный звуковой сигнализатор; управление и передача сообщений по интерфейсу RS-485 в ИСО «Орион»</v>
      </c>
      <c r="C47" s="85" t="str">
        <f>Source!H85</f>
        <v>компл.</v>
      </c>
      <c r="D47" s="86">
        <f>Source!I85</f>
        <v>4</v>
      </c>
      <c r="E47" s="83"/>
    </row>
    <row r="48" spans="1:5" ht="14.25" x14ac:dyDescent="0.2">
      <c r="A48" s="83" t="str">
        <f>Source!E87</f>
        <v>22</v>
      </c>
      <c r="B48" s="84" t="str">
        <f>Source!G87</f>
        <v>Источник питания резервированный РИП-12, напряжение 12 В: Ток 3 А</v>
      </c>
      <c r="C48" s="85" t="str">
        <f>Source!H87</f>
        <v>шт.</v>
      </c>
      <c r="D48" s="86">
        <f>Source!I87</f>
        <v>3</v>
      </c>
      <c r="E48" s="83"/>
    </row>
    <row r="49" spans="1:5" ht="114" x14ac:dyDescent="0.2">
      <c r="A49" s="83" t="str">
        <f>Source!E89</f>
        <v>23</v>
      </c>
      <c r="B49" s="84" t="str">
        <f>Source!G89</f>
        <v>Комплект монтажный (электромагнитный замок, доводчик двери, кнопка выхода): Состав: замок электромагнитный, со звуковой сигнализацией открытия и встроенным контроллером, номинальное напряжение питания  постоянное 12 В, потребляемая мощность не более 10 Вт, усилие удержания не менее 500 кг для тяжелых дверей и не менее 150 кг для легких дверей, масса замка не более 6 кг для тяжелых дверей и не более 1,5 кг для легких дверей; доводчик двери; габаритные размеры 293х60х47,5 мм; кнопка выхода НО 91х28 мм</v>
      </c>
      <c r="C49" s="85" t="str">
        <f>Source!H89</f>
        <v>компл.</v>
      </c>
      <c r="D49" s="86">
        <f>Source!I89</f>
        <v>7</v>
      </c>
      <c r="E49" s="83"/>
    </row>
    <row r="50" spans="1:5" ht="14.25" x14ac:dyDescent="0.2">
      <c r="A50" s="83" t="str">
        <f>Source!E91</f>
        <v>24</v>
      </c>
      <c r="B50" s="84" t="str">
        <f>Source!G91</f>
        <v>Батарея аккумуляторная, емкость 7 А•ч: Напряжение 12 В</v>
      </c>
      <c r="C50" s="85" t="str">
        <f>Source!H91</f>
        <v>шт.</v>
      </c>
      <c r="D50" s="86">
        <f>Source!I91</f>
        <v>1</v>
      </c>
      <c r="E50" s="83"/>
    </row>
    <row r="51" spans="1:5" ht="14.25" x14ac:dyDescent="0.2">
      <c r="A51" s="83" t="str">
        <f>Source!E93</f>
        <v>25</v>
      </c>
      <c r="B51" s="84" t="str">
        <f>Source!G93</f>
        <v>Считыватель Proxy-5MSG</v>
      </c>
      <c r="C51" s="85" t="str">
        <f>Source!H93</f>
        <v>шт.</v>
      </c>
      <c r="D51" s="86">
        <f>Source!I93</f>
        <v>5</v>
      </c>
      <c r="E51" s="83"/>
    </row>
    <row r="52" spans="1:5" ht="14.25" x14ac:dyDescent="0.2">
      <c r="A52" s="83" t="str">
        <f>Source!E95</f>
        <v>26</v>
      </c>
      <c r="B52" s="84" t="str">
        <f>Source!G95</f>
        <v>Вызывная панель DRC-4CHC PAL</v>
      </c>
      <c r="C52" s="85" t="str">
        <f>Source!H95</f>
        <v>шт.</v>
      </c>
      <c r="D52" s="86">
        <f>Source!I95</f>
        <v>4</v>
      </c>
      <c r="E52" s="83"/>
    </row>
    <row r="53" spans="1:5" ht="14.25" x14ac:dyDescent="0.2">
      <c r="A53" s="79" t="str">
        <f>Source!E97</f>
        <v>27</v>
      </c>
      <c r="B53" s="80" t="str">
        <f>Source!G97</f>
        <v>Видеодомофон CDV-1020AQ</v>
      </c>
      <c r="C53" s="81" t="str">
        <f>Source!H97</f>
        <v>шт.</v>
      </c>
      <c r="D53" s="82">
        <f>Source!I97</f>
        <v>1</v>
      </c>
      <c r="E53" s="79"/>
    </row>
    <row r="56" spans="1:5" ht="15" x14ac:dyDescent="0.25">
      <c r="A56" s="33" t="s">
        <v>347</v>
      </c>
      <c r="B56" s="33"/>
      <c r="C56" s="33" t="s">
        <v>348</v>
      </c>
      <c r="D56" s="33"/>
      <c r="E56" s="33"/>
    </row>
  </sheetData>
  <mergeCells count="6">
    <mergeCell ref="C5:D5"/>
    <mergeCell ref="C7:D7"/>
    <mergeCell ref="A11:D11"/>
    <mergeCell ref="A12:D12"/>
    <mergeCell ref="A19:E19"/>
    <mergeCell ref="A46:E46"/>
  </mergeCells>
  <pageMargins left="0.4" right="0.2" top="0.2" bottom="0.4" header="0.2" footer="0.2"/>
  <pageSetup paperSize="9" scale="77" fitToHeight="0" orientation="portrait" horizontalDpi="4294967295" verticalDpi="4294967295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workbookViewId="0"/>
  </sheetViews>
  <sheetFormatPr defaultRowHeight="12.75" x14ac:dyDescent="0.2"/>
  <sheetData>
    <row r="1" spans="1:23" x14ac:dyDescent="0.2">
      <c r="A1" t="s">
        <v>372</v>
      </c>
      <c r="B1" t="s">
        <v>373</v>
      </c>
      <c r="C1" t="s">
        <v>374</v>
      </c>
      <c r="D1" t="s">
        <v>375</v>
      </c>
      <c r="E1" t="s">
        <v>376</v>
      </c>
      <c r="F1" t="s">
        <v>377</v>
      </c>
      <c r="G1" t="s">
        <v>378</v>
      </c>
      <c r="H1" t="s">
        <v>379</v>
      </c>
      <c r="I1" t="s">
        <v>380</v>
      </c>
      <c r="J1" t="s">
        <v>381</v>
      </c>
    </row>
    <row r="2" spans="1:23" x14ac:dyDescent="0.2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0</v>
      </c>
    </row>
    <row r="4" spans="1:23" x14ac:dyDescent="0.2">
      <c r="A4" t="s">
        <v>349</v>
      </c>
      <c r="B4" t="s">
        <v>350</v>
      </c>
      <c r="C4" t="s">
        <v>351</v>
      </c>
      <c r="D4" t="s">
        <v>352</v>
      </c>
      <c r="E4" t="s">
        <v>353</v>
      </c>
      <c r="F4" t="s">
        <v>354</v>
      </c>
      <c r="G4" t="s">
        <v>355</v>
      </c>
      <c r="H4" t="s">
        <v>356</v>
      </c>
      <c r="I4" t="s">
        <v>357</v>
      </c>
      <c r="J4" t="s">
        <v>358</v>
      </c>
      <c r="K4" t="s">
        <v>359</v>
      </c>
      <c r="L4" t="s">
        <v>360</v>
      </c>
      <c r="M4" t="s">
        <v>361</v>
      </c>
      <c r="N4" t="s">
        <v>362</v>
      </c>
      <c r="O4" t="s">
        <v>363</v>
      </c>
      <c r="P4" t="s">
        <v>364</v>
      </c>
      <c r="Q4" t="s">
        <v>365</v>
      </c>
      <c r="R4" t="s">
        <v>366</v>
      </c>
      <c r="S4" t="s">
        <v>367</v>
      </c>
      <c r="T4" t="s">
        <v>368</v>
      </c>
      <c r="U4" t="s">
        <v>369</v>
      </c>
      <c r="V4" t="s">
        <v>370</v>
      </c>
      <c r="W4" t="s">
        <v>371</v>
      </c>
    </row>
    <row r="6" spans="1:23" x14ac:dyDescent="0.2">
      <c r="A6">
        <f>Source!A20</f>
        <v>3</v>
      </c>
      <c r="B6">
        <v>20</v>
      </c>
      <c r="G6" t="str">
        <f>Source!G20</f>
        <v>Система контроля доступа</v>
      </c>
    </row>
    <row r="7" spans="1:23" x14ac:dyDescent="0.2">
      <c r="A7">
        <f>Source!A25</f>
        <v>17</v>
      </c>
      <c r="C7">
        <v>1</v>
      </c>
      <c r="D7">
        <v>0</v>
      </c>
      <c r="E7">
        <f>SmtRes!AV2</f>
        <v>1</v>
      </c>
      <c r="F7" t="str">
        <f>SmtRes!I2</f>
        <v>9999990008</v>
      </c>
      <c r="G7" t="str">
        <f>SmtRes!K2</f>
        <v>Трудозатраты рабочих</v>
      </c>
      <c r="H7" t="str">
        <f>SmtRes!O2</f>
        <v>чел.-ч.</v>
      </c>
      <c r="I7">
        <f>SmtRes!Y2*Source!I25</f>
        <v>11.984000000000002</v>
      </c>
      <c r="J7">
        <f>SmtRes!AO2</f>
        <v>1</v>
      </c>
      <c r="K7">
        <f>SmtRes!AH2</f>
        <v>0</v>
      </c>
      <c r="L7">
        <f>SmtRes!DB2</f>
        <v>0</v>
      </c>
      <c r="M7">
        <f>ROUND(ROUND(L7*Source!I25, 6)*1, 2)</f>
        <v>0</v>
      </c>
      <c r="N7">
        <f>SmtRes!AD2</f>
        <v>0</v>
      </c>
      <c r="O7">
        <f>ROUND(ROUND(L7*Source!I25, 6)*SmtRes!DA2, 2)</f>
        <v>0</v>
      </c>
      <c r="P7">
        <f>SmtRes!AG2</f>
        <v>0</v>
      </c>
      <c r="Q7">
        <f>SmtRes!DC2</f>
        <v>0</v>
      </c>
      <c r="R7">
        <f>ROUND(ROUND(Q7*Source!I25, 6)*1, 2)</f>
        <v>0</v>
      </c>
      <c r="S7">
        <f>SmtRes!AC2</f>
        <v>0</v>
      </c>
      <c r="T7">
        <f>ROUND(ROUND(Q7*Source!I25, 6)*SmtRes!AK2, 2)</f>
        <v>0</v>
      </c>
      <c r="U7">
        <f>SmtRes!X2</f>
        <v>476480486</v>
      </c>
      <c r="V7">
        <v>1286141856</v>
      </c>
      <c r="W7">
        <v>1286141856</v>
      </c>
    </row>
    <row r="8" spans="1:23" x14ac:dyDescent="0.2">
      <c r="A8">
        <f>Source!A27</f>
        <v>17</v>
      </c>
      <c r="C8">
        <v>1</v>
      </c>
      <c r="D8">
        <v>0</v>
      </c>
      <c r="E8">
        <f>SmtRes!AV4</f>
        <v>1</v>
      </c>
      <c r="F8" t="str">
        <f>SmtRes!I4</f>
        <v>9999990008</v>
      </c>
      <c r="G8" t="str">
        <f>SmtRes!K4</f>
        <v>Трудозатраты рабочих</v>
      </c>
      <c r="H8" t="str">
        <f>SmtRes!O4</f>
        <v>чел.-ч.</v>
      </c>
      <c r="I8">
        <f>SmtRes!Y4*Source!I27</f>
        <v>9.5400000000000009</v>
      </c>
      <c r="J8">
        <f>SmtRes!AO4</f>
        <v>1</v>
      </c>
      <c r="K8">
        <f>SmtRes!AH4</f>
        <v>0</v>
      </c>
      <c r="L8">
        <f>SmtRes!DB4</f>
        <v>0</v>
      </c>
      <c r="M8">
        <f>ROUND(ROUND(L8*Source!I27, 6)*1, 2)</f>
        <v>0</v>
      </c>
      <c r="N8">
        <f>SmtRes!AD4</f>
        <v>0</v>
      </c>
      <c r="O8">
        <f>ROUND(ROUND(L8*Source!I27, 6)*SmtRes!DA4, 2)</f>
        <v>0</v>
      </c>
      <c r="P8">
        <f>SmtRes!AG4</f>
        <v>0</v>
      </c>
      <c r="Q8">
        <f>SmtRes!DC4</f>
        <v>0</v>
      </c>
      <c r="R8">
        <f>ROUND(ROUND(Q8*Source!I27, 6)*1, 2)</f>
        <v>0</v>
      </c>
      <c r="S8">
        <f>SmtRes!AC4</f>
        <v>0</v>
      </c>
      <c r="T8">
        <f>ROUND(ROUND(Q8*Source!I27, 6)*SmtRes!AK4, 2)</f>
        <v>0</v>
      </c>
      <c r="U8">
        <f>SmtRes!X4</f>
        <v>476480486</v>
      </c>
      <c r="V8">
        <v>1286141856</v>
      </c>
      <c r="W8">
        <v>1286141856</v>
      </c>
    </row>
    <row r="9" spans="1:23" x14ac:dyDescent="0.2">
      <c r="A9">
        <f>Source!A29</f>
        <v>17</v>
      </c>
      <c r="C9">
        <v>1</v>
      </c>
      <c r="D9">
        <v>0</v>
      </c>
      <c r="E9">
        <f>SmtRes!AV6</f>
        <v>1</v>
      </c>
      <c r="F9" t="str">
        <f>SmtRes!I6</f>
        <v>9999990008</v>
      </c>
      <c r="G9" t="str">
        <f>SmtRes!K6</f>
        <v>Трудозатраты рабочих</v>
      </c>
      <c r="H9" t="str">
        <f>SmtRes!O6</f>
        <v>чел.-ч.</v>
      </c>
      <c r="I9">
        <f>SmtRes!Y6*Source!I29</f>
        <v>23.4</v>
      </c>
      <c r="J9">
        <f>SmtRes!AO6</f>
        <v>1</v>
      </c>
      <c r="K9">
        <f>SmtRes!AH6</f>
        <v>0</v>
      </c>
      <c r="L9">
        <f>SmtRes!DB6</f>
        <v>0</v>
      </c>
      <c r="M9">
        <f>ROUND(ROUND(L9*Source!I29, 6)*1, 2)</f>
        <v>0</v>
      </c>
      <c r="N9">
        <f>SmtRes!AD6</f>
        <v>0</v>
      </c>
      <c r="O9">
        <f>ROUND(ROUND(L9*Source!I29, 6)*SmtRes!DA6, 2)</f>
        <v>0</v>
      </c>
      <c r="P9">
        <f>SmtRes!AG6</f>
        <v>0</v>
      </c>
      <c r="Q9">
        <f>SmtRes!DC6</f>
        <v>0</v>
      </c>
      <c r="R9">
        <f>ROUND(ROUND(Q9*Source!I29, 6)*1, 2)</f>
        <v>0</v>
      </c>
      <c r="S9">
        <f>SmtRes!AC6</f>
        <v>0</v>
      </c>
      <c r="T9">
        <f>ROUND(ROUND(Q9*Source!I29, 6)*SmtRes!AK6, 2)</f>
        <v>0</v>
      </c>
      <c r="U9">
        <f>SmtRes!X6</f>
        <v>476480486</v>
      </c>
      <c r="V9">
        <v>1286141856</v>
      </c>
      <c r="W9">
        <v>1286141856</v>
      </c>
    </row>
    <row r="10" spans="1:23" x14ac:dyDescent="0.2">
      <c r="A10">
        <f>Source!A31</f>
        <v>17</v>
      </c>
      <c r="C10">
        <v>3</v>
      </c>
      <c r="D10">
        <v>0</v>
      </c>
      <c r="E10">
        <f>SmtRes!AV18</f>
        <v>0</v>
      </c>
      <c r="F10" t="str">
        <f>SmtRes!I18</f>
        <v>1.1-1-2627</v>
      </c>
      <c r="G10" t="str">
        <f>SmtRes!K18</f>
        <v>Винты самонарезающие 5х40 мм для металла</v>
      </c>
      <c r="H10" t="str">
        <f>SmtRes!O18</f>
        <v>кг</v>
      </c>
      <c r="I10">
        <f>SmtRes!Y18*Source!I31</f>
        <v>0.14000000000000001</v>
      </c>
      <c r="J10">
        <f>SmtRes!AO18</f>
        <v>1</v>
      </c>
      <c r="K10">
        <f>SmtRes!AE18</f>
        <v>20.63</v>
      </c>
      <c r="L10">
        <f>SmtRes!DB18</f>
        <v>0.41</v>
      </c>
      <c r="M10">
        <f>ROUND(ROUND(L10*Source!I31, 6)*1, 2)</f>
        <v>2.87</v>
      </c>
      <c r="N10">
        <f>SmtRes!AA18</f>
        <v>91.8</v>
      </c>
      <c r="O10">
        <f>ROUND(ROUND(L10*Source!I31, 6)*SmtRes!DA18, 2)</f>
        <v>12.77</v>
      </c>
      <c r="P10">
        <f>SmtRes!AG18</f>
        <v>0</v>
      </c>
      <c r="Q10">
        <f>SmtRes!DC18</f>
        <v>0</v>
      </c>
      <c r="R10">
        <f>ROUND(ROUND(Q10*Source!I31, 6)*1, 2)</f>
        <v>0</v>
      </c>
      <c r="S10">
        <f>SmtRes!AC18</f>
        <v>0</v>
      </c>
      <c r="T10">
        <f>ROUND(ROUND(Q10*Source!I31, 6)*SmtRes!AK18, 2)</f>
        <v>0</v>
      </c>
      <c r="U10">
        <f>SmtRes!X18</f>
        <v>-1260154368</v>
      </c>
      <c r="V10">
        <v>458667026</v>
      </c>
      <c r="W10">
        <v>1761663345</v>
      </c>
    </row>
    <row r="11" spans="1:23" x14ac:dyDescent="0.2">
      <c r="A11">
        <f>Source!A31</f>
        <v>17</v>
      </c>
      <c r="C11">
        <v>2</v>
      </c>
      <c r="D11">
        <v>0</v>
      </c>
      <c r="E11">
        <f>SmtRes!AV17</f>
        <v>0</v>
      </c>
      <c r="F11" t="str">
        <f>SmtRes!I17</f>
        <v>2.1-30-6</v>
      </c>
      <c r="G11" t="str">
        <f>SmtRes!K17</f>
        <v>Дрели электрические</v>
      </c>
      <c r="H11" t="str">
        <f>SmtRes!O17</f>
        <v>маш.-ч.</v>
      </c>
      <c r="I11">
        <f>SmtRes!Y17*Source!I31</f>
        <v>0.96250000000000013</v>
      </c>
      <c r="J11">
        <f>SmtRes!AO17</f>
        <v>1</v>
      </c>
      <c r="K11">
        <f>SmtRes!AF17</f>
        <v>2.36</v>
      </c>
      <c r="L11">
        <f>SmtRes!DB17</f>
        <v>0.32500000000000001</v>
      </c>
      <c r="M11">
        <f>ROUND(ROUND(L11*Source!I31, 6)*1, 2)</f>
        <v>2.2799999999999998</v>
      </c>
      <c r="N11">
        <f>SmtRes!AB17</f>
        <v>28.23</v>
      </c>
      <c r="O11">
        <f>ROUND(ROUND(L11*Source!I31, 6)*SmtRes!DA17, 2)</f>
        <v>27.21</v>
      </c>
      <c r="P11">
        <f>SmtRes!AG17</f>
        <v>0.1</v>
      </c>
      <c r="Q11">
        <f>SmtRes!DC17</f>
        <v>1.2500000000000001E-2</v>
      </c>
      <c r="R11">
        <f>ROUND(ROUND(Q11*Source!I31, 6)*1, 2)</f>
        <v>0.09</v>
      </c>
      <c r="S11">
        <f>SmtRes!AC17</f>
        <v>2.17</v>
      </c>
      <c r="T11">
        <f>ROUND(ROUND(Q11*Source!I31, 6)*SmtRes!AK17, 2)</f>
        <v>1.9</v>
      </c>
      <c r="U11">
        <f>SmtRes!X17</f>
        <v>950854334</v>
      </c>
      <c r="V11">
        <v>1680068806</v>
      </c>
      <c r="W11">
        <v>-1277416625</v>
      </c>
    </row>
    <row r="12" spans="1:23" x14ac:dyDescent="0.2">
      <c r="A12">
        <f>Source!A31</f>
        <v>17</v>
      </c>
      <c r="C12">
        <v>2</v>
      </c>
      <c r="D12">
        <v>0</v>
      </c>
      <c r="E12">
        <f>SmtRes!AV16</f>
        <v>0</v>
      </c>
      <c r="F12" t="str">
        <f>SmtRes!I16</f>
        <v>2.1-30-56</v>
      </c>
      <c r="G12" t="str">
        <f>SmtRes!K16</f>
        <v>Шуруповерты</v>
      </c>
      <c r="H12" t="str">
        <f>SmtRes!O16</f>
        <v>маш.-ч.</v>
      </c>
      <c r="I12">
        <f>SmtRes!Y16*Source!I31</f>
        <v>1.3125</v>
      </c>
      <c r="J12">
        <f>SmtRes!AO16</f>
        <v>1</v>
      </c>
      <c r="K12">
        <f>SmtRes!AF16</f>
        <v>0.64</v>
      </c>
      <c r="L12">
        <f>SmtRes!DB16</f>
        <v>0.125</v>
      </c>
      <c r="M12">
        <f>ROUND(ROUND(L12*Source!I31, 6)*1, 2)</f>
        <v>0.88</v>
      </c>
      <c r="N12">
        <f>SmtRes!AB16</f>
        <v>5.35</v>
      </c>
      <c r="O12">
        <f>ROUND(ROUND(L12*Source!I31, 6)*SmtRes!DA16, 2)</f>
        <v>7.32</v>
      </c>
      <c r="P12">
        <f>SmtRes!AG16</f>
        <v>0.04</v>
      </c>
      <c r="Q12">
        <f>SmtRes!DC16</f>
        <v>1.2500000000000001E-2</v>
      </c>
      <c r="R12">
        <f>ROUND(ROUND(Q12*Source!I31, 6)*1, 2)</f>
        <v>0.09</v>
      </c>
      <c r="S12">
        <f>SmtRes!AC16</f>
        <v>0.87</v>
      </c>
      <c r="T12">
        <f>ROUND(ROUND(Q12*Source!I31, 6)*SmtRes!AK16, 2)</f>
        <v>1.9</v>
      </c>
      <c r="U12">
        <f>SmtRes!X16</f>
        <v>926785503</v>
      </c>
      <c r="V12">
        <v>1087820908</v>
      </c>
      <c r="W12">
        <v>2105073805</v>
      </c>
    </row>
    <row r="13" spans="1:23" x14ac:dyDescent="0.2">
      <c r="A13">
        <f>Source!A31</f>
        <v>17</v>
      </c>
      <c r="C13">
        <v>2</v>
      </c>
      <c r="D13">
        <v>0</v>
      </c>
      <c r="E13">
        <f>SmtRes!AV15</f>
        <v>0</v>
      </c>
      <c r="F13" t="str">
        <f>SmtRes!I15</f>
        <v>2.1-30-19</v>
      </c>
      <c r="G13" t="str">
        <f>SmtRes!K15</f>
        <v>Машины шлифовальные электрические</v>
      </c>
      <c r="H13" t="str">
        <f>SmtRes!O15</f>
        <v>маш.-ч.</v>
      </c>
      <c r="I13">
        <f>SmtRes!Y15*Source!I31</f>
        <v>0.17500000000000002</v>
      </c>
      <c r="J13">
        <f>SmtRes!AO15</f>
        <v>1</v>
      </c>
      <c r="K13">
        <f>SmtRes!AF15</f>
        <v>0.68</v>
      </c>
      <c r="L13">
        <f>SmtRes!DB15</f>
        <v>1.2500000000000001E-2</v>
      </c>
      <c r="M13">
        <f>ROUND(ROUND(L13*Source!I31, 6)*1, 2)</f>
        <v>0.09</v>
      </c>
      <c r="N13">
        <f>SmtRes!AB15</f>
        <v>5.22</v>
      </c>
      <c r="O13">
        <f>ROUND(ROUND(L13*Source!I31, 6)*SmtRes!DA15, 2)</f>
        <v>0.67</v>
      </c>
      <c r="P13">
        <f>SmtRes!AG15</f>
        <v>0.04</v>
      </c>
      <c r="Q13">
        <f>SmtRes!DC15</f>
        <v>0</v>
      </c>
      <c r="R13">
        <f>ROUND(ROUND(Q13*Source!I31, 6)*1, 2)</f>
        <v>0</v>
      </c>
      <c r="S13">
        <f>SmtRes!AC15</f>
        <v>0.87</v>
      </c>
      <c r="T13">
        <f>ROUND(ROUND(Q13*Source!I31, 6)*SmtRes!AK15, 2)</f>
        <v>0</v>
      </c>
      <c r="U13">
        <f>SmtRes!X15</f>
        <v>-875577540</v>
      </c>
      <c r="V13">
        <v>334347769</v>
      </c>
      <c r="W13">
        <v>-1601543727</v>
      </c>
    </row>
    <row r="14" spans="1:23" x14ac:dyDescent="0.2">
      <c r="A14">
        <f>Source!A31</f>
        <v>17</v>
      </c>
      <c r="C14">
        <v>2</v>
      </c>
      <c r="D14">
        <v>0</v>
      </c>
      <c r="E14">
        <f>SmtRes!AV14</f>
        <v>0</v>
      </c>
      <c r="F14" t="str">
        <f>SmtRes!I14</f>
        <v>2.1-13-14</v>
      </c>
      <c r="G14" t="str">
        <f>SmtRes!K14</f>
        <v>Установки для сварки ручной дуговой (постоянного тока)</v>
      </c>
      <c r="H14" t="str">
        <f>SmtRes!O14</f>
        <v>маш.-ч.</v>
      </c>
      <c r="I14">
        <f>SmtRes!Y14*Source!I31</f>
        <v>2.2749999999999999</v>
      </c>
      <c r="J14">
        <f>SmtRes!AO14</f>
        <v>1</v>
      </c>
      <c r="K14">
        <f>SmtRes!AF14</f>
        <v>6.22</v>
      </c>
      <c r="L14">
        <f>SmtRes!DB14</f>
        <v>2.0249999999999999</v>
      </c>
      <c r="M14">
        <f>ROUND(ROUND(L14*Source!I31, 6)*1, 2)</f>
        <v>14.18</v>
      </c>
      <c r="N14">
        <f>SmtRes!AB14</f>
        <v>37.630000000000003</v>
      </c>
      <c r="O14">
        <f>ROUND(ROUND(L14*Source!I31, 6)*SmtRes!DA14, 2)</f>
        <v>85.76</v>
      </c>
      <c r="P14">
        <f>SmtRes!AG14</f>
        <v>0.28999999999999998</v>
      </c>
      <c r="Q14">
        <f>SmtRes!DC14</f>
        <v>0.1</v>
      </c>
      <c r="R14">
        <f>ROUND(ROUND(Q14*Source!I31, 6)*1, 2)</f>
        <v>0.7</v>
      </c>
      <c r="S14">
        <f>SmtRes!AC14</f>
        <v>6.29</v>
      </c>
      <c r="T14">
        <f>ROUND(ROUND(Q14*Source!I31, 6)*SmtRes!AK14, 2)</f>
        <v>15.18</v>
      </c>
      <c r="U14">
        <f>SmtRes!X14</f>
        <v>-243982840</v>
      </c>
      <c r="V14">
        <v>1628274585</v>
      </c>
      <c r="W14">
        <v>-649282412</v>
      </c>
    </row>
    <row r="15" spans="1:23" x14ac:dyDescent="0.2">
      <c r="A15">
        <f>Source!A31</f>
        <v>17</v>
      </c>
      <c r="C15">
        <v>1</v>
      </c>
      <c r="D15">
        <v>0</v>
      </c>
      <c r="E15">
        <f>SmtRes!AV13</f>
        <v>1</v>
      </c>
      <c r="F15" t="str">
        <f>SmtRes!I13</f>
        <v>9999990008</v>
      </c>
      <c r="G15" t="str">
        <f>SmtRes!K13</f>
        <v>Трудозатраты рабочих</v>
      </c>
      <c r="H15" t="str">
        <f>SmtRes!O13</f>
        <v>чел.-ч.</v>
      </c>
      <c r="I15">
        <f>SmtRes!Y13*Source!I31</f>
        <v>8.9354999999999993</v>
      </c>
      <c r="J15">
        <f>SmtRes!AO13</f>
        <v>1</v>
      </c>
      <c r="K15">
        <f>SmtRes!AH13</f>
        <v>0</v>
      </c>
      <c r="L15">
        <f>SmtRes!DB13</f>
        <v>0</v>
      </c>
      <c r="M15">
        <f>ROUND(ROUND(L15*Source!I31, 6)*1, 2)</f>
        <v>0</v>
      </c>
      <c r="N15">
        <f>SmtRes!AD13</f>
        <v>0</v>
      </c>
      <c r="O15">
        <f>ROUND(ROUND(L15*Source!I31, 6)*SmtRes!DA13, 2)</f>
        <v>0</v>
      </c>
      <c r="P15">
        <f>SmtRes!AG13</f>
        <v>0</v>
      </c>
      <c r="Q15">
        <f>SmtRes!DC13</f>
        <v>0</v>
      </c>
      <c r="R15">
        <f>ROUND(ROUND(Q15*Source!I31, 6)*1, 2)</f>
        <v>0</v>
      </c>
      <c r="S15">
        <f>SmtRes!AC13</f>
        <v>0</v>
      </c>
      <c r="T15">
        <f>ROUND(ROUND(Q15*Source!I31, 6)*SmtRes!AK13, 2)</f>
        <v>0</v>
      </c>
      <c r="U15">
        <f>SmtRes!X13</f>
        <v>476480486</v>
      </c>
      <c r="V15">
        <v>1286141856</v>
      </c>
      <c r="W15">
        <v>1286141856</v>
      </c>
    </row>
    <row r="16" spans="1:23" x14ac:dyDescent="0.2">
      <c r="A16">
        <f>Source!A33</f>
        <v>17</v>
      </c>
      <c r="C16">
        <v>1</v>
      </c>
      <c r="D16">
        <v>0</v>
      </c>
      <c r="E16">
        <f>SmtRes!AV21</f>
        <v>1</v>
      </c>
      <c r="F16" t="str">
        <f>SmtRes!I21</f>
        <v>9999990008</v>
      </c>
      <c r="G16" t="str">
        <f>SmtRes!K21</f>
        <v>Трудозатраты рабочих</v>
      </c>
      <c r="H16" t="str">
        <f>SmtRes!O21</f>
        <v>чел.-ч.</v>
      </c>
      <c r="I16">
        <f>SmtRes!Y21*Source!I33</f>
        <v>7</v>
      </c>
      <c r="J16">
        <f>SmtRes!AO21</f>
        <v>1</v>
      </c>
      <c r="K16">
        <f>SmtRes!AH21</f>
        <v>0</v>
      </c>
      <c r="L16">
        <f>SmtRes!DB21</f>
        <v>0</v>
      </c>
      <c r="M16">
        <f>ROUND(ROUND(L16*Source!I33, 6)*1, 2)</f>
        <v>0</v>
      </c>
      <c r="N16">
        <f>SmtRes!AD21</f>
        <v>0</v>
      </c>
      <c r="O16">
        <f>ROUND(ROUND(L16*Source!I33, 6)*SmtRes!DA21, 2)</f>
        <v>0</v>
      </c>
      <c r="P16">
        <f>SmtRes!AG21</f>
        <v>0</v>
      </c>
      <c r="Q16">
        <f>SmtRes!DC21</f>
        <v>0</v>
      </c>
      <c r="R16">
        <f>ROUND(ROUND(Q16*Source!I33, 6)*1, 2)</f>
        <v>0</v>
      </c>
      <c r="S16">
        <f>SmtRes!AC21</f>
        <v>0</v>
      </c>
      <c r="T16">
        <f>ROUND(ROUND(Q16*Source!I33, 6)*SmtRes!AK21, 2)</f>
        <v>0</v>
      </c>
      <c r="U16">
        <f>SmtRes!X21</f>
        <v>476480486</v>
      </c>
      <c r="V16">
        <v>1286141856</v>
      </c>
      <c r="W16">
        <v>1286141856</v>
      </c>
    </row>
    <row r="17" spans="1:23" x14ac:dyDescent="0.2">
      <c r="A17">
        <f>Source!A35</f>
        <v>18</v>
      </c>
      <c r="C17">
        <v>3</v>
      </c>
      <c r="D17">
        <f>Source!BI35</f>
        <v>2</v>
      </c>
      <c r="E17">
        <f>Source!FS35</f>
        <v>0</v>
      </c>
      <c r="F17" t="str">
        <f>Source!F35</f>
        <v>ц. пост.</v>
      </c>
      <c r="G17" t="str">
        <f>Source!G35</f>
        <v>Кнопка выхода SR-BP42</v>
      </c>
      <c r="H17" t="str">
        <f>Source!H35</f>
        <v>шт.</v>
      </c>
      <c r="I17">
        <f>Source!I35</f>
        <v>7</v>
      </c>
      <c r="J17">
        <v>1</v>
      </c>
      <c r="K17">
        <f>Source!AC35</f>
        <v>32.24</v>
      </c>
      <c r="M17">
        <f>ROUND(K17*I17, 2)</f>
        <v>225.68</v>
      </c>
      <c r="N17">
        <f>Source!AC35*IF(Source!BC35&lt;&gt; 0, Source!BC35, 1)</f>
        <v>174.41840000000002</v>
      </c>
      <c r="O17">
        <f>ROUND(N17*I17, 2)</f>
        <v>1220.93</v>
      </c>
      <c r="P17">
        <f>Source!AE35</f>
        <v>0</v>
      </c>
      <c r="R17">
        <f>ROUND(P17*I17, 2)</f>
        <v>0</v>
      </c>
      <c r="S17">
        <f>Source!AE35*IF(Source!BS35&lt;&gt; 0, Source!BS35, 1)</f>
        <v>0</v>
      </c>
      <c r="T17">
        <f>ROUND(S17*I17, 2)</f>
        <v>0</v>
      </c>
      <c r="U17">
        <f>Source!GF35</f>
        <v>-43413833</v>
      </c>
      <c r="V17">
        <v>-1538863874</v>
      </c>
      <c r="W17">
        <v>-1960723027</v>
      </c>
    </row>
    <row r="18" spans="1:23" x14ac:dyDescent="0.2">
      <c r="A18">
        <f>Source!A37</f>
        <v>17</v>
      </c>
      <c r="C18">
        <v>1</v>
      </c>
      <c r="D18">
        <v>0</v>
      </c>
      <c r="E18">
        <f>SmtRes!AV24</f>
        <v>1</v>
      </c>
      <c r="F18" t="str">
        <f>SmtRes!I24</f>
        <v>9999990008</v>
      </c>
      <c r="G18" t="str">
        <f>SmtRes!K24</f>
        <v>Трудозатраты рабочих</v>
      </c>
      <c r="H18" t="str">
        <f>SmtRes!O24</f>
        <v>чел.-ч.</v>
      </c>
      <c r="I18">
        <f>SmtRes!Y24*Source!I37</f>
        <v>3.64</v>
      </c>
      <c r="J18">
        <f>SmtRes!AO24</f>
        <v>1</v>
      </c>
      <c r="K18">
        <f>SmtRes!AH24</f>
        <v>0</v>
      </c>
      <c r="L18">
        <f>SmtRes!DB24</f>
        <v>0</v>
      </c>
      <c r="M18">
        <f>ROUND(ROUND(L18*Source!I37, 6)*1, 2)</f>
        <v>0</v>
      </c>
      <c r="N18">
        <f>SmtRes!AD24</f>
        <v>0</v>
      </c>
      <c r="O18">
        <f>ROUND(ROUND(L18*Source!I37, 6)*SmtRes!DA24, 2)</f>
        <v>0</v>
      </c>
      <c r="P18">
        <f>SmtRes!AG24</f>
        <v>0</v>
      </c>
      <c r="Q18">
        <f>SmtRes!DC24</f>
        <v>0</v>
      </c>
      <c r="R18">
        <f>ROUND(ROUND(Q18*Source!I37, 6)*1, 2)</f>
        <v>0</v>
      </c>
      <c r="S18">
        <f>SmtRes!AC24</f>
        <v>0</v>
      </c>
      <c r="T18">
        <f>ROUND(ROUND(Q18*Source!I37, 6)*SmtRes!AK24, 2)</f>
        <v>0</v>
      </c>
      <c r="U18">
        <f>SmtRes!X24</f>
        <v>476480486</v>
      </c>
      <c r="V18">
        <v>1286141856</v>
      </c>
      <c r="W18">
        <v>1286141856</v>
      </c>
    </row>
    <row r="19" spans="1:23" x14ac:dyDescent="0.2">
      <c r="A19">
        <f>Source!A39</f>
        <v>17</v>
      </c>
      <c r="C19">
        <v>1</v>
      </c>
      <c r="D19">
        <v>0</v>
      </c>
      <c r="E19">
        <f>SmtRes!AV29</f>
        <v>1</v>
      </c>
      <c r="F19" t="str">
        <f>SmtRes!I29</f>
        <v>9999990008</v>
      </c>
      <c r="G19" t="str">
        <f>SmtRes!K29</f>
        <v>Трудозатраты рабочих</v>
      </c>
      <c r="H19" t="str">
        <f>SmtRes!O29</f>
        <v>чел.-ч.</v>
      </c>
      <c r="I19">
        <f>SmtRes!Y29*Source!I39</f>
        <v>15.93</v>
      </c>
      <c r="J19">
        <f>SmtRes!AO29</f>
        <v>1</v>
      </c>
      <c r="K19">
        <f>SmtRes!AH29</f>
        <v>0</v>
      </c>
      <c r="L19">
        <f>SmtRes!DB29</f>
        <v>0</v>
      </c>
      <c r="M19">
        <f>ROUND(ROUND(L19*Source!I39, 6)*1, 2)</f>
        <v>0</v>
      </c>
      <c r="N19">
        <f>SmtRes!AD29</f>
        <v>0</v>
      </c>
      <c r="O19">
        <f>ROUND(ROUND(L19*Source!I39, 6)*SmtRes!DA29, 2)</f>
        <v>0</v>
      </c>
      <c r="P19">
        <f>SmtRes!AG29</f>
        <v>0</v>
      </c>
      <c r="Q19">
        <f>SmtRes!DC29</f>
        <v>0</v>
      </c>
      <c r="R19">
        <f>ROUND(ROUND(Q19*Source!I39, 6)*1, 2)</f>
        <v>0</v>
      </c>
      <c r="S19">
        <f>SmtRes!AC29</f>
        <v>0</v>
      </c>
      <c r="T19">
        <f>ROUND(ROUND(Q19*Source!I39, 6)*SmtRes!AK29, 2)</f>
        <v>0</v>
      </c>
      <c r="U19">
        <f>SmtRes!X29</f>
        <v>476480486</v>
      </c>
      <c r="V19">
        <v>1286141856</v>
      </c>
      <c r="W19">
        <v>1286141856</v>
      </c>
    </row>
    <row r="20" spans="1:23" x14ac:dyDescent="0.2">
      <c r="A20">
        <f>Source!A41</f>
        <v>18</v>
      </c>
      <c r="C20">
        <v>3</v>
      </c>
      <c r="D20">
        <f>Source!BI41</f>
        <v>2</v>
      </c>
      <c r="E20">
        <f>Source!FS41</f>
        <v>0</v>
      </c>
      <c r="F20" t="str">
        <f>Source!F41</f>
        <v>1.12-5-373</v>
      </c>
      <c r="G20" t="str">
        <f>Source!G41</f>
        <v>Трубы электротехнические гофрированные, поливинилхлоридные, негорючие, с зондом, наружный диаметр 25 мм</v>
      </c>
      <c r="H20" t="str">
        <f>Source!H41</f>
        <v>м</v>
      </c>
      <c r="I20">
        <f>Source!I41</f>
        <v>102</v>
      </c>
      <c r="J20">
        <v>1</v>
      </c>
      <c r="K20">
        <f>Source!AC41</f>
        <v>5.19</v>
      </c>
      <c r="M20">
        <f>ROUND(K20*I20, 2)</f>
        <v>529.38</v>
      </c>
      <c r="N20">
        <f>Source!AC41*IF(Source!BC41&lt;&gt; 0, Source!BC41, 1)</f>
        <v>34.513500000000008</v>
      </c>
      <c r="O20">
        <f>ROUND(N20*I20, 2)</f>
        <v>3520.38</v>
      </c>
      <c r="P20">
        <f>Source!AE41</f>
        <v>0</v>
      </c>
      <c r="R20">
        <f>ROUND(P20*I20, 2)</f>
        <v>0</v>
      </c>
      <c r="S20">
        <f>Source!AE41*IF(Source!BS41&lt;&gt; 0, Source!BS41, 1)</f>
        <v>0</v>
      </c>
      <c r="T20">
        <f>ROUND(S20*I20, 2)</f>
        <v>0</v>
      </c>
      <c r="U20">
        <f>Source!GF41</f>
        <v>-1867355440</v>
      </c>
      <c r="V20">
        <v>55109370</v>
      </c>
      <c r="W20">
        <v>-290208468</v>
      </c>
    </row>
    <row r="21" spans="1:23" x14ac:dyDescent="0.2">
      <c r="A21">
        <f>Source!A43</f>
        <v>18</v>
      </c>
      <c r="C21">
        <v>3</v>
      </c>
      <c r="D21">
        <f>Source!BI43</f>
        <v>2</v>
      </c>
      <c r="E21">
        <f>Source!FS43</f>
        <v>0</v>
      </c>
      <c r="F21" t="str">
        <f>Source!F43</f>
        <v>1.21-5-185</v>
      </c>
      <c r="G21" t="str">
        <f>Source!G43</f>
        <v>Коробки ответвительные, тип КРП-1 УХЛ4, размеры 52х109х109 мм</v>
      </c>
      <c r="H21" t="str">
        <f>Source!H43</f>
        <v>шт.</v>
      </c>
      <c r="I21">
        <f>Source!I43</f>
        <v>5</v>
      </c>
      <c r="J21">
        <v>1</v>
      </c>
      <c r="K21">
        <f>Source!AC43</f>
        <v>26.19</v>
      </c>
      <c r="M21">
        <f>ROUND(K21*I21, 2)</f>
        <v>130.94999999999999</v>
      </c>
      <c r="N21">
        <f>Source!AC43*IF(Source!BC43&lt;&gt; 0, Source!BC43, 1)</f>
        <v>25.142399999999999</v>
      </c>
      <c r="O21">
        <f>ROUND(N21*I21, 2)</f>
        <v>125.71</v>
      </c>
      <c r="P21">
        <f>Source!AE43</f>
        <v>0</v>
      </c>
      <c r="R21">
        <f>ROUND(P21*I21, 2)</f>
        <v>0</v>
      </c>
      <c r="S21">
        <f>Source!AE43*IF(Source!BS43&lt;&gt; 0, Source!BS43, 1)</f>
        <v>0</v>
      </c>
      <c r="T21">
        <f>ROUND(S21*I21, 2)</f>
        <v>0</v>
      </c>
      <c r="U21">
        <f>Source!GF43</f>
        <v>-838499012</v>
      </c>
      <c r="V21">
        <v>-565866029</v>
      </c>
      <c r="W21">
        <v>776779917</v>
      </c>
    </row>
    <row r="22" spans="1:23" x14ac:dyDescent="0.2">
      <c r="A22">
        <f>Source!A45</f>
        <v>18</v>
      </c>
      <c r="C22">
        <v>3</v>
      </c>
      <c r="D22">
        <f>Source!BI45</f>
        <v>2</v>
      </c>
      <c r="E22">
        <f>Source!FS45</f>
        <v>0</v>
      </c>
      <c r="F22" t="str">
        <f>Source!F45</f>
        <v>1.21-5-1137</v>
      </c>
      <c r="G22" t="str">
        <f>Source!G45</f>
        <v>Держатели пластиковые с защелкой для крепления труб, рукавов и гибких вводов диаметром 25 мм</v>
      </c>
      <c r="H22" t="str">
        <f>Source!H45</f>
        <v>100 шт.</v>
      </c>
      <c r="I22">
        <f>Source!I45</f>
        <v>0.91</v>
      </c>
      <c r="J22">
        <v>1</v>
      </c>
      <c r="K22">
        <f>Source!AC45</f>
        <v>154.37</v>
      </c>
      <c r="M22">
        <f>ROUND(K22*I22, 2)</f>
        <v>140.47999999999999</v>
      </c>
      <c r="N22">
        <f>Source!AC45*IF(Source!BC45&lt;&gt; 0, Source!BC45, 1)</f>
        <v>214.57429999999999</v>
      </c>
      <c r="O22">
        <f>ROUND(N22*I22, 2)</f>
        <v>195.26</v>
      </c>
      <c r="P22">
        <f>Source!AE45</f>
        <v>0</v>
      </c>
      <c r="R22">
        <f>ROUND(P22*I22, 2)</f>
        <v>0</v>
      </c>
      <c r="S22">
        <f>Source!AE45*IF(Source!BS45&lt;&gt; 0, Source!BS45, 1)</f>
        <v>0</v>
      </c>
      <c r="T22">
        <f>ROUND(S22*I22, 2)</f>
        <v>0</v>
      </c>
      <c r="U22">
        <f>Source!GF45</f>
        <v>1689615020</v>
      </c>
      <c r="V22">
        <v>-2006919963</v>
      </c>
      <c r="W22">
        <v>-1203804874</v>
      </c>
    </row>
    <row r="23" spans="1:23" x14ac:dyDescent="0.2">
      <c r="A23">
        <f>Source!A47</f>
        <v>17</v>
      </c>
      <c r="C23">
        <v>1</v>
      </c>
      <c r="D23">
        <v>0</v>
      </c>
      <c r="E23">
        <f>SmtRes!AV38</f>
        <v>1</v>
      </c>
      <c r="F23" t="str">
        <f>SmtRes!I38</f>
        <v>9999990008</v>
      </c>
      <c r="G23" t="str">
        <f>SmtRes!K38</f>
        <v>Трудозатраты рабочих</v>
      </c>
      <c r="H23" t="str">
        <f>SmtRes!O38</f>
        <v>чел.-ч.</v>
      </c>
      <c r="I23">
        <f>SmtRes!Y38*Source!I47</f>
        <v>20.335000000000001</v>
      </c>
      <c r="J23">
        <f>SmtRes!AO38</f>
        <v>1</v>
      </c>
      <c r="K23">
        <f>SmtRes!AH38</f>
        <v>0</v>
      </c>
      <c r="L23">
        <f>SmtRes!DB38</f>
        <v>0</v>
      </c>
      <c r="M23">
        <f>ROUND(ROUND(L23*Source!I47, 6)*1, 2)</f>
        <v>0</v>
      </c>
      <c r="N23">
        <f>SmtRes!AD38</f>
        <v>0</v>
      </c>
      <c r="O23">
        <f>ROUND(ROUND(L23*Source!I47, 6)*SmtRes!DA38, 2)</f>
        <v>0</v>
      </c>
      <c r="P23">
        <f>SmtRes!AG38</f>
        <v>0</v>
      </c>
      <c r="Q23">
        <f>SmtRes!DC38</f>
        <v>0</v>
      </c>
      <c r="R23">
        <f>ROUND(ROUND(Q23*Source!I47, 6)*1, 2)</f>
        <v>0</v>
      </c>
      <c r="S23">
        <f>SmtRes!AC38</f>
        <v>0</v>
      </c>
      <c r="T23">
        <f>ROUND(ROUND(Q23*Source!I47, 6)*SmtRes!AK38, 2)</f>
        <v>0</v>
      </c>
      <c r="U23">
        <f>SmtRes!X38</f>
        <v>476480486</v>
      </c>
      <c r="V23">
        <v>1286141856</v>
      </c>
      <c r="W23">
        <v>1286141856</v>
      </c>
    </row>
    <row r="24" spans="1:23" x14ac:dyDescent="0.2">
      <c r="A24">
        <f>Source!A49</f>
        <v>18</v>
      </c>
      <c r="C24">
        <v>3</v>
      </c>
      <c r="D24">
        <f>Source!BI49</f>
        <v>2</v>
      </c>
      <c r="E24">
        <f>Source!FS49</f>
        <v>0</v>
      </c>
      <c r="F24" t="str">
        <f>Source!F49</f>
        <v>1.1-1-2426</v>
      </c>
      <c r="G24" t="str">
        <f>Source!G49</f>
        <v>Кабель-каналы, размер 20х12,5 мм, кабель-каналы</v>
      </c>
      <c r="H24" t="str">
        <f>Source!H49</f>
        <v>м</v>
      </c>
      <c r="I24">
        <f>Source!I49</f>
        <v>50</v>
      </c>
      <c r="J24">
        <v>1</v>
      </c>
      <c r="K24">
        <f>Source!AC49</f>
        <v>7.28</v>
      </c>
      <c r="M24">
        <f>ROUND(K24*I24, 2)</f>
        <v>364</v>
      </c>
      <c r="N24">
        <f>Source!AC49*IF(Source!BC49&lt;&gt; 0, Source!BC49, 1)</f>
        <v>13.468000000000002</v>
      </c>
      <c r="O24">
        <f>ROUND(N24*I24, 2)</f>
        <v>673.4</v>
      </c>
      <c r="P24">
        <f>Source!AE49</f>
        <v>0</v>
      </c>
      <c r="R24">
        <f>ROUND(P24*I24, 2)</f>
        <v>0</v>
      </c>
      <c r="S24">
        <f>Source!AE49*IF(Source!BS49&lt;&gt; 0, Source!BS49, 1)</f>
        <v>0</v>
      </c>
      <c r="T24">
        <f>ROUND(S24*I24, 2)</f>
        <v>0</v>
      </c>
      <c r="U24">
        <f>Source!GF49</f>
        <v>-1211388013</v>
      </c>
      <c r="V24">
        <v>-1575198268</v>
      </c>
      <c r="W24">
        <v>-120463350</v>
      </c>
    </row>
    <row r="25" spans="1:23" x14ac:dyDescent="0.2">
      <c r="A25">
        <f>Source!A51</f>
        <v>18</v>
      </c>
      <c r="C25">
        <v>3</v>
      </c>
      <c r="D25">
        <f>Source!BI51</f>
        <v>2</v>
      </c>
      <c r="E25">
        <f>Source!FS51</f>
        <v>0</v>
      </c>
      <c r="F25" t="str">
        <f>Source!F51</f>
        <v>1.1-1-2428</v>
      </c>
      <c r="G25" t="str">
        <f>Source!G51</f>
        <v>Кабель-каналы, размер 20х12,5 мм, углы наружные</v>
      </c>
      <c r="H25" t="str">
        <f>Source!H51</f>
        <v>1000 шт.</v>
      </c>
      <c r="I25">
        <f>Source!I51</f>
        <v>0.01</v>
      </c>
      <c r="J25">
        <v>1</v>
      </c>
      <c r="K25">
        <f>Source!AC51</f>
        <v>11139.68</v>
      </c>
      <c r="M25">
        <f>ROUND(K25*I25, 2)</f>
        <v>111.4</v>
      </c>
      <c r="N25">
        <f>Source!AC51*IF(Source!BC51&lt;&gt; 0, Source!BC51, 1)</f>
        <v>12699.235199999999</v>
      </c>
      <c r="O25">
        <f>ROUND(N25*I25, 2)</f>
        <v>126.99</v>
      </c>
      <c r="P25">
        <f>Source!AE51</f>
        <v>0</v>
      </c>
      <c r="R25">
        <f>ROUND(P25*I25, 2)</f>
        <v>0</v>
      </c>
      <c r="S25">
        <f>Source!AE51*IF(Source!BS51&lt;&gt; 0, Source!BS51, 1)</f>
        <v>0</v>
      </c>
      <c r="T25">
        <f>ROUND(S25*I25, 2)</f>
        <v>0</v>
      </c>
      <c r="U25">
        <f>Source!GF51</f>
        <v>2143346931</v>
      </c>
      <c r="V25">
        <v>583768039</v>
      </c>
      <c r="W25">
        <v>1080349418</v>
      </c>
    </row>
    <row r="26" spans="1:23" x14ac:dyDescent="0.2">
      <c r="A26">
        <f>Source!A53</f>
        <v>18</v>
      </c>
      <c r="C26">
        <v>3</v>
      </c>
      <c r="D26">
        <f>Source!BI53</f>
        <v>2</v>
      </c>
      <c r="E26">
        <f>Source!FS53</f>
        <v>0</v>
      </c>
      <c r="F26" t="str">
        <f>Source!F53</f>
        <v>1.1-1-2430</v>
      </c>
      <c r="G26" t="str">
        <f>Source!G53</f>
        <v>Кабель-каналы, размер 20х12,5 мм, заглушки</v>
      </c>
      <c r="H26" t="str">
        <f>Source!H53</f>
        <v>1000 шт.</v>
      </c>
      <c r="I26">
        <f>Source!I53</f>
        <v>3.0000000000000001E-3</v>
      </c>
      <c r="J26">
        <v>1</v>
      </c>
      <c r="K26">
        <f>Source!AC53</f>
        <v>5447.7</v>
      </c>
      <c r="M26">
        <f>ROUND(K26*I26, 2)</f>
        <v>16.34</v>
      </c>
      <c r="N26">
        <f>Source!AC53*IF(Source!BC53&lt;&gt; 0, Source!BC53, 1)</f>
        <v>9805.86</v>
      </c>
      <c r="O26">
        <f>ROUND(N26*I26, 2)</f>
        <v>29.42</v>
      </c>
      <c r="P26">
        <f>Source!AE53</f>
        <v>0</v>
      </c>
      <c r="R26">
        <f>ROUND(P26*I26, 2)</f>
        <v>0</v>
      </c>
      <c r="S26">
        <f>Source!AE53*IF(Source!BS53&lt;&gt; 0, Source!BS53, 1)</f>
        <v>0</v>
      </c>
      <c r="T26">
        <f>ROUND(S26*I26, 2)</f>
        <v>0</v>
      </c>
      <c r="U26">
        <f>Source!GF53</f>
        <v>1934155101</v>
      </c>
      <c r="V26">
        <v>-1937781842</v>
      </c>
      <c r="W26">
        <v>1143559099</v>
      </c>
    </row>
    <row r="27" spans="1:23" x14ac:dyDescent="0.2">
      <c r="A27">
        <f>Source!A55</f>
        <v>18</v>
      </c>
      <c r="C27">
        <v>3</v>
      </c>
      <c r="D27">
        <f>Source!BI55</f>
        <v>2</v>
      </c>
      <c r="E27">
        <f>Source!FS55</f>
        <v>0</v>
      </c>
      <c r="F27" t="str">
        <f>Source!F55</f>
        <v>1.1-1-2427</v>
      </c>
      <c r="G27" t="str">
        <f>Source!G55</f>
        <v>Кабель-каналы, размер 20х12,5 мм, углы внутренние</v>
      </c>
      <c r="H27" t="str">
        <f>Source!H55</f>
        <v>1000 шт.</v>
      </c>
      <c r="I27">
        <f>Source!I55</f>
        <v>7.0000000000000001E-3</v>
      </c>
      <c r="J27">
        <v>1</v>
      </c>
      <c r="K27">
        <f>Source!AC55</f>
        <v>8875.18</v>
      </c>
      <c r="M27">
        <f>ROUND(K27*I27, 2)</f>
        <v>62.13</v>
      </c>
      <c r="N27">
        <f>Source!AC55*IF(Source!BC55&lt;&gt; 0, Source!BC55, 1)</f>
        <v>12780.2592</v>
      </c>
      <c r="O27">
        <f>ROUND(N27*I27, 2)</f>
        <v>89.46</v>
      </c>
      <c r="P27">
        <f>Source!AE55</f>
        <v>0</v>
      </c>
      <c r="R27">
        <f>ROUND(P27*I27, 2)</f>
        <v>0</v>
      </c>
      <c r="S27">
        <f>Source!AE55*IF(Source!BS55&lt;&gt; 0, Source!BS55, 1)</f>
        <v>0</v>
      </c>
      <c r="T27">
        <f>ROUND(S27*I27, 2)</f>
        <v>0</v>
      </c>
      <c r="U27">
        <f>Source!GF55</f>
        <v>2124294238</v>
      </c>
      <c r="V27">
        <v>1320925888</v>
      </c>
      <c r="W27">
        <v>1135683912</v>
      </c>
    </row>
    <row r="28" spans="1:23" x14ac:dyDescent="0.2">
      <c r="A28">
        <f>Source!A57</f>
        <v>17</v>
      </c>
      <c r="C28">
        <v>3</v>
      </c>
      <c r="D28">
        <f>Source!BI57</f>
        <v>2</v>
      </c>
      <c r="E28">
        <f>Source!FS57</f>
        <v>0</v>
      </c>
      <c r="F28" t="str">
        <f>Source!F57</f>
        <v>1.21-5-555</v>
      </c>
      <c r="G28" t="str">
        <f>Source!G57</f>
        <v>Лотки кабельные оцинкованные, перфорированные, простые, без крышек, тип PNK-50</v>
      </c>
      <c r="H28" t="str">
        <f>Source!H57</f>
        <v>м</v>
      </c>
      <c r="I28">
        <f>Source!I57</f>
        <v>0</v>
      </c>
      <c r="J28">
        <v>1</v>
      </c>
      <c r="K28">
        <f>Source!AC57</f>
        <v>50.14</v>
      </c>
      <c r="M28">
        <f>ROUND(K28*I28, 2)</f>
        <v>0</v>
      </c>
      <c r="N28">
        <f>Source!AC57*IF(Source!BC57&lt;&gt; 0, Source!BC57, 1)</f>
        <v>86.240799999999993</v>
      </c>
      <c r="O28">
        <f>ROUND(N28*I28, 2)</f>
        <v>0</v>
      </c>
      <c r="P28">
        <f>Source!AE57</f>
        <v>0</v>
      </c>
      <c r="R28">
        <f>ROUND(P28*I28, 2)</f>
        <v>0</v>
      </c>
      <c r="S28">
        <f>Source!AE57*IF(Source!BS57&lt;&gt; 0, Source!BS57, 1)</f>
        <v>0</v>
      </c>
      <c r="T28">
        <f>ROUND(S28*I28, 2)</f>
        <v>0</v>
      </c>
      <c r="U28">
        <f>Source!GF57</f>
        <v>-253407897</v>
      </c>
      <c r="V28">
        <v>1958707482</v>
      </c>
      <c r="W28">
        <v>959745139</v>
      </c>
    </row>
    <row r="29" spans="1:23" x14ac:dyDescent="0.2">
      <c r="A29">
        <f>Source!A59</f>
        <v>17</v>
      </c>
      <c r="C29">
        <v>3</v>
      </c>
      <c r="D29">
        <f>Source!BI59</f>
        <v>2</v>
      </c>
      <c r="E29">
        <f>Source!FS59</f>
        <v>0</v>
      </c>
      <c r="F29" t="str">
        <f>Source!F59</f>
        <v>1.21-5-559</v>
      </c>
      <c r="G29" t="str">
        <f>Source!G59</f>
        <v>Крышки для лотков простых марки PNK-50</v>
      </c>
      <c r="H29" t="str">
        <f>Source!H59</f>
        <v>м</v>
      </c>
      <c r="I29">
        <f>Source!I59</f>
        <v>0</v>
      </c>
      <c r="J29">
        <v>1</v>
      </c>
      <c r="K29">
        <f>Source!AC59</f>
        <v>34.729999999999997</v>
      </c>
      <c r="M29">
        <f>ROUND(K29*I29, 2)</f>
        <v>0</v>
      </c>
      <c r="N29">
        <f>Source!AC59*IF(Source!BC59&lt;&gt; 0, Source!BC59, 1)</f>
        <v>51.400399999999998</v>
      </c>
      <c r="O29">
        <f>ROUND(N29*I29, 2)</f>
        <v>0</v>
      </c>
      <c r="P29">
        <f>Source!AE59</f>
        <v>0</v>
      </c>
      <c r="R29">
        <f>ROUND(P29*I29, 2)</f>
        <v>0</v>
      </c>
      <c r="S29">
        <f>Source!AE59*IF(Source!BS59&lt;&gt; 0, Source!BS59, 1)</f>
        <v>0</v>
      </c>
      <c r="T29">
        <f>ROUND(S29*I29, 2)</f>
        <v>0</v>
      </c>
      <c r="U29">
        <f>Source!GF59</f>
        <v>2038973461</v>
      </c>
      <c r="V29">
        <v>-1742127275</v>
      </c>
      <c r="W29">
        <v>-311461502</v>
      </c>
    </row>
    <row r="30" spans="1:23" x14ac:dyDescent="0.2">
      <c r="A30">
        <f>Source!A61</f>
        <v>17</v>
      </c>
      <c r="C30">
        <v>1</v>
      </c>
      <c r="D30">
        <v>0</v>
      </c>
      <c r="E30">
        <f>SmtRes!AV44</f>
        <v>1</v>
      </c>
      <c r="F30" t="str">
        <f>SmtRes!I44</f>
        <v>9999990008</v>
      </c>
      <c r="G30" t="str">
        <f>SmtRes!K44</f>
        <v>Трудозатраты рабочих</v>
      </c>
      <c r="H30" t="str">
        <f>SmtRes!O44</f>
        <v>чел.-ч.</v>
      </c>
      <c r="I30">
        <f>SmtRes!Y44*Source!I61</f>
        <v>6.18</v>
      </c>
      <c r="J30">
        <f>SmtRes!AO44</f>
        <v>1</v>
      </c>
      <c r="K30">
        <f>SmtRes!AH44</f>
        <v>0</v>
      </c>
      <c r="L30">
        <f>SmtRes!DB44</f>
        <v>0</v>
      </c>
      <c r="M30">
        <f>ROUND(ROUND(L30*Source!I61, 6)*1, 2)</f>
        <v>0</v>
      </c>
      <c r="N30">
        <f>SmtRes!AD44</f>
        <v>0</v>
      </c>
      <c r="O30">
        <f>ROUND(ROUND(L30*Source!I61, 6)*SmtRes!DA44, 2)</f>
        <v>0</v>
      </c>
      <c r="P30">
        <f>SmtRes!AG44</f>
        <v>0</v>
      </c>
      <c r="Q30">
        <f>SmtRes!DC44</f>
        <v>0</v>
      </c>
      <c r="R30">
        <f>ROUND(ROUND(Q30*Source!I61, 6)*1, 2)</f>
        <v>0</v>
      </c>
      <c r="S30">
        <f>SmtRes!AC44</f>
        <v>0</v>
      </c>
      <c r="T30">
        <f>ROUND(ROUND(Q30*Source!I61, 6)*SmtRes!AK44, 2)</f>
        <v>0</v>
      </c>
      <c r="U30">
        <f>SmtRes!X44</f>
        <v>476480486</v>
      </c>
      <c r="V30">
        <v>1286141856</v>
      </c>
      <c r="W30">
        <v>1286141856</v>
      </c>
    </row>
    <row r="31" spans="1:23" x14ac:dyDescent="0.2">
      <c r="A31">
        <f>Source!A63</f>
        <v>17</v>
      </c>
      <c r="C31">
        <v>1</v>
      </c>
      <c r="D31">
        <v>0</v>
      </c>
      <c r="E31">
        <f>SmtRes!AV46</f>
        <v>1</v>
      </c>
      <c r="F31" t="str">
        <f>SmtRes!I46</f>
        <v>9999990008</v>
      </c>
      <c r="G31" t="str">
        <f>SmtRes!K46</f>
        <v>Трудозатраты рабочих</v>
      </c>
      <c r="H31" t="str">
        <f>SmtRes!O46</f>
        <v>чел.-ч.</v>
      </c>
      <c r="I31">
        <f>SmtRes!Y46*Source!I63</f>
        <v>1.5449999999999999</v>
      </c>
      <c r="J31">
        <f>SmtRes!AO46</f>
        <v>1</v>
      </c>
      <c r="K31">
        <f>SmtRes!AH46</f>
        <v>0</v>
      </c>
      <c r="L31">
        <f>SmtRes!DB46</f>
        <v>0</v>
      </c>
      <c r="M31">
        <f>ROUND(ROUND(L31*Source!I63, 6)*1, 2)</f>
        <v>0</v>
      </c>
      <c r="N31">
        <f>SmtRes!AD46</f>
        <v>0</v>
      </c>
      <c r="O31">
        <f>ROUND(ROUND(L31*Source!I63, 6)*SmtRes!DA46, 2)</f>
        <v>0</v>
      </c>
      <c r="P31">
        <f>SmtRes!AG46</f>
        <v>0</v>
      </c>
      <c r="Q31">
        <f>SmtRes!DC46</f>
        <v>0</v>
      </c>
      <c r="R31">
        <f>ROUND(ROUND(Q31*Source!I63, 6)*1, 2)</f>
        <v>0</v>
      </c>
      <c r="S31">
        <f>SmtRes!AC46</f>
        <v>0</v>
      </c>
      <c r="T31">
        <f>ROUND(ROUND(Q31*Source!I63, 6)*SmtRes!AK46, 2)</f>
        <v>0</v>
      </c>
      <c r="U31">
        <f>SmtRes!X46</f>
        <v>476480486</v>
      </c>
      <c r="V31">
        <v>1286141856</v>
      </c>
      <c r="W31">
        <v>1286141856</v>
      </c>
    </row>
    <row r="32" spans="1:23" x14ac:dyDescent="0.2">
      <c r="A32">
        <f>Source!A65</f>
        <v>17</v>
      </c>
      <c r="C32">
        <v>1</v>
      </c>
      <c r="D32">
        <v>0</v>
      </c>
      <c r="E32">
        <f>SmtRes!AV48</f>
        <v>1</v>
      </c>
      <c r="F32" t="str">
        <f>SmtRes!I48</f>
        <v>9999990008</v>
      </c>
      <c r="G32" t="str">
        <f>SmtRes!K48</f>
        <v>Трудозатраты рабочих</v>
      </c>
      <c r="H32" t="str">
        <f>SmtRes!O48</f>
        <v>чел.-ч.</v>
      </c>
      <c r="I32">
        <f>SmtRes!Y48*Source!I65</f>
        <v>41.2</v>
      </c>
      <c r="J32">
        <f>SmtRes!AO48</f>
        <v>1</v>
      </c>
      <c r="K32">
        <f>SmtRes!AH48</f>
        <v>0</v>
      </c>
      <c r="L32">
        <f>SmtRes!DB48</f>
        <v>0</v>
      </c>
      <c r="M32">
        <f>ROUND(ROUND(L32*Source!I65, 6)*1, 2)</f>
        <v>0</v>
      </c>
      <c r="N32">
        <f>SmtRes!AD48</f>
        <v>0</v>
      </c>
      <c r="O32">
        <f>ROUND(ROUND(L32*Source!I65, 6)*SmtRes!DA48, 2)</f>
        <v>0</v>
      </c>
      <c r="P32">
        <f>SmtRes!AG48</f>
        <v>0</v>
      </c>
      <c r="Q32">
        <f>SmtRes!DC48</f>
        <v>0</v>
      </c>
      <c r="R32">
        <f>ROUND(ROUND(Q32*Source!I65, 6)*1, 2)</f>
        <v>0</v>
      </c>
      <c r="S32">
        <f>SmtRes!AC48</f>
        <v>0</v>
      </c>
      <c r="T32">
        <f>ROUND(ROUND(Q32*Source!I65, 6)*SmtRes!AK48, 2)</f>
        <v>0</v>
      </c>
      <c r="U32">
        <f>SmtRes!X48</f>
        <v>476480486</v>
      </c>
      <c r="V32">
        <v>1286141856</v>
      </c>
      <c r="W32">
        <v>1286141856</v>
      </c>
    </row>
    <row r="33" spans="1:23" x14ac:dyDescent="0.2">
      <c r="A33">
        <f>Source!A67</f>
        <v>17</v>
      </c>
      <c r="C33">
        <v>3</v>
      </c>
      <c r="D33">
        <f>Source!BI67</f>
        <v>2</v>
      </c>
      <c r="E33">
        <f>Source!FS67</f>
        <v>0</v>
      </c>
      <c r="F33" t="str">
        <f>Source!F67</f>
        <v>ц. пост.</v>
      </c>
      <c r="G33" t="str">
        <f>Source!G67</f>
        <v>Кабель КВПЭфнг(С)-LSLTx-5e 4х2х0,52</v>
      </c>
      <c r="H33" t="str">
        <f>Source!H67</f>
        <v>ПМ</v>
      </c>
      <c r="I33">
        <f>Source!I67</f>
        <v>510</v>
      </c>
      <c r="J33">
        <v>1</v>
      </c>
      <c r="K33">
        <f>Source!AC67</f>
        <v>12.36</v>
      </c>
      <c r="M33">
        <f>ROUND(K33*I33, 2)</f>
        <v>6303.6</v>
      </c>
      <c r="N33">
        <f>Source!AC67*IF(Source!BC67&lt;&gt; 0, Source!BC67, 1)</f>
        <v>66.867599999999996</v>
      </c>
      <c r="O33">
        <f>ROUND(N33*I33, 2)</f>
        <v>34102.480000000003</v>
      </c>
      <c r="P33">
        <f>Source!AE67</f>
        <v>0</v>
      </c>
      <c r="R33">
        <f>ROUND(P33*I33, 2)</f>
        <v>0</v>
      </c>
      <c r="S33">
        <f>Source!AE67*IF(Source!BS67&lt;&gt; 0, Source!BS67, 1)</f>
        <v>0</v>
      </c>
      <c r="T33">
        <f>ROUND(S33*I33, 2)</f>
        <v>0</v>
      </c>
      <c r="U33">
        <f>Source!GF67</f>
        <v>1696774418</v>
      </c>
      <c r="V33">
        <v>1233014327</v>
      </c>
      <c r="W33">
        <v>-1775216362</v>
      </c>
    </row>
    <row r="34" spans="1:23" x14ac:dyDescent="0.2">
      <c r="A34">
        <f>Source!A69</f>
        <v>17</v>
      </c>
      <c r="C34">
        <v>3</v>
      </c>
      <c r="D34">
        <f>Source!BI69</f>
        <v>2</v>
      </c>
      <c r="E34">
        <f>Source!FS69</f>
        <v>0</v>
      </c>
      <c r="F34" t="str">
        <f>Source!F69</f>
        <v>ц. пост.</v>
      </c>
      <c r="G34" t="str">
        <f>Source!G69</f>
        <v>Кабель ВВГЭ нг(А)-LSLTх 3х1,5</v>
      </c>
      <c r="H34" t="str">
        <f>Source!H69</f>
        <v>ПМ</v>
      </c>
      <c r="I34">
        <f>Source!I69</f>
        <v>510</v>
      </c>
      <c r="J34">
        <v>1</v>
      </c>
      <c r="K34">
        <f>Source!AC69</f>
        <v>7.73</v>
      </c>
      <c r="M34">
        <f>ROUND(K34*I34, 2)</f>
        <v>3942.3</v>
      </c>
      <c r="N34">
        <f>Source!AC69*IF(Source!BC69&lt;&gt; 0, Source!BC69, 1)</f>
        <v>41.819300000000005</v>
      </c>
      <c r="O34">
        <f>ROUND(N34*I34, 2)</f>
        <v>21327.84</v>
      </c>
      <c r="P34">
        <f>Source!AE69</f>
        <v>0</v>
      </c>
      <c r="R34">
        <f>ROUND(P34*I34, 2)</f>
        <v>0</v>
      </c>
      <c r="S34">
        <f>Source!AE69*IF(Source!BS69&lt;&gt; 0, Source!BS69, 1)</f>
        <v>0</v>
      </c>
      <c r="T34">
        <f>ROUND(S34*I34, 2)</f>
        <v>0</v>
      </c>
      <c r="U34">
        <f>Source!GF69</f>
        <v>926290351</v>
      </c>
      <c r="V34">
        <v>-2137379462</v>
      </c>
      <c r="W34">
        <v>1287347680</v>
      </c>
    </row>
    <row r="35" spans="1:23" x14ac:dyDescent="0.2">
      <c r="A35">
        <f>Source!A71</f>
        <v>17</v>
      </c>
      <c r="C35">
        <v>3</v>
      </c>
      <c r="D35">
        <f>Source!BI71</f>
        <v>2</v>
      </c>
      <c r="E35">
        <f>Source!FS71</f>
        <v>0</v>
      </c>
      <c r="F35" t="str">
        <f>Source!F71</f>
        <v>1.23-9-38</v>
      </c>
      <c r="G35" t="str">
        <f>Source!G71</f>
        <v>Кабели для адресных систем пожарной сигнализации с однопроволочными медными жилами, с изоляцией и оболочкой из ПВХ пластиката, марка КПСВВ, число пар и сечение 1х2х0,75 мм2</v>
      </c>
      <c r="H35" t="str">
        <f>Source!H71</f>
        <v>км</v>
      </c>
      <c r="I35">
        <f>Source!I71</f>
        <v>0.11</v>
      </c>
      <c r="J35">
        <v>1</v>
      </c>
      <c r="K35">
        <f>Source!AC71</f>
        <v>4020.51</v>
      </c>
      <c r="M35">
        <f>ROUND(K35*I35, 2)</f>
        <v>442.26</v>
      </c>
      <c r="N35">
        <f>Source!AC71*IF(Source!BC71&lt;&gt; 0, Source!BC71, 1)</f>
        <v>10654.351500000001</v>
      </c>
      <c r="O35">
        <f>ROUND(N35*I35, 2)</f>
        <v>1171.98</v>
      </c>
      <c r="P35">
        <f>Source!AE71</f>
        <v>0</v>
      </c>
      <c r="R35">
        <f>ROUND(P35*I35, 2)</f>
        <v>0</v>
      </c>
      <c r="S35">
        <f>Source!AE71*IF(Source!BS71&lt;&gt; 0, Source!BS71, 1)</f>
        <v>0</v>
      </c>
      <c r="T35">
        <f>ROUND(S35*I35, 2)</f>
        <v>0</v>
      </c>
      <c r="U35">
        <f>Source!GF71</f>
        <v>459342775</v>
      </c>
      <c r="V35">
        <v>1035200766</v>
      </c>
      <c r="W35">
        <v>784183130</v>
      </c>
    </row>
    <row r="36" spans="1:23" x14ac:dyDescent="0.2">
      <c r="A36">
        <f>Source!A73</f>
        <v>17</v>
      </c>
      <c r="C36">
        <v>1</v>
      </c>
      <c r="D36">
        <v>0</v>
      </c>
      <c r="E36">
        <f>SmtRes!AV50</f>
        <v>1</v>
      </c>
      <c r="F36" t="str">
        <f>SmtRes!I50</f>
        <v>9999990008</v>
      </c>
      <c r="G36" t="str">
        <f>SmtRes!K50</f>
        <v>Трудозатраты рабочих</v>
      </c>
      <c r="H36" t="str">
        <f>SmtRes!O50</f>
        <v>чел.-ч.</v>
      </c>
      <c r="I36">
        <f>SmtRes!Y50*Source!I73</f>
        <v>2.06</v>
      </c>
      <c r="J36">
        <f>SmtRes!AO50</f>
        <v>1</v>
      </c>
      <c r="K36">
        <f>SmtRes!AH50</f>
        <v>0</v>
      </c>
      <c r="L36">
        <f>SmtRes!DB50</f>
        <v>0</v>
      </c>
      <c r="M36">
        <f>ROUND(ROUND(L36*Source!I73, 6)*1, 2)</f>
        <v>0</v>
      </c>
      <c r="N36">
        <f>SmtRes!AD50</f>
        <v>0</v>
      </c>
      <c r="O36">
        <f>ROUND(ROUND(L36*Source!I73, 6)*SmtRes!DA50, 2)</f>
        <v>0</v>
      </c>
      <c r="P36">
        <f>SmtRes!AG50</f>
        <v>0</v>
      </c>
      <c r="Q36">
        <f>SmtRes!DC50</f>
        <v>0</v>
      </c>
      <c r="R36">
        <f>ROUND(ROUND(Q36*Source!I73, 6)*1, 2)</f>
        <v>0</v>
      </c>
      <c r="S36">
        <f>SmtRes!AC50</f>
        <v>0</v>
      </c>
      <c r="T36">
        <f>ROUND(ROUND(Q36*Source!I73, 6)*SmtRes!AK50, 2)</f>
        <v>0</v>
      </c>
      <c r="U36">
        <f>SmtRes!X50</f>
        <v>476480486</v>
      </c>
      <c r="V36">
        <v>1286141856</v>
      </c>
      <c r="W36">
        <v>1286141856</v>
      </c>
    </row>
    <row r="37" spans="1:23" x14ac:dyDescent="0.2">
      <c r="A37">
        <f>Source!A75</f>
        <v>17</v>
      </c>
      <c r="C37">
        <v>1</v>
      </c>
      <c r="D37">
        <v>0</v>
      </c>
      <c r="E37">
        <f>SmtRes!AV52</f>
        <v>1</v>
      </c>
      <c r="F37" t="str">
        <f>SmtRes!I52</f>
        <v>9999990008</v>
      </c>
      <c r="G37" t="str">
        <f>SmtRes!K52</f>
        <v>Трудозатраты рабочих</v>
      </c>
      <c r="H37" t="str">
        <f>SmtRes!O52</f>
        <v>чел.-ч.</v>
      </c>
      <c r="I37">
        <f>SmtRes!Y52*Source!I75</f>
        <v>5.8560000000000008</v>
      </c>
      <c r="J37">
        <f>SmtRes!AO52</f>
        <v>1</v>
      </c>
      <c r="K37">
        <f>SmtRes!AH52</f>
        <v>0</v>
      </c>
      <c r="L37">
        <f>SmtRes!DB52</f>
        <v>0</v>
      </c>
      <c r="M37">
        <f>ROUND(ROUND(L37*Source!I75, 6)*1, 2)</f>
        <v>0</v>
      </c>
      <c r="N37">
        <f>SmtRes!AD52</f>
        <v>0</v>
      </c>
      <c r="O37">
        <f>ROUND(ROUND(L37*Source!I75, 6)*SmtRes!DA52, 2)</f>
        <v>0</v>
      </c>
      <c r="P37">
        <f>SmtRes!AG52</f>
        <v>0</v>
      </c>
      <c r="Q37">
        <f>SmtRes!DC52</f>
        <v>0</v>
      </c>
      <c r="R37">
        <f>ROUND(ROUND(Q37*Source!I75, 6)*1, 2)</f>
        <v>0</v>
      </c>
      <c r="S37">
        <f>SmtRes!AC52</f>
        <v>0</v>
      </c>
      <c r="T37">
        <f>ROUND(ROUND(Q37*Source!I75, 6)*SmtRes!AK52, 2)</f>
        <v>0</v>
      </c>
      <c r="U37">
        <f>SmtRes!X52</f>
        <v>476480486</v>
      </c>
      <c r="V37">
        <v>1286141856</v>
      </c>
      <c r="W37">
        <v>1286141856</v>
      </c>
    </row>
    <row r="38" spans="1:23" x14ac:dyDescent="0.2">
      <c r="A38">
        <f>Source!A77</f>
        <v>17</v>
      </c>
      <c r="C38">
        <v>3</v>
      </c>
      <c r="D38">
        <v>0</v>
      </c>
      <c r="E38">
        <f>SmtRes!AV56</f>
        <v>0</v>
      </c>
      <c r="F38" t="str">
        <f>SmtRes!I56</f>
        <v>9999990002</v>
      </c>
      <c r="G38" t="str">
        <f>SmtRes!K56</f>
        <v>Масса оборудования</v>
      </c>
      <c r="H38" t="str">
        <f>SmtRes!O56</f>
        <v>т</v>
      </c>
      <c r="I38">
        <f>SmtRes!Y56*Source!I77</f>
        <v>4.4999999999999998E-2</v>
      </c>
      <c r="J38">
        <f>SmtRes!AO56</f>
        <v>1</v>
      </c>
      <c r="K38">
        <f>SmtRes!AE56</f>
        <v>0</v>
      </c>
      <c r="L38">
        <f>SmtRes!DB56</f>
        <v>0</v>
      </c>
      <c r="M38">
        <f>ROUND(ROUND(L38*Source!I77, 6)*1, 2)</f>
        <v>0</v>
      </c>
      <c r="N38">
        <f>SmtRes!AA56</f>
        <v>0</v>
      </c>
      <c r="O38">
        <f>ROUND(ROUND(L38*Source!I77, 6)*SmtRes!DA56, 2)</f>
        <v>0</v>
      </c>
      <c r="P38">
        <f>SmtRes!AG56</f>
        <v>0</v>
      </c>
      <c r="Q38">
        <f>SmtRes!DC56</f>
        <v>0</v>
      </c>
      <c r="R38">
        <f>ROUND(ROUND(Q38*Source!I77, 6)*1, 2)</f>
        <v>0</v>
      </c>
      <c r="S38">
        <f>SmtRes!AC56</f>
        <v>0</v>
      </c>
      <c r="T38">
        <f>ROUND(ROUND(Q38*Source!I77, 6)*SmtRes!AK56, 2)</f>
        <v>0</v>
      </c>
      <c r="U38">
        <f>SmtRes!X56</f>
        <v>-783086922</v>
      </c>
      <c r="V38">
        <v>1479202730</v>
      </c>
      <c r="W38">
        <v>1479202730</v>
      </c>
    </row>
    <row r="39" spans="1:23" x14ac:dyDescent="0.2">
      <c r="A39">
        <f>Source!A77</f>
        <v>17</v>
      </c>
      <c r="C39">
        <v>1</v>
      </c>
      <c r="D39">
        <v>0</v>
      </c>
      <c r="E39">
        <f>SmtRes!AV55</f>
        <v>1</v>
      </c>
      <c r="F39" t="str">
        <f>SmtRes!I55</f>
        <v>9999990008</v>
      </c>
      <c r="G39" t="str">
        <f>SmtRes!K55</f>
        <v>Трудозатраты рабочих</v>
      </c>
      <c r="H39" t="str">
        <f>SmtRes!O55</f>
        <v>чел.-ч.</v>
      </c>
      <c r="I39">
        <f>SmtRes!Y55*Source!I77</f>
        <v>2</v>
      </c>
      <c r="J39">
        <f>SmtRes!AO55</f>
        <v>1</v>
      </c>
      <c r="K39">
        <f>SmtRes!AH55</f>
        <v>0</v>
      </c>
      <c r="L39">
        <f>SmtRes!DB55</f>
        <v>0</v>
      </c>
      <c r="M39">
        <f>ROUND(ROUND(L39*Source!I77, 6)*1, 2)</f>
        <v>0</v>
      </c>
      <c r="N39">
        <f>SmtRes!AD55</f>
        <v>0</v>
      </c>
      <c r="O39">
        <f>ROUND(ROUND(L39*Source!I77, 6)*SmtRes!DA55, 2)</f>
        <v>0</v>
      </c>
      <c r="P39">
        <f>SmtRes!AG55</f>
        <v>0</v>
      </c>
      <c r="Q39">
        <f>SmtRes!DC55</f>
        <v>0</v>
      </c>
      <c r="R39">
        <f>ROUND(ROUND(Q39*Source!I77, 6)*1, 2)</f>
        <v>0</v>
      </c>
      <c r="S39">
        <f>SmtRes!AC55</f>
        <v>0</v>
      </c>
      <c r="T39">
        <f>ROUND(ROUND(Q39*Source!I77, 6)*SmtRes!AK55, 2)</f>
        <v>0</v>
      </c>
      <c r="U39">
        <f>SmtRes!X55</f>
        <v>476480486</v>
      </c>
      <c r="V39">
        <v>1286141856</v>
      </c>
      <c r="W39">
        <v>1286141856</v>
      </c>
    </row>
    <row r="40" spans="1:23" x14ac:dyDescent="0.2">
      <c r="A40">
        <f>Source!A79</f>
        <v>17</v>
      </c>
      <c r="C40">
        <v>1</v>
      </c>
      <c r="D40">
        <v>0</v>
      </c>
      <c r="E40">
        <f>SmtRes!AV58</f>
        <v>1</v>
      </c>
      <c r="F40" t="str">
        <f>SmtRes!I58</f>
        <v>9999990008</v>
      </c>
      <c r="G40" t="str">
        <f>SmtRes!K58</f>
        <v>Трудозатраты рабочих</v>
      </c>
      <c r="H40" t="str">
        <f>SmtRes!O58</f>
        <v>чел.-ч.</v>
      </c>
      <c r="I40">
        <f>SmtRes!Y58*Source!I79</f>
        <v>24.24</v>
      </c>
      <c r="J40">
        <f>SmtRes!AO58</f>
        <v>1</v>
      </c>
      <c r="K40">
        <f>SmtRes!AH58</f>
        <v>0</v>
      </c>
      <c r="L40">
        <f>SmtRes!DB58</f>
        <v>0</v>
      </c>
      <c r="M40">
        <f>ROUND(ROUND(L40*Source!I79, 6)*1, 2)</f>
        <v>0</v>
      </c>
      <c r="N40">
        <f>SmtRes!AD58</f>
        <v>0</v>
      </c>
      <c r="O40">
        <f>ROUND(ROUND(L40*Source!I79, 6)*SmtRes!DA58, 2)</f>
        <v>0</v>
      </c>
      <c r="P40">
        <f>SmtRes!AG58</f>
        <v>0</v>
      </c>
      <c r="Q40">
        <f>SmtRes!DC58</f>
        <v>0</v>
      </c>
      <c r="R40">
        <f>ROUND(ROUND(Q40*Source!I79, 6)*1, 2)</f>
        <v>0</v>
      </c>
      <c r="S40">
        <f>SmtRes!AC58</f>
        <v>0</v>
      </c>
      <c r="T40">
        <f>ROUND(ROUND(Q40*Source!I79, 6)*SmtRes!AK58, 2)</f>
        <v>0</v>
      </c>
      <c r="U40">
        <f>SmtRes!X58</f>
        <v>476480486</v>
      </c>
      <c r="V40">
        <v>1286141856</v>
      </c>
      <c r="W40">
        <v>1286141856</v>
      </c>
    </row>
    <row r="41" spans="1:23" x14ac:dyDescent="0.2">
      <c r="A41">
        <f>Source!A81</f>
        <v>4</v>
      </c>
      <c r="B41">
        <v>81</v>
      </c>
      <c r="G41" t="str">
        <f>Source!G81</f>
        <v>Оборудование</v>
      </c>
    </row>
    <row r="42" spans="1:23" x14ac:dyDescent="0.2">
      <c r="A42">
        <f>Source!A86</f>
        <v>17</v>
      </c>
      <c r="C42">
        <v>5</v>
      </c>
      <c r="D42">
        <f>Source!BI86</f>
        <v>3</v>
      </c>
      <c r="E42">
        <f>Source!FS86</f>
        <v>0</v>
      </c>
      <c r="F42" t="str">
        <f>Source!F86</f>
        <v>13.1-3-185</v>
      </c>
      <c r="G42" t="str">
        <f>Source!G86</f>
        <v>Контроллер доступа С2000-2: Разнообразные режимы работы, режим запрета повторного прохода (Antipassback); встроенный звуковой сигнализатор; управление и передача сообщений по интерфейсу RS-485 в ИСО «Орион»</v>
      </c>
      <c r="H42" t="str">
        <f>Source!H86</f>
        <v>компл.</v>
      </c>
      <c r="I42">
        <f>Source!I86</f>
        <v>4</v>
      </c>
      <c r="J42">
        <v>1</v>
      </c>
      <c r="K42">
        <f>Source!AC86</f>
        <v>1024.44</v>
      </c>
      <c r="M42">
        <f>ROUND(K42*I42, 2)</f>
        <v>4097.76</v>
      </c>
      <c r="N42">
        <f>Source!AC86*IF(Source!BC86&lt;&gt; 0, Source!BC86, 1)</f>
        <v>2735.2548000000002</v>
      </c>
      <c r="O42">
        <f>ROUND(N42*I42, 2)</f>
        <v>10941.02</v>
      </c>
      <c r="P42">
        <f>Source!AE86</f>
        <v>0</v>
      </c>
      <c r="R42">
        <f>ROUND(P42*I42, 2)</f>
        <v>0</v>
      </c>
      <c r="S42">
        <f>Source!AE86*IF(Source!BS86&lt;&gt; 0, Source!BS86, 1)</f>
        <v>0</v>
      </c>
      <c r="T42">
        <f>ROUND(S42*I42, 2)</f>
        <v>0</v>
      </c>
      <c r="U42">
        <f>Source!GF86</f>
        <v>-218678575</v>
      </c>
      <c r="V42">
        <v>-2090169374</v>
      </c>
      <c r="W42">
        <v>-1105606372</v>
      </c>
    </row>
    <row r="43" spans="1:23" x14ac:dyDescent="0.2">
      <c r="A43">
        <f>Source!A88</f>
        <v>17</v>
      </c>
      <c r="C43">
        <v>5</v>
      </c>
      <c r="D43">
        <f>Source!BI88</f>
        <v>3</v>
      </c>
      <c r="E43">
        <f>Source!FS88</f>
        <v>0</v>
      </c>
      <c r="F43" t="str">
        <f>Source!F88</f>
        <v>13.1-1-54</v>
      </c>
      <c r="G43" t="str">
        <f>Source!G88</f>
        <v>Источник питания резервированный РИП-12, напряжение 12 В: Ток 3 А</v>
      </c>
      <c r="H43" t="str">
        <f>Source!H88</f>
        <v>шт.</v>
      </c>
      <c r="I43">
        <f>Source!I88</f>
        <v>3</v>
      </c>
      <c r="J43">
        <v>1</v>
      </c>
      <c r="K43">
        <f>Source!AC88</f>
        <v>667.24</v>
      </c>
      <c r="M43">
        <f>ROUND(K43*I43, 2)</f>
        <v>2001.72</v>
      </c>
      <c r="N43">
        <f>Source!AC88*IF(Source!BC88&lt;&gt; 0, Source!BC88, 1)</f>
        <v>2929.1835999999998</v>
      </c>
      <c r="O43">
        <f>ROUND(N43*I43, 2)</f>
        <v>8787.5499999999993</v>
      </c>
      <c r="P43">
        <f>Source!AE88</f>
        <v>0</v>
      </c>
      <c r="R43">
        <f>ROUND(P43*I43, 2)</f>
        <v>0</v>
      </c>
      <c r="S43">
        <f>Source!AE88*IF(Source!BS88&lt;&gt; 0, Source!BS88, 1)</f>
        <v>0</v>
      </c>
      <c r="T43">
        <f>ROUND(S43*I43, 2)</f>
        <v>0</v>
      </c>
      <c r="U43">
        <f>Source!GF88</f>
        <v>1680792693</v>
      </c>
      <c r="V43">
        <v>-527491461</v>
      </c>
      <c r="W43">
        <v>1928043858</v>
      </c>
    </row>
    <row r="44" spans="1:23" x14ac:dyDescent="0.2">
      <c r="A44">
        <f>Source!A90</f>
        <v>17</v>
      </c>
      <c r="C44">
        <v>5</v>
      </c>
      <c r="D44">
        <f>Source!BI90</f>
        <v>3</v>
      </c>
      <c r="E44">
        <f>Source!FS90</f>
        <v>0</v>
      </c>
      <c r="F44" t="str">
        <f>Source!F90</f>
        <v>13.1-3-70</v>
      </c>
      <c r="G44" t="str">
        <f>Source!G90</f>
        <v>Комплект монтажный (электромагнитный замок, доводчик двери, кнопка выхода): Состав: замок электромагнитный, со звуковой сигнализацией открытия и встроенным контроллером, номинальное напряжение питания  постоянное 12 В, потребляемая мощность не более 10 Вт, усилие удержания не менее 500 кг для тяжелых дверей и не менее 150 кг для легких дверей, масса замка не более 6 кг для тяжелых дверей и не более 1,5 кг для легких дверей; доводчик двери; габаритные размеры 293х60х47,5 мм; кнопка выхода НО 91х28 мм</v>
      </c>
      <c r="H44" t="str">
        <f>Source!H90</f>
        <v>компл.</v>
      </c>
      <c r="I44">
        <f>Source!I90</f>
        <v>7</v>
      </c>
      <c r="J44">
        <v>1</v>
      </c>
      <c r="K44">
        <f>Source!AC90</f>
        <v>3298.25</v>
      </c>
      <c r="M44">
        <f>ROUND(K44*I44, 2)</f>
        <v>23087.75</v>
      </c>
      <c r="N44">
        <f>Source!AC90*IF(Source!BC90&lt;&gt; 0, Source!BC90, 1)</f>
        <v>10257.557499999999</v>
      </c>
      <c r="O44">
        <f>ROUND(N44*I44, 2)</f>
        <v>71802.899999999994</v>
      </c>
      <c r="P44">
        <f>Source!AE90</f>
        <v>0</v>
      </c>
      <c r="R44">
        <f>ROUND(P44*I44, 2)</f>
        <v>0</v>
      </c>
      <c r="S44">
        <f>Source!AE90*IF(Source!BS90&lt;&gt; 0, Source!BS90, 1)</f>
        <v>0</v>
      </c>
      <c r="T44">
        <f>ROUND(S44*I44, 2)</f>
        <v>0</v>
      </c>
      <c r="U44">
        <f>Source!GF90</f>
        <v>-1285856882</v>
      </c>
      <c r="V44">
        <v>902282154</v>
      </c>
      <c r="W44">
        <v>1844722699</v>
      </c>
    </row>
    <row r="45" spans="1:23" x14ac:dyDescent="0.2">
      <c r="A45">
        <f>Source!A92</f>
        <v>17</v>
      </c>
      <c r="C45">
        <v>5</v>
      </c>
      <c r="D45">
        <f>Source!BI92</f>
        <v>3</v>
      </c>
      <c r="E45">
        <f>Source!FS92</f>
        <v>0</v>
      </c>
      <c r="F45" t="str">
        <f>Source!F92</f>
        <v>13.1-1-20</v>
      </c>
      <c r="G45" t="str">
        <f>Source!G92</f>
        <v>Батарея аккумуляторная, емкость 7 А•ч: Напряжение 12 В</v>
      </c>
      <c r="H45" t="str">
        <f>Source!H92</f>
        <v>шт.</v>
      </c>
      <c r="I45">
        <f>Source!I92</f>
        <v>1</v>
      </c>
      <c r="J45">
        <v>1</v>
      </c>
      <c r="K45">
        <f>Source!AC92</f>
        <v>89.39</v>
      </c>
      <c r="M45">
        <f>ROUND(K45*I45, 2)</f>
        <v>89.39</v>
      </c>
      <c r="N45">
        <f>Source!AC92*IF(Source!BC92&lt;&gt; 0, Source!BC92, 1)</f>
        <v>439.79879999999997</v>
      </c>
      <c r="O45">
        <f>ROUND(N45*I45, 2)</f>
        <v>439.8</v>
      </c>
      <c r="P45">
        <f>Source!AE92</f>
        <v>0</v>
      </c>
      <c r="R45">
        <f>ROUND(P45*I45, 2)</f>
        <v>0</v>
      </c>
      <c r="S45">
        <f>Source!AE92*IF(Source!BS92&lt;&gt; 0, Source!BS92, 1)</f>
        <v>0</v>
      </c>
      <c r="T45">
        <f>ROUND(S45*I45, 2)</f>
        <v>0</v>
      </c>
      <c r="U45">
        <f>Source!GF92</f>
        <v>-2090318031</v>
      </c>
      <c r="V45">
        <v>1987918070</v>
      </c>
      <c r="W45">
        <v>-1045490865</v>
      </c>
    </row>
    <row r="46" spans="1:23" x14ac:dyDescent="0.2">
      <c r="A46">
        <f>Source!A94</f>
        <v>17</v>
      </c>
      <c r="C46">
        <v>5</v>
      </c>
      <c r="D46">
        <f>Source!BI94</f>
        <v>3</v>
      </c>
      <c r="E46">
        <f>Source!FS94</f>
        <v>0</v>
      </c>
      <c r="F46" t="str">
        <f>Source!F94</f>
        <v>ц. пост.</v>
      </c>
      <c r="G46" t="str">
        <f>Source!G94</f>
        <v>Считыватель Proxy-5MSG</v>
      </c>
      <c r="H46" t="str">
        <f>Source!H94</f>
        <v>шт.</v>
      </c>
      <c r="I46">
        <f>Source!I94</f>
        <v>5</v>
      </c>
      <c r="J46">
        <v>1</v>
      </c>
      <c r="K46">
        <f>Source!AC94</f>
        <v>484.38</v>
      </c>
      <c r="M46">
        <f>ROUND(K46*I46, 2)</f>
        <v>2421.9</v>
      </c>
      <c r="N46">
        <f>Source!AC94*IF(Source!BC94&lt;&gt; 0, Source!BC94, 1)</f>
        <v>2126.4281999999998</v>
      </c>
      <c r="O46">
        <f>ROUND(N46*I46, 2)</f>
        <v>10632.14</v>
      </c>
      <c r="P46">
        <f>Source!AE94</f>
        <v>0</v>
      </c>
      <c r="R46">
        <f>ROUND(P46*I46, 2)</f>
        <v>0</v>
      </c>
      <c r="S46">
        <f>Source!AE94*IF(Source!BS94&lt;&gt; 0, Source!BS94, 1)</f>
        <v>0</v>
      </c>
      <c r="T46">
        <f>ROUND(S46*I46, 2)</f>
        <v>0</v>
      </c>
      <c r="U46">
        <f>Source!GF94</f>
        <v>-700267353</v>
      </c>
      <c r="V46">
        <v>-1376118014</v>
      </c>
      <c r="W46">
        <v>-174929855</v>
      </c>
    </row>
    <row r="47" spans="1:23" x14ac:dyDescent="0.2">
      <c r="A47">
        <f>Source!A96</f>
        <v>17</v>
      </c>
      <c r="C47">
        <v>5</v>
      </c>
      <c r="D47">
        <f>Source!BI96</f>
        <v>3</v>
      </c>
      <c r="E47">
        <f>Source!FS96</f>
        <v>0</v>
      </c>
      <c r="F47" t="str">
        <f>Source!F96</f>
        <v>ц. пост.</v>
      </c>
      <c r="G47" t="str">
        <f>Source!G96</f>
        <v>Вызывная панель DRC-4CHC PAL</v>
      </c>
      <c r="H47" t="str">
        <f>Source!H96</f>
        <v>шт.</v>
      </c>
      <c r="I47">
        <f>Source!I96</f>
        <v>4</v>
      </c>
      <c r="J47">
        <v>1</v>
      </c>
      <c r="K47">
        <f>Source!AC96</f>
        <v>1379.61</v>
      </c>
      <c r="M47">
        <f>ROUND(K47*I47, 2)</f>
        <v>5518.44</v>
      </c>
      <c r="N47">
        <f>Source!AC96*IF(Source!BC96&lt;&gt; 0, Source!BC96, 1)</f>
        <v>6056.4878999999992</v>
      </c>
      <c r="O47">
        <f>ROUND(N47*I47, 2)</f>
        <v>24225.95</v>
      </c>
      <c r="P47">
        <f>Source!AE96</f>
        <v>0</v>
      </c>
      <c r="R47">
        <f>ROUND(P47*I47, 2)</f>
        <v>0</v>
      </c>
      <c r="S47">
        <f>Source!AE96*IF(Source!BS96&lt;&gt; 0, Source!BS96, 1)</f>
        <v>0</v>
      </c>
      <c r="T47">
        <f>ROUND(S47*I47, 2)</f>
        <v>0</v>
      </c>
      <c r="U47">
        <f>Source!GF96</f>
        <v>-806061954</v>
      </c>
      <c r="V47">
        <v>753303550</v>
      </c>
      <c r="W47">
        <v>-308179863</v>
      </c>
    </row>
    <row r="48" spans="1:23" x14ac:dyDescent="0.2">
      <c r="A48">
        <f>Source!A98</f>
        <v>17</v>
      </c>
      <c r="C48">
        <v>5</v>
      </c>
      <c r="D48">
        <f>Source!BI98</f>
        <v>3</v>
      </c>
      <c r="E48">
        <f>Source!FS98</f>
        <v>0</v>
      </c>
      <c r="F48" t="str">
        <f>Source!F98</f>
        <v>ц. пост.</v>
      </c>
      <c r="G48" t="str">
        <f>Source!G98</f>
        <v>Видеодомофон CDV-1020AQ</v>
      </c>
      <c r="H48" t="str">
        <f>Source!H98</f>
        <v>шт.</v>
      </c>
      <c r="I48">
        <f>Source!I98</f>
        <v>1</v>
      </c>
      <c r="J48">
        <v>1</v>
      </c>
      <c r="K48">
        <f>Source!AC98</f>
        <v>7561.47</v>
      </c>
      <c r="M48">
        <f>ROUND(K48*I48, 2)</f>
        <v>7561.47</v>
      </c>
      <c r="N48">
        <f>Source!AC98*IF(Source!BC98&lt;&gt; 0, Source!BC98, 1)</f>
        <v>33194.853299999995</v>
      </c>
      <c r="O48">
        <f>ROUND(N48*I48, 2)</f>
        <v>33194.85</v>
      </c>
      <c r="P48">
        <f>Source!AE98</f>
        <v>0</v>
      </c>
      <c r="R48">
        <f>ROUND(P48*I48, 2)</f>
        <v>0</v>
      </c>
      <c r="S48">
        <f>Source!AE98*IF(Source!BS98&lt;&gt; 0, Source!BS98, 1)</f>
        <v>0</v>
      </c>
      <c r="T48">
        <f>ROUND(S48*I48, 2)</f>
        <v>0</v>
      </c>
      <c r="U48">
        <f>Source!GF98</f>
        <v>-1922234184</v>
      </c>
      <c r="V48">
        <v>-1719609673</v>
      </c>
      <c r="W48">
        <v>-935583337</v>
      </c>
    </row>
    <row r="49" spans="1:1" x14ac:dyDescent="0.2">
      <c r="A49">
        <v>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82"/>
  <sheetViews>
    <sheetView workbookViewId="0"/>
  </sheetViews>
  <sheetFormatPr defaultRowHeight="12.75" x14ac:dyDescent="0.2"/>
  <cols>
    <col min="1" max="1" width="12.7109375" customWidth="1"/>
    <col min="2" max="2" width="40.7109375" customWidth="1"/>
    <col min="3" max="6" width="12.7109375" customWidth="1"/>
    <col min="15" max="18" width="0" hidden="1" customWidth="1"/>
  </cols>
  <sheetData>
    <row r="2" spans="1:17" ht="16.5" x14ac:dyDescent="0.2">
      <c r="A2" s="87" t="s">
        <v>382</v>
      </c>
      <c r="B2" s="88"/>
      <c r="C2" s="88"/>
      <c r="D2" s="88"/>
      <c r="E2" s="88"/>
      <c r="F2" s="88"/>
    </row>
    <row r="3" spans="1:17" ht="16.5" x14ac:dyDescent="0.2">
      <c r="A3" s="87" t="str">
        <f>CONCATENATE("Объект: ",IF(Source!G158&lt;&gt;"Новый объект", Source!G158, ""))</f>
        <v>Объект: 12 СКУД</v>
      </c>
      <c r="B3" s="88"/>
      <c r="C3" s="88"/>
      <c r="D3" s="88"/>
      <c r="E3" s="88"/>
      <c r="F3" s="88"/>
    </row>
    <row r="4" spans="1:17" x14ac:dyDescent="0.2">
      <c r="A4" s="89" t="s">
        <v>383</v>
      </c>
      <c r="B4" s="89" t="s">
        <v>384</v>
      </c>
      <c r="C4" s="89" t="s">
        <v>344</v>
      </c>
      <c r="D4" s="89" t="s">
        <v>385</v>
      </c>
      <c r="E4" s="92" t="s">
        <v>386</v>
      </c>
      <c r="F4" s="93"/>
    </row>
    <row r="5" spans="1:17" x14ac:dyDescent="0.2">
      <c r="A5" s="90"/>
      <c r="B5" s="90"/>
      <c r="C5" s="90"/>
      <c r="D5" s="90"/>
      <c r="E5" s="94"/>
      <c r="F5" s="95"/>
    </row>
    <row r="6" spans="1:17" ht="14.25" x14ac:dyDescent="0.2">
      <c r="A6" s="91"/>
      <c r="B6" s="91"/>
      <c r="C6" s="91"/>
      <c r="D6" s="91"/>
      <c r="E6" s="38" t="s">
        <v>387</v>
      </c>
      <c r="F6" s="38" t="s">
        <v>388</v>
      </c>
    </row>
    <row r="7" spans="1:17" ht="14.25" x14ac:dyDescent="0.2">
      <c r="A7" s="38">
        <v>1</v>
      </c>
      <c r="B7" s="38">
        <v>2</v>
      </c>
      <c r="C7" s="38">
        <v>3</v>
      </c>
      <c r="D7" s="38">
        <v>4</v>
      </c>
      <c r="E7" s="38">
        <v>5</v>
      </c>
      <c r="F7" s="38">
        <v>6</v>
      </c>
    </row>
    <row r="8" spans="1:17" ht="16.5" x14ac:dyDescent="0.2">
      <c r="A8" s="87" t="str">
        <f>CONCATENATE("Локальная смета: ",IF(Source!G22&lt;&gt;"Новая локальная смета", Source!G22, ""))</f>
        <v>Локальная смета: Система контроля доступа</v>
      </c>
      <c r="B8" s="88"/>
      <c r="C8" s="88"/>
      <c r="D8" s="88"/>
      <c r="E8" s="88"/>
      <c r="F8" s="88"/>
    </row>
    <row r="9" spans="1:17" ht="14.25" x14ac:dyDescent="0.2">
      <c r="A9" s="96" t="s">
        <v>389</v>
      </c>
      <c r="B9" s="97"/>
      <c r="C9" s="97"/>
      <c r="D9" s="97"/>
      <c r="E9" s="97"/>
      <c r="F9" s="97"/>
    </row>
    <row r="10" spans="1:17" ht="14.25" x14ac:dyDescent="0.2">
      <c r="A10" s="98" t="s">
        <v>249</v>
      </c>
      <c r="B10" s="80" t="s">
        <v>250</v>
      </c>
      <c r="C10" s="80" t="s">
        <v>251</v>
      </c>
      <c r="D10" s="81">
        <f>ROUND(SUMIF(RV_DATA!W7:'RV_DATA'!W40, 1286141856, RV_DATA!I7:'RV_DATA'!I40), 6)</f>
        <v>183.84549999999999</v>
      </c>
      <c r="E10" s="99">
        <f>ROUND(RV_DATA!N7, 6)</f>
        <v>0</v>
      </c>
      <c r="F10" s="99">
        <f>ROUND(SUMIF(RV_DATA!W7:'RV_DATA'!W40, 1286141856, RV_DATA!O7:'RV_DATA'!O40), 6)</f>
        <v>0</v>
      </c>
      <c r="Q10">
        <v>1</v>
      </c>
    </row>
    <row r="11" spans="1:17" ht="15" x14ac:dyDescent="0.25">
      <c r="A11" s="100" t="s">
        <v>390</v>
      </c>
      <c r="B11" s="100"/>
      <c r="C11" s="100"/>
      <c r="D11" s="100"/>
      <c r="E11" s="101">
        <f>SUMIF(Q10:Q10, 1, F10:F10)</f>
        <v>0</v>
      </c>
      <c r="F11" s="100"/>
    </row>
    <row r="12" spans="1:17" ht="14.25" x14ac:dyDescent="0.2">
      <c r="A12" s="96" t="s">
        <v>391</v>
      </c>
      <c r="B12" s="97"/>
      <c r="C12" s="97"/>
      <c r="D12" s="97"/>
      <c r="E12" s="97"/>
      <c r="F12" s="97"/>
    </row>
    <row r="13" spans="1:17" ht="28.5" x14ac:dyDescent="0.2">
      <c r="A13" s="98" t="s">
        <v>252</v>
      </c>
      <c r="B13" s="80" t="s">
        <v>254</v>
      </c>
      <c r="C13" s="80" t="s">
        <v>255</v>
      </c>
      <c r="D13" s="81">
        <f>ROUND(SUMIF(RV_DATA!W7:'RV_DATA'!W40, -649282412, RV_DATA!I7:'RV_DATA'!I40), 6)</f>
        <v>2.2749999999999999</v>
      </c>
      <c r="E13" s="99">
        <f>ROUND(RV_DATA!N14, 6)</f>
        <v>37.630000000000003</v>
      </c>
      <c r="F13" s="99">
        <f>ROUND(SUMIF(RV_DATA!W7:'RV_DATA'!W40, -649282412, RV_DATA!O7:'RV_DATA'!O40), 6)</f>
        <v>85.76</v>
      </c>
      <c r="Q13">
        <v>2</v>
      </c>
    </row>
    <row r="14" spans="1:17" ht="14.25" x14ac:dyDescent="0.2">
      <c r="A14" s="98" t="s">
        <v>256</v>
      </c>
      <c r="B14" s="80" t="s">
        <v>258</v>
      </c>
      <c r="C14" s="80" t="s">
        <v>255</v>
      </c>
      <c r="D14" s="81">
        <f>ROUND(SUMIF(RV_DATA!W7:'RV_DATA'!W40, -1601543727, RV_DATA!I7:'RV_DATA'!I40), 6)</f>
        <v>0.17499999999999999</v>
      </c>
      <c r="E14" s="99">
        <f>ROUND(RV_DATA!N13, 6)</f>
        <v>5.22</v>
      </c>
      <c r="F14" s="99">
        <f>ROUND(SUMIF(RV_DATA!W7:'RV_DATA'!W40, -1601543727, RV_DATA!O7:'RV_DATA'!O40), 6)</f>
        <v>0.67</v>
      </c>
      <c r="Q14">
        <v>2</v>
      </c>
    </row>
    <row r="15" spans="1:17" ht="14.25" x14ac:dyDescent="0.2">
      <c r="A15" s="98" t="s">
        <v>259</v>
      </c>
      <c r="B15" s="80" t="s">
        <v>261</v>
      </c>
      <c r="C15" s="80" t="s">
        <v>255</v>
      </c>
      <c r="D15" s="81">
        <f>ROUND(SUMIF(RV_DATA!W7:'RV_DATA'!W40, 2105073805, RV_DATA!I7:'RV_DATA'!I40), 6)</f>
        <v>1.3125</v>
      </c>
      <c r="E15" s="99">
        <f>ROUND(RV_DATA!N12, 6)</f>
        <v>5.35</v>
      </c>
      <c r="F15" s="99">
        <f>ROUND(SUMIF(RV_DATA!W7:'RV_DATA'!W40, 2105073805, RV_DATA!O7:'RV_DATA'!O40), 6)</f>
        <v>7.32</v>
      </c>
      <c r="Q15">
        <v>2</v>
      </c>
    </row>
    <row r="16" spans="1:17" ht="14.25" x14ac:dyDescent="0.2">
      <c r="A16" s="98" t="s">
        <v>262</v>
      </c>
      <c r="B16" s="80" t="s">
        <v>264</v>
      </c>
      <c r="C16" s="80" t="s">
        <v>255</v>
      </c>
      <c r="D16" s="81">
        <f>ROUND(SUMIF(RV_DATA!W7:'RV_DATA'!W40, -1277416625, RV_DATA!I7:'RV_DATA'!I40), 6)</f>
        <v>0.96250000000000002</v>
      </c>
      <c r="E16" s="99">
        <f>ROUND(RV_DATA!N11, 6)</f>
        <v>28.23</v>
      </c>
      <c r="F16" s="99">
        <f>ROUND(SUMIF(RV_DATA!W7:'RV_DATA'!W40, -1277416625, RV_DATA!O7:'RV_DATA'!O40), 6)</f>
        <v>27.21</v>
      </c>
      <c r="Q16">
        <v>2</v>
      </c>
    </row>
    <row r="17" spans="1:17" ht="15" x14ac:dyDescent="0.25">
      <c r="A17" s="100" t="s">
        <v>392</v>
      </c>
      <c r="B17" s="100"/>
      <c r="C17" s="100"/>
      <c r="D17" s="100"/>
      <c r="E17" s="101">
        <f>SUMIF(Q13:Q16, 2, F13:F16)</f>
        <v>120.96000000000001</v>
      </c>
      <c r="F17" s="100"/>
    </row>
    <row r="18" spans="1:17" ht="14.25" x14ac:dyDescent="0.2">
      <c r="A18" s="96" t="s">
        <v>393</v>
      </c>
      <c r="B18" s="97"/>
      <c r="C18" s="97"/>
      <c r="D18" s="97"/>
      <c r="E18" s="97"/>
      <c r="F18" s="97"/>
    </row>
    <row r="19" spans="1:17" ht="28.5" x14ac:dyDescent="0.2">
      <c r="A19" s="98" t="s">
        <v>89</v>
      </c>
      <c r="B19" s="80" t="s">
        <v>90</v>
      </c>
      <c r="C19" s="80" t="s">
        <v>71</v>
      </c>
      <c r="D19" s="81">
        <f>ROUND(SUMIF(RV_DATA!W7:'RV_DATA'!W40, -120463350, RV_DATA!I7:'RV_DATA'!I40), 6)</f>
        <v>50</v>
      </c>
      <c r="E19" s="99">
        <f>ROUND(RV_DATA!N24, 6)</f>
        <v>13.468</v>
      </c>
      <c r="F19" s="99">
        <f>ROUND(SUMIF(RV_DATA!W7:'RV_DATA'!W40, -120463350, RV_DATA!O7:'RV_DATA'!O40), 6)</f>
        <v>673.4</v>
      </c>
      <c r="Q19">
        <v>3</v>
      </c>
    </row>
    <row r="20" spans="1:17" ht="28.5" x14ac:dyDescent="0.2">
      <c r="A20" s="98" t="s">
        <v>102</v>
      </c>
      <c r="B20" s="80" t="s">
        <v>103</v>
      </c>
      <c r="C20" s="80" t="s">
        <v>95</v>
      </c>
      <c r="D20" s="81">
        <f>ROUND(SUMIF(RV_DATA!W7:'RV_DATA'!W40, 1135683912, RV_DATA!I7:'RV_DATA'!I40), 6)</f>
        <v>7.0000000000000001E-3</v>
      </c>
      <c r="E20" s="99">
        <f>ROUND(RV_DATA!N27, 6)</f>
        <v>12780.2592</v>
      </c>
      <c r="F20" s="99">
        <f>ROUND(SUMIF(RV_DATA!W7:'RV_DATA'!W40, 1135683912, RV_DATA!O7:'RV_DATA'!O40), 6)</f>
        <v>89.46</v>
      </c>
      <c r="Q20">
        <v>3</v>
      </c>
    </row>
    <row r="21" spans="1:17" ht="28.5" x14ac:dyDescent="0.2">
      <c r="A21" s="98" t="s">
        <v>93</v>
      </c>
      <c r="B21" s="80" t="s">
        <v>94</v>
      </c>
      <c r="C21" s="80" t="s">
        <v>95</v>
      </c>
      <c r="D21" s="81">
        <f>ROUND(SUMIF(RV_DATA!W7:'RV_DATA'!W40, 1080349418, RV_DATA!I7:'RV_DATA'!I40), 6)</f>
        <v>0.01</v>
      </c>
      <c r="E21" s="99">
        <f>ROUND(RV_DATA!N25, 6)</f>
        <v>12699.235199999999</v>
      </c>
      <c r="F21" s="99">
        <f>ROUND(SUMIF(RV_DATA!W7:'RV_DATA'!W40, 1080349418, RV_DATA!O7:'RV_DATA'!O40), 6)</f>
        <v>126.99</v>
      </c>
      <c r="Q21">
        <v>3</v>
      </c>
    </row>
    <row r="22" spans="1:17" ht="28.5" x14ac:dyDescent="0.2">
      <c r="A22" s="98" t="s">
        <v>98</v>
      </c>
      <c r="B22" s="80" t="s">
        <v>99</v>
      </c>
      <c r="C22" s="80" t="s">
        <v>95</v>
      </c>
      <c r="D22" s="81">
        <f>ROUND(SUMIF(RV_DATA!W7:'RV_DATA'!W40, 1143559099, RV_DATA!I7:'RV_DATA'!I40), 6)</f>
        <v>3.0000000000000001E-3</v>
      </c>
      <c r="E22" s="99">
        <f>ROUND(RV_DATA!N26, 6)</f>
        <v>9805.86</v>
      </c>
      <c r="F22" s="99">
        <f>ROUND(SUMIF(RV_DATA!W7:'RV_DATA'!W40, 1143559099, RV_DATA!O7:'RV_DATA'!O40), 6)</f>
        <v>29.42</v>
      </c>
      <c r="Q22">
        <v>3</v>
      </c>
    </row>
    <row r="23" spans="1:17" ht="28.5" x14ac:dyDescent="0.2">
      <c r="A23" s="98" t="s">
        <v>265</v>
      </c>
      <c r="B23" s="80" t="s">
        <v>267</v>
      </c>
      <c r="C23" s="80" t="s">
        <v>268</v>
      </c>
      <c r="D23" s="81">
        <f>ROUND(SUMIF(RV_DATA!W7:'RV_DATA'!W40, 1761663345, RV_DATA!I7:'RV_DATA'!I40), 6)</f>
        <v>0.14000000000000001</v>
      </c>
      <c r="E23" s="99">
        <f>ROUND(RV_DATA!N10, 6)</f>
        <v>91.8</v>
      </c>
      <c r="F23" s="99">
        <f>ROUND(SUMIF(RV_DATA!W7:'RV_DATA'!W40, 1761663345, RV_DATA!O7:'RV_DATA'!O40), 6)</f>
        <v>12.77</v>
      </c>
      <c r="Q23">
        <v>3</v>
      </c>
    </row>
    <row r="24" spans="1:17" ht="57" x14ac:dyDescent="0.2">
      <c r="A24" s="98" t="s">
        <v>69</v>
      </c>
      <c r="B24" s="80" t="s">
        <v>70</v>
      </c>
      <c r="C24" s="80" t="s">
        <v>71</v>
      </c>
      <c r="D24" s="81">
        <f>ROUND(SUMIF(RV_DATA!W7:'RV_DATA'!W40, -290208468, RV_DATA!I7:'RV_DATA'!I40), 6)</f>
        <v>102</v>
      </c>
      <c r="E24" s="99">
        <f>ROUND(RV_DATA!N20, 6)</f>
        <v>34.513500000000001</v>
      </c>
      <c r="F24" s="99">
        <f>ROUND(SUMIF(RV_DATA!W7:'RV_DATA'!W40, -290208468, RV_DATA!O7:'RV_DATA'!O40), 6)</f>
        <v>3520.38</v>
      </c>
      <c r="Q24">
        <v>3</v>
      </c>
    </row>
    <row r="25" spans="1:17" ht="42.75" x14ac:dyDescent="0.2">
      <c r="A25" s="98" t="s">
        <v>78</v>
      </c>
      <c r="B25" s="80" t="s">
        <v>79</v>
      </c>
      <c r="C25" s="80" t="s">
        <v>80</v>
      </c>
      <c r="D25" s="81">
        <f>ROUND(SUMIF(RV_DATA!W7:'RV_DATA'!W40, -1203804874, RV_DATA!I7:'RV_DATA'!I40), 6)</f>
        <v>0.91</v>
      </c>
      <c r="E25" s="99">
        <f>ROUND(RV_DATA!N22, 6)</f>
        <v>214.57429999999999</v>
      </c>
      <c r="F25" s="99">
        <f>ROUND(SUMIF(RV_DATA!W7:'RV_DATA'!W40, -1203804874, RV_DATA!O7:'RV_DATA'!O40), 6)</f>
        <v>195.26</v>
      </c>
      <c r="Q25">
        <v>3</v>
      </c>
    </row>
    <row r="26" spans="1:17" ht="28.5" x14ac:dyDescent="0.2">
      <c r="A26" s="98" t="s">
        <v>74</v>
      </c>
      <c r="B26" s="80" t="s">
        <v>75</v>
      </c>
      <c r="C26" s="80" t="s">
        <v>51</v>
      </c>
      <c r="D26" s="81">
        <f>ROUND(SUMIF(RV_DATA!W7:'RV_DATA'!W40, 776779917, RV_DATA!I7:'RV_DATA'!I40), 6)</f>
        <v>5</v>
      </c>
      <c r="E26" s="99">
        <f>ROUND(RV_DATA!N21, 6)</f>
        <v>25.142399999999999</v>
      </c>
      <c r="F26" s="99">
        <f>ROUND(SUMIF(RV_DATA!W7:'RV_DATA'!W40, 776779917, RV_DATA!O7:'RV_DATA'!O40), 6)</f>
        <v>125.71</v>
      </c>
      <c r="Q26">
        <v>3</v>
      </c>
    </row>
    <row r="27" spans="1:17" ht="42.75" x14ac:dyDescent="0.2">
      <c r="A27" s="98" t="s">
        <v>106</v>
      </c>
      <c r="B27" s="80" t="s">
        <v>107</v>
      </c>
      <c r="C27" s="80" t="s">
        <v>71</v>
      </c>
      <c r="D27" s="81">
        <f>ROUND(SUMIF(RV_DATA!W7:'RV_DATA'!W40, 959745139, RV_DATA!I7:'RV_DATA'!I40), 6)</f>
        <v>0</v>
      </c>
      <c r="E27" s="99">
        <f>ROUND(RV_DATA!N28, 6)</f>
        <v>86.240799999999993</v>
      </c>
      <c r="F27" s="99">
        <f>ROUND(SUMIF(RV_DATA!W7:'RV_DATA'!W40, 959745139, RV_DATA!O7:'RV_DATA'!O40), 6)</f>
        <v>0</v>
      </c>
      <c r="Q27">
        <v>3</v>
      </c>
    </row>
    <row r="28" spans="1:17" ht="28.5" x14ac:dyDescent="0.2">
      <c r="A28" s="98" t="s">
        <v>113</v>
      </c>
      <c r="B28" s="80" t="s">
        <v>114</v>
      </c>
      <c r="C28" s="80" t="s">
        <v>71</v>
      </c>
      <c r="D28" s="81">
        <f>ROUND(SUMIF(RV_DATA!W7:'RV_DATA'!W40, -311461502, RV_DATA!I7:'RV_DATA'!I40), 6)</f>
        <v>0</v>
      </c>
      <c r="E28" s="99">
        <f>ROUND(RV_DATA!N29, 6)</f>
        <v>51.400399999999998</v>
      </c>
      <c r="F28" s="99">
        <f>ROUND(SUMIF(RV_DATA!W7:'RV_DATA'!W40, -311461502, RV_DATA!O7:'RV_DATA'!O40), 6)</f>
        <v>0</v>
      </c>
      <c r="Q28">
        <v>3</v>
      </c>
    </row>
    <row r="29" spans="1:17" ht="85.5" x14ac:dyDescent="0.2">
      <c r="A29" s="98" t="s">
        <v>138</v>
      </c>
      <c r="B29" s="80" t="s">
        <v>139</v>
      </c>
      <c r="C29" s="80" t="s">
        <v>140</v>
      </c>
      <c r="D29" s="81">
        <f>ROUND(SUMIF(RV_DATA!W7:'RV_DATA'!W40, 784183130, RV_DATA!I7:'RV_DATA'!I40), 6)</f>
        <v>0.11</v>
      </c>
      <c r="E29" s="99">
        <f>ROUND(RV_DATA!N35, 6)</f>
        <v>10654.351500000001</v>
      </c>
      <c r="F29" s="99">
        <f>ROUND(SUMIF(RV_DATA!W7:'RV_DATA'!W40, 784183130, RV_DATA!O7:'RV_DATA'!O40), 6)</f>
        <v>1171.98</v>
      </c>
      <c r="Q29">
        <v>3</v>
      </c>
    </row>
    <row r="30" spans="1:17" ht="14.25" x14ac:dyDescent="0.2">
      <c r="A30" s="98" t="s">
        <v>269</v>
      </c>
      <c r="B30" s="80" t="s">
        <v>270</v>
      </c>
      <c r="C30" s="80" t="s">
        <v>271</v>
      </c>
      <c r="D30" s="81">
        <f>ROUND(SUMIF(RV_DATA!W7:'RV_DATA'!W40, 1479202730, RV_DATA!I7:'RV_DATA'!I40), 6)</f>
        <v>4.4999999999999998E-2</v>
      </c>
      <c r="E30" s="99">
        <f>ROUND(RV_DATA!N38, 6)</f>
        <v>0</v>
      </c>
      <c r="F30" s="99">
        <f>ROUND(SUMIF(RV_DATA!W7:'RV_DATA'!W40, 1479202730, RV_DATA!O7:'RV_DATA'!O40), 6)</f>
        <v>0</v>
      </c>
      <c r="Q30">
        <v>3</v>
      </c>
    </row>
    <row r="31" spans="1:17" ht="14.25" x14ac:dyDescent="0.2">
      <c r="A31" s="98" t="s">
        <v>49</v>
      </c>
      <c r="B31" s="80" t="s">
        <v>50</v>
      </c>
      <c r="C31" s="80" t="s">
        <v>51</v>
      </c>
      <c r="D31" s="81">
        <f>ROUND(SUMIF(RV_DATA!W7:'RV_DATA'!W40, -1960723027, RV_DATA!I7:'RV_DATA'!I40), 6)</f>
        <v>7</v>
      </c>
      <c r="E31" s="99">
        <f>ROUND(RV_DATA!N17, 6)</f>
        <v>174.41839999999999</v>
      </c>
      <c r="F31" s="99">
        <f>ROUND(SUMIF(RV_DATA!W7:'RV_DATA'!W40, -1960723027, RV_DATA!O7:'RV_DATA'!O40), 6)</f>
        <v>1220.93</v>
      </c>
      <c r="Q31">
        <v>3</v>
      </c>
    </row>
    <row r="32" spans="1:17" ht="14.25" x14ac:dyDescent="0.2">
      <c r="A32" s="98" t="s">
        <v>49</v>
      </c>
      <c r="B32" s="80" t="s">
        <v>131</v>
      </c>
      <c r="C32" s="80" t="s">
        <v>132</v>
      </c>
      <c r="D32" s="81">
        <f>ROUND(SUMIF(RV_DATA!W7:'RV_DATA'!W40, -1775216362, RV_DATA!I7:'RV_DATA'!I40), 6)</f>
        <v>510</v>
      </c>
      <c r="E32" s="99">
        <f>ROUND(RV_DATA!N33, 6)</f>
        <v>66.867599999999996</v>
      </c>
      <c r="F32" s="99">
        <f>ROUND(SUMIF(RV_DATA!W7:'RV_DATA'!W40, -1775216362, RV_DATA!O7:'RV_DATA'!O40), 6)</f>
        <v>34102.480000000003</v>
      </c>
      <c r="Q32">
        <v>3</v>
      </c>
    </row>
    <row r="33" spans="1:17" ht="14.25" x14ac:dyDescent="0.2">
      <c r="A33" s="98" t="s">
        <v>49</v>
      </c>
      <c r="B33" s="80" t="s">
        <v>135</v>
      </c>
      <c r="C33" s="80" t="s">
        <v>132</v>
      </c>
      <c r="D33" s="81">
        <f>ROUND(SUMIF(RV_DATA!W7:'RV_DATA'!W40, 1287347680, RV_DATA!I7:'RV_DATA'!I40), 6)</f>
        <v>510</v>
      </c>
      <c r="E33" s="99">
        <f>ROUND(RV_DATA!N34, 6)</f>
        <v>41.819299999999998</v>
      </c>
      <c r="F33" s="99">
        <f>ROUND(SUMIF(RV_DATA!W7:'RV_DATA'!W40, 1287347680, RV_DATA!O7:'RV_DATA'!O40), 6)</f>
        <v>21327.84</v>
      </c>
      <c r="Q33">
        <v>3</v>
      </c>
    </row>
    <row r="34" spans="1:17" ht="15" x14ac:dyDescent="0.25">
      <c r="A34" s="100" t="s">
        <v>394</v>
      </c>
      <c r="B34" s="100"/>
      <c r="C34" s="100"/>
      <c r="D34" s="100"/>
      <c r="E34" s="101">
        <f>SUMIF(Q19:Q33, 3, F19:F33)</f>
        <v>62596.62000000001</v>
      </c>
      <c r="F34" s="100"/>
    </row>
    <row r="35" spans="1:17" ht="16.5" x14ac:dyDescent="0.2">
      <c r="A35" s="87" t="str">
        <f>CONCATENATE("Раздел: ",IF(Source!G83&lt;&gt;"Новый раздел", Source!G83, ""))</f>
        <v>Раздел: Оборудование</v>
      </c>
      <c r="B35" s="88"/>
      <c r="C35" s="88"/>
      <c r="D35" s="88"/>
      <c r="E35" s="88"/>
      <c r="F35" s="88"/>
    </row>
    <row r="36" spans="1:17" ht="14.25" x14ac:dyDescent="0.2">
      <c r="A36" s="96" t="s">
        <v>395</v>
      </c>
      <c r="B36" s="97"/>
      <c r="C36" s="97"/>
      <c r="D36" s="97"/>
      <c r="E36" s="97"/>
      <c r="F36" s="97"/>
    </row>
    <row r="37" spans="1:17" ht="28.5" x14ac:dyDescent="0.2">
      <c r="A37" s="98" t="s">
        <v>179</v>
      </c>
      <c r="B37" s="80" t="s">
        <v>180</v>
      </c>
      <c r="C37" s="80" t="s">
        <v>51</v>
      </c>
      <c r="D37" s="81">
        <f>ROUND(SUMIF(RV_DATA!W42:'RV_DATA'!W48, -1045490865, RV_DATA!I42:'RV_DATA'!I48), 6)</f>
        <v>1</v>
      </c>
      <c r="E37" s="99">
        <f>ROUND(RV_DATA!N45, 6)</f>
        <v>439.79880000000003</v>
      </c>
      <c r="F37" s="99">
        <f>ROUND(SUMIF(RV_DATA!W42:'RV_DATA'!W48, -1045490865, RV_DATA!O42:'RV_DATA'!O48), 6)</f>
        <v>439.8</v>
      </c>
      <c r="Q37">
        <v>5</v>
      </c>
    </row>
    <row r="38" spans="1:17" ht="28.5" x14ac:dyDescent="0.2">
      <c r="A38" s="98" t="s">
        <v>172</v>
      </c>
      <c r="B38" s="80" t="s">
        <v>173</v>
      </c>
      <c r="C38" s="80" t="s">
        <v>51</v>
      </c>
      <c r="D38" s="81">
        <f>ROUND(SUMIF(RV_DATA!W42:'RV_DATA'!W48, 1928043858, RV_DATA!I42:'RV_DATA'!I48), 6)</f>
        <v>3</v>
      </c>
      <c r="E38" s="99">
        <f>ROUND(RV_DATA!N43, 6)</f>
        <v>2929.1835999999998</v>
      </c>
      <c r="F38" s="99">
        <f>ROUND(SUMIF(RV_DATA!W42:'RV_DATA'!W48, 1928043858, RV_DATA!O42:'RV_DATA'!O48), 6)</f>
        <v>8787.5499999999993</v>
      </c>
      <c r="Q38">
        <v>5</v>
      </c>
    </row>
    <row r="39" spans="1:17" ht="99.75" x14ac:dyDescent="0.2">
      <c r="A39" s="98" t="s">
        <v>165</v>
      </c>
      <c r="B39" s="80" t="s">
        <v>166</v>
      </c>
      <c r="C39" s="80" t="s">
        <v>167</v>
      </c>
      <c r="D39" s="81">
        <f>ROUND(SUMIF(RV_DATA!W42:'RV_DATA'!W48, -1105606372, RV_DATA!I42:'RV_DATA'!I48), 6)</f>
        <v>4</v>
      </c>
      <c r="E39" s="99">
        <f>ROUND(RV_DATA!N42, 6)</f>
        <v>2735.2548000000002</v>
      </c>
      <c r="F39" s="99">
        <f>ROUND(SUMIF(RV_DATA!W42:'RV_DATA'!W48, -1105606372, RV_DATA!O42:'RV_DATA'!O48), 6)</f>
        <v>10941.02</v>
      </c>
      <c r="Q39">
        <v>5</v>
      </c>
    </row>
    <row r="40" spans="1:17" ht="228" x14ac:dyDescent="0.2">
      <c r="A40" s="98" t="s">
        <v>176</v>
      </c>
      <c r="B40" s="80" t="s">
        <v>288</v>
      </c>
      <c r="C40" s="80" t="s">
        <v>167</v>
      </c>
      <c r="D40" s="81">
        <f>ROUND(SUMIF(RV_DATA!W42:'RV_DATA'!W48, 1844722699, RV_DATA!I42:'RV_DATA'!I48), 6)</f>
        <v>7</v>
      </c>
      <c r="E40" s="99">
        <f>ROUND(RV_DATA!N44, 6)</f>
        <v>10257.557500000001</v>
      </c>
      <c r="F40" s="99">
        <f>ROUND(SUMIF(RV_DATA!W42:'RV_DATA'!W48, 1844722699, RV_DATA!O42:'RV_DATA'!O48), 6)</f>
        <v>71802.899999999994</v>
      </c>
      <c r="Q40">
        <v>5</v>
      </c>
    </row>
    <row r="41" spans="1:17" ht="14.25" x14ac:dyDescent="0.2">
      <c r="A41" s="98" t="s">
        <v>49</v>
      </c>
      <c r="B41" s="80" t="s">
        <v>183</v>
      </c>
      <c r="C41" s="80" t="s">
        <v>51</v>
      </c>
      <c r="D41" s="81">
        <f>ROUND(SUMIF(RV_DATA!W42:'RV_DATA'!W48, -174929855, RV_DATA!I42:'RV_DATA'!I48), 6)</f>
        <v>5</v>
      </c>
      <c r="E41" s="99">
        <f>ROUND(RV_DATA!N46, 6)</f>
        <v>2126.4281999999998</v>
      </c>
      <c r="F41" s="99">
        <f>ROUND(SUMIF(RV_DATA!W42:'RV_DATA'!W48, -174929855, RV_DATA!O42:'RV_DATA'!O48), 6)</f>
        <v>10632.14</v>
      </c>
      <c r="Q41">
        <v>5</v>
      </c>
    </row>
    <row r="42" spans="1:17" ht="14.25" x14ac:dyDescent="0.2">
      <c r="A42" s="98" t="s">
        <v>49</v>
      </c>
      <c r="B42" s="80" t="s">
        <v>186</v>
      </c>
      <c r="C42" s="80" t="s">
        <v>51</v>
      </c>
      <c r="D42" s="81">
        <f>ROUND(SUMIF(RV_DATA!W42:'RV_DATA'!W48, -308179863, RV_DATA!I42:'RV_DATA'!I48), 6)</f>
        <v>4</v>
      </c>
      <c r="E42" s="99">
        <f>ROUND(RV_DATA!N47, 6)</f>
        <v>6056.4879000000001</v>
      </c>
      <c r="F42" s="99">
        <f>ROUND(SUMIF(RV_DATA!W42:'RV_DATA'!W48, -308179863, RV_DATA!O42:'RV_DATA'!O48), 6)</f>
        <v>24225.95</v>
      </c>
      <c r="Q42">
        <v>5</v>
      </c>
    </row>
    <row r="43" spans="1:17" ht="14.25" x14ac:dyDescent="0.2">
      <c r="A43" s="98" t="s">
        <v>49</v>
      </c>
      <c r="B43" s="80" t="s">
        <v>189</v>
      </c>
      <c r="C43" s="80" t="s">
        <v>51</v>
      </c>
      <c r="D43" s="81">
        <f>ROUND(SUMIF(RV_DATA!W42:'RV_DATA'!W48, -935583337, RV_DATA!I42:'RV_DATA'!I48), 6)</f>
        <v>1</v>
      </c>
      <c r="E43" s="99">
        <f>ROUND(RV_DATA!N48, 6)</f>
        <v>33194.853300000002</v>
      </c>
      <c r="F43" s="99">
        <f>ROUND(SUMIF(RV_DATA!W42:'RV_DATA'!W48, -935583337, RV_DATA!O42:'RV_DATA'!O48), 6)</f>
        <v>33194.85</v>
      </c>
      <c r="Q43">
        <v>5</v>
      </c>
    </row>
    <row r="44" spans="1:17" ht="15" x14ac:dyDescent="0.25">
      <c r="A44" s="100" t="s">
        <v>396</v>
      </c>
      <c r="B44" s="100"/>
      <c r="C44" s="100"/>
      <c r="D44" s="100"/>
      <c r="E44" s="101">
        <f>SUMIF(Q37:Q43, 5, F37:F43)</f>
        <v>160024.21</v>
      </c>
      <c r="F44" s="100"/>
    </row>
    <row r="46" spans="1:17" ht="16.5" x14ac:dyDescent="0.2">
      <c r="A46" s="102" t="str">
        <f>CONCATENATE("Итого по разделу: ",IF(Source!G100&lt;&gt;"Новый раздел", Source!G100, ""))</f>
        <v>Итого по разделу: Оборудование</v>
      </c>
      <c r="B46" s="103"/>
      <c r="C46" s="103"/>
      <c r="D46" s="103"/>
      <c r="E46" s="103"/>
      <c r="F46" s="104"/>
    </row>
    <row r="47" spans="1:17" ht="14.25" hidden="1" customHeight="1" x14ac:dyDescent="0.25">
      <c r="A47" s="100" t="s">
        <v>390</v>
      </c>
      <c r="B47" s="100"/>
      <c r="C47" s="100"/>
      <c r="D47" s="100"/>
      <c r="E47" s="101">
        <f>SUMIF(Q35:Q46, 1, F35:F46)</f>
        <v>0</v>
      </c>
      <c r="F47" s="100"/>
    </row>
    <row r="48" spans="1:17" ht="14.25" hidden="1" customHeight="1" x14ac:dyDescent="0.25">
      <c r="A48" s="100" t="s">
        <v>392</v>
      </c>
      <c r="B48" s="100"/>
      <c r="C48" s="100"/>
      <c r="D48" s="100"/>
      <c r="E48" s="101">
        <f>SUMIF(Q35:Q47, 2, F35:F47)</f>
        <v>0</v>
      </c>
      <c r="F48" s="100"/>
    </row>
    <row r="49" spans="1:6" ht="14.25" hidden="1" customHeight="1" x14ac:dyDescent="0.25">
      <c r="A49" s="100" t="s">
        <v>394</v>
      </c>
      <c r="B49" s="100"/>
      <c r="C49" s="100"/>
      <c r="D49" s="100"/>
      <c r="E49" s="101">
        <f>SUMIF(Q35:Q48, 3, F35:F48)</f>
        <v>0</v>
      </c>
      <c r="F49" s="100"/>
    </row>
    <row r="50" spans="1:6" ht="14.25" hidden="1" customHeight="1" x14ac:dyDescent="0.25">
      <c r="A50" s="100" t="s">
        <v>397</v>
      </c>
      <c r="B50" s="100"/>
      <c r="C50" s="100"/>
      <c r="D50" s="100"/>
      <c r="E50" s="101">
        <f>SUMIF(Q35:Q49, 4, F35:F49)</f>
        <v>0</v>
      </c>
      <c r="F50" s="100"/>
    </row>
    <row r="51" spans="1:6" ht="15" hidden="1" x14ac:dyDescent="0.25">
      <c r="A51" s="100" t="s">
        <v>396</v>
      </c>
      <c r="B51" s="100"/>
      <c r="C51" s="100"/>
      <c r="D51" s="100"/>
      <c r="E51" s="101">
        <f>SUMIF(Q35:Q50, 5, F35:F50)</f>
        <v>160024.21</v>
      </c>
      <c r="F51" s="100"/>
    </row>
    <row r="52" spans="1:6" ht="14.25" hidden="1" customHeight="1" x14ac:dyDescent="0.25">
      <c r="A52" s="100" t="s">
        <v>398</v>
      </c>
      <c r="B52" s="100"/>
      <c r="C52" s="100"/>
      <c r="D52" s="100"/>
      <c r="E52" s="101">
        <f>SUMIF(Q35:Q51, 6, F35:F51)</f>
        <v>0</v>
      </c>
      <c r="F52" s="100"/>
    </row>
    <row r="53" spans="1:6" ht="15" x14ac:dyDescent="0.25">
      <c r="A53" s="100" t="s">
        <v>399</v>
      </c>
      <c r="B53" s="100"/>
      <c r="C53" s="100"/>
      <c r="D53" s="100"/>
      <c r="E53" s="101">
        <f>E52+E51+E50+E49</f>
        <v>160024.21</v>
      </c>
      <c r="F53" s="101"/>
    </row>
    <row r="54" spans="1:6" ht="14.25" hidden="1" customHeight="1" x14ac:dyDescent="0.25">
      <c r="A54" s="100" t="s">
        <v>238</v>
      </c>
      <c r="B54" s="100"/>
      <c r="C54" s="100"/>
      <c r="D54" s="100"/>
      <c r="E54" s="101">
        <f>(Source!P125)/1</f>
        <v>0</v>
      </c>
      <c r="F54" s="101"/>
    </row>
    <row r="55" spans="1:6" ht="14.25" hidden="1" customHeight="1" x14ac:dyDescent="0.25">
      <c r="A55" s="100" t="s">
        <v>400</v>
      </c>
      <c r="B55" s="100"/>
      <c r="C55" s="100"/>
      <c r="D55" s="100"/>
      <c r="E55" s="101">
        <f>(Source!P126)/1</f>
        <v>0</v>
      </c>
      <c r="F55" s="101"/>
    </row>
    <row r="56" spans="1:6" ht="15" x14ac:dyDescent="0.25">
      <c r="A56" s="100" t="s">
        <v>401</v>
      </c>
      <c r="B56" s="100"/>
      <c r="C56" s="100"/>
      <c r="D56" s="100"/>
      <c r="E56" s="101">
        <f>E55+E54+E53+E48+E47</f>
        <v>160024.21</v>
      </c>
      <c r="F56" s="101"/>
    </row>
    <row r="59" spans="1:6" ht="16.5" x14ac:dyDescent="0.2">
      <c r="A59" s="102" t="str">
        <f>CONCATENATE("Итого по локальной смете:",IF(Source!G129&lt;&gt;"Новая локальная смета", Source!G129, ""))</f>
        <v>Итого по локальной смете:Система контроля доступа</v>
      </c>
      <c r="B59" s="103"/>
      <c r="C59" s="103"/>
      <c r="D59" s="103"/>
      <c r="E59" s="103"/>
      <c r="F59" s="104"/>
    </row>
    <row r="60" spans="1:6" ht="14.25" hidden="1" customHeight="1" x14ac:dyDescent="0.25">
      <c r="A60" s="100" t="s">
        <v>390</v>
      </c>
      <c r="B60" s="100"/>
      <c r="C60" s="100"/>
      <c r="D60" s="100"/>
      <c r="E60" s="101">
        <f>SUMIF(Q1:Q59, 1, F1:F59)</f>
        <v>0</v>
      </c>
      <c r="F60" s="100"/>
    </row>
    <row r="61" spans="1:6" ht="15" x14ac:dyDescent="0.25">
      <c r="A61" s="100" t="s">
        <v>392</v>
      </c>
      <c r="B61" s="100"/>
      <c r="C61" s="100"/>
      <c r="D61" s="100"/>
      <c r="E61" s="101">
        <f>SUMIF(Q1:Q60, 2, F1:F60)</f>
        <v>120.96000000000001</v>
      </c>
      <c r="F61" s="100"/>
    </row>
    <row r="62" spans="1:6" ht="15" hidden="1" x14ac:dyDescent="0.25">
      <c r="A62" s="100" t="s">
        <v>394</v>
      </c>
      <c r="B62" s="100"/>
      <c r="C62" s="100"/>
      <c r="D62" s="100"/>
      <c r="E62" s="101">
        <f>SUMIF(Q1:Q61, 3, F1:F61)</f>
        <v>62596.62000000001</v>
      </c>
      <c r="F62" s="100"/>
    </row>
    <row r="63" spans="1:6" ht="14.25" hidden="1" customHeight="1" x14ac:dyDescent="0.25">
      <c r="A63" s="100" t="s">
        <v>397</v>
      </c>
      <c r="B63" s="100"/>
      <c r="C63" s="100"/>
      <c r="D63" s="100"/>
      <c r="E63" s="101">
        <f>SUMIF(Q1:Q62, 4, F1:F62)</f>
        <v>0</v>
      </c>
      <c r="F63" s="100"/>
    </row>
    <row r="64" spans="1:6" ht="15" hidden="1" x14ac:dyDescent="0.25">
      <c r="A64" s="100" t="s">
        <v>396</v>
      </c>
      <c r="B64" s="100"/>
      <c r="C64" s="100"/>
      <c r="D64" s="100"/>
      <c r="E64" s="101">
        <f>SUMIF(Q1:Q63, 5, F1:F63)</f>
        <v>160024.21</v>
      </c>
      <c r="F64" s="100"/>
    </row>
    <row r="65" spans="1:6" ht="14.25" hidden="1" customHeight="1" x14ac:dyDescent="0.25">
      <c r="A65" s="100" t="s">
        <v>398</v>
      </c>
      <c r="B65" s="100"/>
      <c r="C65" s="100"/>
      <c r="D65" s="100"/>
      <c r="E65" s="101">
        <f>SUMIF(Q1:Q64, 6, F1:F64)</f>
        <v>0</v>
      </c>
      <c r="F65" s="100"/>
    </row>
    <row r="66" spans="1:6" ht="15" x14ac:dyDescent="0.25">
      <c r="A66" s="100" t="s">
        <v>399</v>
      </c>
      <c r="B66" s="100"/>
      <c r="C66" s="100"/>
      <c r="D66" s="100"/>
      <c r="E66" s="101">
        <f>E65+E64+E63+E62</f>
        <v>222620.83000000002</v>
      </c>
      <c r="F66" s="101"/>
    </row>
    <row r="67" spans="1:6" ht="15" x14ac:dyDescent="0.25">
      <c r="A67" s="100" t="s">
        <v>238</v>
      </c>
      <c r="B67" s="100"/>
      <c r="C67" s="100"/>
      <c r="D67" s="100"/>
      <c r="E67" s="101">
        <f>(Source!P154)/1</f>
        <v>41740.36</v>
      </c>
      <c r="F67" s="101"/>
    </row>
    <row r="68" spans="1:6" ht="15" x14ac:dyDescent="0.25">
      <c r="A68" s="100" t="s">
        <v>400</v>
      </c>
      <c r="B68" s="100"/>
      <c r="C68" s="100"/>
      <c r="D68" s="100"/>
      <c r="E68" s="101">
        <f>(Source!P155)/1</f>
        <v>22820.23</v>
      </c>
      <c r="F68" s="101"/>
    </row>
    <row r="69" spans="1:6" ht="15" x14ac:dyDescent="0.25">
      <c r="A69" s="100" t="s">
        <v>401</v>
      </c>
      <c r="B69" s="100"/>
      <c r="C69" s="100"/>
      <c r="D69" s="100"/>
      <c r="E69" s="101">
        <f>E68+E67+E66+E61+E60</f>
        <v>287302.38000000006</v>
      </c>
      <c r="F69" s="101"/>
    </row>
    <row r="72" spans="1:6" ht="16.5" x14ac:dyDescent="0.2">
      <c r="A72" s="102" t="str">
        <f>CONCATENATE("Итого по объекту: ",IF(Source!G158&lt;&gt;"Новый объект", Source!G158, ""))</f>
        <v>Итого по объекту: 12 СКУД</v>
      </c>
      <c r="B72" s="103"/>
      <c r="C72" s="103"/>
      <c r="D72" s="103"/>
      <c r="E72" s="103"/>
      <c r="F72" s="104"/>
    </row>
    <row r="73" spans="1:6" ht="14.25" hidden="1" customHeight="1" x14ac:dyDescent="0.25">
      <c r="A73" s="100" t="s">
        <v>390</v>
      </c>
      <c r="B73" s="100"/>
      <c r="C73" s="100"/>
      <c r="D73" s="100"/>
      <c r="E73" s="101">
        <f>SUMIF(Q1:Q72, 1, F1:F72)</f>
        <v>0</v>
      </c>
      <c r="F73" s="100"/>
    </row>
    <row r="74" spans="1:6" ht="15" x14ac:dyDescent="0.25">
      <c r="A74" s="100" t="s">
        <v>392</v>
      </c>
      <c r="B74" s="100"/>
      <c r="C74" s="100"/>
      <c r="D74" s="100"/>
      <c r="E74" s="101">
        <f>SUMIF(Q1:Q73, 2, F1:F73)</f>
        <v>120.96000000000001</v>
      </c>
      <c r="F74" s="100"/>
    </row>
    <row r="75" spans="1:6" ht="15" hidden="1" x14ac:dyDescent="0.25">
      <c r="A75" s="100" t="s">
        <v>394</v>
      </c>
      <c r="B75" s="100"/>
      <c r="C75" s="100"/>
      <c r="D75" s="100"/>
      <c r="E75" s="101">
        <f>SUMIF(Q1:Q74, 3, F1:F74)</f>
        <v>62596.62000000001</v>
      </c>
      <c r="F75" s="100"/>
    </row>
    <row r="76" spans="1:6" ht="14.25" hidden="1" customHeight="1" x14ac:dyDescent="0.25">
      <c r="A76" s="100" t="s">
        <v>397</v>
      </c>
      <c r="B76" s="100"/>
      <c r="C76" s="100"/>
      <c r="D76" s="100"/>
      <c r="E76" s="101">
        <f>SUMIF(Q1:Q75, 4, F1:F75)</f>
        <v>0</v>
      </c>
      <c r="F76" s="100"/>
    </row>
    <row r="77" spans="1:6" ht="15" hidden="1" x14ac:dyDescent="0.25">
      <c r="A77" s="100" t="s">
        <v>396</v>
      </c>
      <c r="B77" s="100"/>
      <c r="C77" s="100"/>
      <c r="D77" s="100"/>
      <c r="E77" s="101">
        <f>SUMIF(Q1:Q76, 5, F1:F76)</f>
        <v>160024.21</v>
      </c>
      <c r="F77" s="100"/>
    </row>
    <row r="78" spans="1:6" ht="14.25" hidden="1" customHeight="1" x14ac:dyDescent="0.25">
      <c r="A78" s="100" t="s">
        <v>398</v>
      </c>
      <c r="B78" s="100"/>
      <c r="C78" s="100"/>
      <c r="D78" s="100"/>
      <c r="E78" s="101">
        <f>SUMIF(Q1:Q77, 6, F1:F77)</f>
        <v>0</v>
      </c>
      <c r="F78" s="100"/>
    </row>
    <row r="79" spans="1:6" ht="15" x14ac:dyDescent="0.25">
      <c r="A79" s="100" t="s">
        <v>399</v>
      </c>
      <c r="B79" s="100"/>
      <c r="C79" s="100"/>
      <c r="D79" s="100"/>
      <c r="E79" s="101">
        <f>E78+E77+E76+E75</f>
        <v>222620.83000000002</v>
      </c>
      <c r="F79" s="101"/>
    </row>
    <row r="80" spans="1:6" ht="15" x14ac:dyDescent="0.25">
      <c r="A80" s="100" t="s">
        <v>238</v>
      </c>
      <c r="B80" s="100"/>
      <c r="C80" s="100"/>
      <c r="D80" s="100"/>
      <c r="E80" s="101">
        <f>(Source!P183)/1</f>
        <v>41740.36</v>
      </c>
      <c r="F80" s="101"/>
    </row>
    <row r="81" spans="1:6" ht="15" x14ac:dyDescent="0.25">
      <c r="A81" s="100" t="s">
        <v>400</v>
      </c>
      <c r="B81" s="100"/>
      <c r="C81" s="100"/>
      <c r="D81" s="100"/>
      <c r="E81" s="101">
        <f>(Source!P184)/1</f>
        <v>22820.23</v>
      </c>
      <c r="F81" s="101"/>
    </row>
    <row r="82" spans="1:6" ht="15" x14ac:dyDescent="0.25">
      <c r="A82" s="100" t="s">
        <v>401</v>
      </c>
      <c r="B82" s="100"/>
      <c r="C82" s="100"/>
      <c r="D82" s="100"/>
      <c r="E82" s="101">
        <f>E81+E80+E79+E74+E73</f>
        <v>287302.38000000006</v>
      </c>
      <c r="F82" s="101"/>
    </row>
  </sheetData>
  <sortState ref="A37:R43">
    <sortCondition ref="A37"/>
  </sortState>
  <mergeCells count="84">
    <mergeCell ref="A80:D80"/>
    <mergeCell ref="E80:F80"/>
    <mergeCell ref="A81:D81"/>
    <mergeCell ref="E81:F81"/>
    <mergeCell ref="A82:D82"/>
    <mergeCell ref="E82:F82"/>
    <mergeCell ref="A77:D77"/>
    <mergeCell ref="E77:F77"/>
    <mergeCell ref="A78:D78"/>
    <mergeCell ref="E78:F78"/>
    <mergeCell ref="A79:D79"/>
    <mergeCell ref="E79:F79"/>
    <mergeCell ref="A74:D74"/>
    <mergeCell ref="E74:F74"/>
    <mergeCell ref="A75:D75"/>
    <mergeCell ref="E75:F75"/>
    <mergeCell ref="A76:D76"/>
    <mergeCell ref="E76:F76"/>
    <mergeCell ref="A68:D68"/>
    <mergeCell ref="E68:F68"/>
    <mergeCell ref="A69:D69"/>
    <mergeCell ref="E69:F69"/>
    <mergeCell ref="A72:F72"/>
    <mergeCell ref="A73:D73"/>
    <mergeCell ref="E73:F73"/>
    <mergeCell ref="A65:D65"/>
    <mergeCell ref="E65:F65"/>
    <mergeCell ref="A66:D66"/>
    <mergeCell ref="E66:F66"/>
    <mergeCell ref="A67:D67"/>
    <mergeCell ref="E67:F67"/>
    <mergeCell ref="A62:D62"/>
    <mergeCell ref="E62:F62"/>
    <mergeCell ref="A63:D63"/>
    <mergeCell ref="E63:F63"/>
    <mergeCell ref="A64:D64"/>
    <mergeCell ref="E64:F64"/>
    <mergeCell ref="A56:D56"/>
    <mergeCell ref="E56:F56"/>
    <mergeCell ref="A59:F59"/>
    <mergeCell ref="A60:D60"/>
    <mergeCell ref="E60:F60"/>
    <mergeCell ref="A61:D61"/>
    <mergeCell ref="E61:F61"/>
    <mergeCell ref="A53:D53"/>
    <mergeCell ref="E53:F53"/>
    <mergeCell ref="A54:D54"/>
    <mergeCell ref="E54:F54"/>
    <mergeCell ref="A55:D55"/>
    <mergeCell ref="E55:F55"/>
    <mergeCell ref="A50:D50"/>
    <mergeCell ref="E50:F50"/>
    <mergeCell ref="A51:D51"/>
    <mergeCell ref="E51:F51"/>
    <mergeCell ref="A52:D52"/>
    <mergeCell ref="E52:F52"/>
    <mergeCell ref="A46:F46"/>
    <mergeCell ref="A47:D47"/>
    <mergeCell ref="E47:F47"/>
    <mergeCell ref="A48:D48"/>
    <mergeCell ref="E48:F48"/>
    <mergeCell ref="A49:D49"/>
    <mergeCell ref="E49:F49"/>
    <mergeCell ref="A18:F18"/>
    <mergeCell ref="A34:D34"/>
    <mergeCell ref="E34:F34"/>
    <mergeCell ref="A35:F35"/>
    <mergeCell ref="A36:F36"/>
    <mergeCell ref="A44:D44"/>
    <mergeCell ref="E44:F44"/>
    <mergeCell ref="A8:F8"/>
    <mergeCell ref="A9:F9"/>
    <mergeCell ref="A11:D11"/>
    <mergeCell ref="E11:F11"/>
    <mergeCell ref="A12:F12"/>
    <mergeCell ref="A17:D17"/>
    <mergeCell ref="E17:F17"/>
    <mergeCell ref="A2:F2"/>
    <mergeCell ref="A3:F3"/>
    <mergeCell ref="A4:A6"/>
    <mergeCell ref="B4:B6"/>
    <mergeCell ref="C4:C6"/>
    <mergeCell ref="D4:D6"/>
    <mergeCell ref="E4:F5"/>
  </mergeCells>
  <pageMargins left="0.6" right="0.4" top="0.65" bottom="0.4" header="0.4" footer="0.4"/>
  <pageSetup paperSize="9" scale="90" fitToHeight="0" orientation="portrait" horizontalDpi="4294967295" verticalDpi="4294967295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7"/>
  <sheetViews>
    <sheetView workbookViewId="0">
      <selection activeCell="A193" sqref="A193:O19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  <c r="N1">
        <v>10</v>
      </c>
      <c r="O1">
        <v>1</v>
      </c>
      <c r="P1">
        <v>0</v>
      </c>
      <c r="Q1">
        <v>11</v>
      </c>
    </row>
    <row r="12" spans="1:133" x14ac:dyDescent="0.2">
      <c r="A12" s="1">
        <v>1</v>
      </c>
      <c r="B12" s="1">
        <v>190</v>
      </c>
      <c r="C12" s="1">
        <v>0</v>
      </c>
      <c r="D12" s="1">
        <f>ROW(A158)</f>
        <v>158</v>
      </c>
      <c r="E12" s="1">
        <v>0</v>
      </c>
      <c r="F12" s="1" t="s">
        <v>4</v>
      </c>
      <c r="G12" s="1" t="s">
        <v>4</v>
      </c>
      <c r="H12" s="1" t="s">
        <v>3</v>
      </c>
      <c r="I12" s="1">
        <v>0</v>
      </c>
      <c r="J12" s="1" t="s">
        <v>5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180</v>
      </c>
      <c r="S12" s="1">
        <v>157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52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B158</f>
        <v>190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12 СКУД</v>
      </c>
      <c r="G18" s="3" t="str">
        <f t="shared" si="0"/>
        <v>12 СКУД</v>
      </c>
      <c r="H18" s="3"/>
      <c r="I18" s="3"/>
      <c r="J18" s="3"/>
      <c r="K18" s="3"/>
      <c r="L18" s="3"/>
      <c r="M18" s="3"/>
      <c r="N18" s="3"/>
      <c r="O18" s="3">
        <f t="shared" ref="O18:AT18" si="1">O158</f>
        <v>50118.16</v>
      </c>
      <c r="P18" s="3">
        <f t="shared" si="1"/>
        <v>45112.6</v>
      </c>
      <c r="Q18" s="3">
        <f t="shared" si="1"/>
        <v>2439.44</v>
      </c>
      <c r="R18" s="3">
        <f t="shared" si="1"/>
        <v>517.96</v>
      </c>
      <c r="S18" s="3">
        <f t="shared" si="1"/>
        <v>2566.12</v>
      </c>
      <c r="T18" s="3">
        <f t="shared" si="1"/>
        <v>0</v>
      </c>
      <c r="U18" s="3">
        <f t="shared" si="1"/>
        <v>183.84550000000002</v>
      </c>
      <c r="V18" s="3">
        <f t="shared" si="1"/>
        <v>0</v>
      </c>
      <c r="W18" s="3">
        <f t="shared" si="1"/>
        <v>0</v>
      </c>
      <c r="X18" s="3">
        <f t="shared" si="1"/>
        <v>0</v>
      </c>
      <c r="Y18" s="3">
        <f t="shared" si="1"/>
        <v>0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31380.37</v>
      </c>
      <c r="AQ18" s="3">
        <f t="shared" si="1"/>
        <v>0</v>
      </c>
      <c r="AR18" s="3">
        <f t="shared" si="1"/>
        <v>50118.16</v>
      </c>
      <c r="AS18" s="3">
        <f t="shared" si="1"/>
        <v>140.06</v>
      </c>
      <c r="AT18" s="3">
        <f t="shared" si="1"/>
        <v>18078.689999999999</v>
      </c>
      <c r="AU18" s="3">
        <f t="shared" ref="AU18:BZ18" si="2">AU158</f>
        <v>519.04</v>
      </c>
      <c r="AV18" s="3">
        <f t="shared" si="2"/>
        <v>45112.6</v>
      </c>
      <c r="AW18" s="3">
        <f t="shared" si="2"/>
        <v>13732.23</v>
      </c>
      <c r="AX18" s="3">
        <f t="shared" si="2"/>
        <v>0</v>
      </c>
      <c r="AY18" s="3">
        <f t="shared" si="2"/>
        <v>13732.23</v>
      </c>
      <c r="AZ18" s="3">
        <f t="shared" si="2"/>
        <v>31380.37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CA158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DG158</f>
        <v>307001.87</v>
      </c>
      <c r="DH18" s="4">
        <f t="shared" si="4"/>
        <v>230016.06</v>
      </c>
      <c r="DI18" s="4">
        <f t="shared" si="4"/>
        <v>21326.73</v>
      </c>
      <c r="DJ18" s="4">
        <f t="shared" si="4"/>
        <v>11234.55</v>
      </c>
      <c r="DK18" s="4">
        <f t="shared" si="4"/>
        <v>55659.08</v>
      </c>
      <c r="DL18" s="4">
        <f t="shared" si="4"/>
        <v>0</v>
      </c>
      <c r="DM18" s="4">
        <f t="shared" si="4"/>
        <v>183.84550000000002</v>
      </c>
      <c r="DN18" s="4">
        <f t="shared" si="4"/>
        <v>0</v>
      </c>
      <c r="DO18" s="4">
        <f t="shared" si="4"/>
        <v>0</v>
      </c>
      <c r="DP18" s="4">
        <f t="shared" si="4"/>
        <v>41740.36</v>
      </c>
      <c r="DQ18" s="4">
        <f t="shared" si="4"/>
        <v>22820.23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160024.21</v>
      </c>
      <c r="EI18" s="4">
        <f t="shared" si="4"/>
        <v>0</v>
      </c>
      <c r="EJ18" s="4">
        <f t="shared" si="4"/>
        <v>389200.72</v>
      </c>
      <c r="EK18" s="4">
        <f t="shared" si="4"/>
        <v>5720.34</v>
      </c>
      <c r="EL18" s="4">
        <f t="shared" si="4"/>
        <v>199926.99</v>
      </c>
      <c r="EM18" s="4">
        <f t="shared" ref="EM18:FR18" si="5">EM158</f>
        <v>23529.18</v>
      </c>
      <c r="EN18" s="4">
        <f t="shared" si="5"/>
        <v>230016.06</v>
      </c>
      <c r="EO18" s="4">
        <f t="shared" si="5"/>
        <v>69991.850000000006</v>
      </c>
      <c r="EP18" s="4">
        <f t="shared" si="5"/>
        <v>0</v>
      </c>
      <c r="EQ18" s="4">
        <f t="shared" si="5"/>
        <v>69991.850000000006</v>
      </c>
      <c r="ER18" s="4">
        <f t="shared" si="5"/>
        <v>160024.21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FS158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ROW(A129)</f>
        <v>129</v>
      </c>
      <c r="E20" s="1"/>
      <c r="F20" s="1" t="s">
        <v>12</v>
      </c>
      <c r="G20" s="1" t="s">
        <v>13</v>
      </c>
      <c r="H20" s="1" t="s">
        <v>3</v>
      </c>
      <c r="I20" s="1">
        <v>0</v>
      </c>
      <c r="J20" s="1" t="s">
        <v>3</v>
      </c>
      <c r="K20" s="1">
        <v>-1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7">B129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02-01-12</v>
      </c>
      <c r="G22" s="3" t="str">
        <f t="shared" si="7"/>
        <v>Система контроля доступа</v>
      </c>
      <c r="H22" s="3"/>
      <c r="I22" s="3"/>
      <c r="J22" s="3"/>
      <c r="K22" s="3"/>
      <c r="L22" s="3"/>
      <c r="M22" s="3"/>
      <c r="N22" s="3"/>
      <c r="O22" s="3">
        <f t="shared" ref="O22:AT22" si="8">O129</f>
        <v>50118.16</v>
      </c>
      <c r="P22" s="3">
        <f t="shared" si="8"/>
        <v>45112.6</v>
      </c>
      <c r="Q22" s="3">
        <f t="shared" si="8"/>
        <v>2439.44</v>
      </c>
      <c r="R22" s="3">
        <f t="shared" si="8"/>
        <v>517.96</v>
      </c>
      <c r="S22" s="3">
        <f t="shared" si="8"/>
        <v>2566.12</v>
      </c>
      <c r="T22" s="3">
        <f t="shared" si="8"/>
        <v>0</v>
      </c>
      <c r="U22" s="3">
        <f t="shared" si="8"/>
        <v>183.84550000000002</v>
      </c>
      <c r="V22" s="3">
        <f t="shared" si="8"/>
        <v>0</v>
      </c>
      <c r="W22" s="3">
        <f t="shared" si="8"/>
        <v>0</v>
      </c>
      <c r="X22" s="3">
        <f t="shared" si="8"/>
        <v>0</v>
      </c>
      <c r="Y22" s="3">
        <f t="shared" si="8"/>
        <v>0</v>
      </c>
      <c r="Z22" s="3">
        <f t="shared" si="8"/>
        <v>0</v>
      </c>
      <c r="AA22" s="3">
        <f t="shared" si="8"/>
        <v>0</v>
      </c>
      <c r="AB22" s="3">
        <f t="shared" si="8"/>
        <v>18737.79</v>
      </c>
      <c r="AC22" s="3">
        <f t="shared" si="8"/>
        <v>13732.23</v>
      </c>
      <c r="AD22" s="3">
        <f t="shared" si="8"/>
        <v>2439.44</v>
      </c>
      <c r="AE22" s="3">
        <f t="shared" si="8"/>
        <v>517.96</v>
      </c>
      <c r="AF22" s="3">
        <f t="shared" si="8"/>
        <v>2566.12</v>
      </c>
      <c r="AG22" s="3">
        <f t="shared" si="8"/>
        <v>0</v>
      </c>
      <c r="AH22" s="3">
        <f t="shared" si="8"/>
        <v>183.84550000000002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31380.37</v>
      </c>
      <c r="AQ22" s="3">
        <f t="shared" si="8"/>
        <v>0</v>
      </c>
      <c r="AR22" s="3">
        <f t="shared" si="8"/>
        <v>50118.16</v>
      </c>
      <c r="AS22" s="3">
        <f t="shared" si="8"/>
        <v>140.06</v>
      </c>
      <c r="AT22" s="3">
        <f t="shared" si="8"/>
        <v>18078.689999999999</v>
      </c>
      <c r="AU22" s="3">
        <f t="shared" ref="AU22:BZ22" si="9">AU129</f>
        <v>519.04</v>
      </c>
      <c r="AV22" s="3">
        <f t="shared" si="9"/>
        <v>45112.6</v>
      </c>
      <c r="AW22" s="3">
        <f t="shared" si="9"/>
        <v>13732.23</v>
      </c>
      <c r="AX22" s="3">
        <f t="shared" si="9"/>
        <v>0</v>
      </c>
      <c r="AY22" s="3">
        <f t="shared" si="9"/>
        <v>13732.23</v>
      </c>
      <c r="AZ22" s="3">
        <f t="shared" si="9"/>
        <v>31380.37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CA129</f>
        <v>18737.79</v>
      </c>
      <c r="CB22" s="3">
        <f t="shared" si="10"/>
        <v>140.06</v>
      </c>
      <c r="CC22" s="3">
        <f t="shared" si="10"/>
        <v>18078.689999999999</v>
      </c>
      <c r="CD22" s="3">
        <f t="shared" si="10"/>
        <v>519.04</v>
      </c>
      <c r="CE22" s="3">
        <f t="shared" si="10"/>
        <v>13732.23</v>
      </c>
      <c r="CF22" s="3">
        <f t="shared" si="10"/>
        <v>13732.23</v>
      </c>
      <c r="CG22" s="3">
        <f t="shared" si="10"/>
        <v>0</v>
      </c>
      <c r="CH22" s="3">
        <f t="shared" si="10"/>
        <v>13732.23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DG129</f>
        <v>307001.87</v>
      </c>
      <c r="DH22" s="4">
        <f t="shared" si="11"/>
        <v>230016.06</v>
      </c>
      <c r="DI22" s="4">
        <f t="shared" si="11"/>
        <v>21326.73</v>
      </c>
      <c r="DJ22" s="4">
        <f t="shared" si="11"/>
        <v>11234.55</v>
      </c>
      <c r="DK22" s="4">
        <f t="shared" si="11"/>
        <v>55659.08</v>
      </c>
      <c r="DL22" s="4">
        <f t="shared" si="11"/>
        <v>0</v>
      </c>
      <c r="DM22" s="4">
        <f t="shared" si="11"/>
        <v>183.84550000000002</v>
      </c>
      <c r="DN22" s="4">
        <f t="shared" si="11"/>
        <v>0</v>
      </c>
      <c r="DO22" s="4">
        <f t="shared" si="11"/>
        <v>0</v>
      </c>
      <c r="DP22" s="4">
        <f t="shared" si="11"/>
        <v>41740.36</v>
      </c>
      <c r="DQ22" s="4">
        <f t="shared" si="11"/>
        <v>22820.23</v>
      </c>
      <c r="DR22" s="4">
        <f t="shared" si="11"/>
        <v>0</v>
      </c>
      <c r="DS22" s="4">
        <f t="shared" si="11"/>
        <v>0</v>
      </c>
      <c r="DT22" s="4">
        <f t="shared" si="11"/>
        <v>146977.66</v>
      </c>
      <c r="DU22" s="4">
        <f t="shared" si="11"/>
        <v>69991.850000000006</v>
      </c>
      <c r="DV22" s="4">
        <f t="shared" si="11"/>
        <v>21326.73</v>
      </c>
      <c r="DW22" s="4">
        <f t="shared" si="11"/>
        <v>11234.55</v>
      </c>
      <c r="DX22" s="4">
        <f t="shared" si="11"/>
        <v>55659.08</v>
      </c>
      <c r="DY22" s="4">
        <f t="shared" si="11"/>
        <v>0</v>
      </c>
      <c r="DZ22" s="4">
        <f t="shared" si="11"/>
        <v>183.84550000000002</v>
      </c>
      <c r="EA22" s="4">
        <f t="shared" si="11"/>
        <v>0</v>
      </c>
      <c r="EB22" s="4">
        <f t="shared" si="11"/>
        <v>0</v>
      </c>
      <c r="EC22" s="4">
        <f t="shared" si="11"/>
        <v>41740.36</v>
      </c>
      <c r="ED22" s="4">
        <f t="shared" si="11"/>
        <v>22820.23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160024.21</v>
      </c>
      <c r="EI22" s="4">
        <f t="shared" si="11"/>
        <v>0</v>
      </c>
      <c r="EJ22" s="4">
        <f t="shared" si="11"/>
        <v>389200.72</v>
      </c>
      <c r="EK22" s="4">
        <f t="shared" si="11"/>
        <v>5720.34</v>
      </c>
      <c r="EL22" s="4">
        <f t="shared" si="11"/>
        <v>199926.99</v>
      </c>
      <c r="EM22" s="4">
        <f t="shared" ref="EM22:FR22" si="12">EM129</f>
        <v>23529.18</v>
      </c>
      <c r="EN22" s="4">
        <f t="shared" si="12"/>
        <v>230016.06</v>
      </c>
      <c r="EO22" s="4">
        <f t="shared" si="12"/>
        <v>69991.850000000006</v>
      </c>
      <c r="EP22" s="4">
        <f t="shared" si="12"/>
        <v>0</v>
      </c>
      <c r="EQ22" s="4">
        <f t="shared" si="12"/>
        <v>69991.850000000006</v>
      </c>
      <c r="ER22" s="4">
        <f t="shared" si="12"/>
        <v>160024.21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FS129</f>
        <v>229176.51</v>
      </c>
      <c r="FT22" s="4">
        <f t="shared" si="13"/>
        <v>5720.34</v>
      </c>
      <c r="FU22" s="4">
        <f t="shared" si="13"/>
        <v>199926.99</v>
      </c>
      <c r="FV22" s="4">
        <f t="shared" si="13"/>
        <v>23529.18</v>
      </c>
      <c r="FW22" s="4">
        <f t="shared" si="13"/>
        <v>69991.850000000006</v>
      </c>
      <c r="FX22" s="4">
        <f t="shared" si="13"/>
        <v>69991.850000000006</v>
      </c>
      <c r="FY22" s="4">
        <f t="shared" si="13"/>
        <v>0</v>
      </c>
      <c r="FZ22" s="4">
        <f t="shared" si="13"/>
        <v>69991.850000000006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ROW(SmtRes!A1)</f>
        <v>1</v>
      </c>
      <c r="D24" s="2">
        <f>ROW(EtalonRes!A1)</f>
        <v>1</v>
      </c>
      <c r="E24" s="2" t="s">
        <v>14</v>
      </c>
      <c r="F24" s="2" t="s">
        <v>15</v>
      </c>
      <c r="G24" s="2" t="s">
        <v>16</v>
      </c>
      <c r="H24" s="2" t="s">
        <v>17</v>
      </c>
      <c r="I24" s="2">
        <f>ROUND(4/10,9)</f>
        <v>0.4</v>
      </c>
      <c r="J24" s="2">
        <v>0</v>
      </c>
      <c r="K24" s="2"/>
      <c r="L24" s="2"/>
      <c r="M24" s="2"/>
      <c r="N24" s="2"/>
      <c r="O24" s="2">
        <f t="shared" ref="O24:O55" si="14">ROUND(CP24,2)</f>
        <v>189.32</v>
      </c>
      <c r="P24" s="2">
        <f t="shared" ref="P24:P55" si="15">ROUND(CQ24*I24,2)</f>
        <v>0.49</v>
      </c>
      <c r="Q24" s="2">
        <f t="shared" ref="Q24:Q55" si="16">ROUND(CR24*I24,2)</f>
        <v>0.44</v>
      </c>
      <c r="R24" s="2">
        <f t="shared" ref="R24:R55" si="17">ROUND(CS24*I24,2)</f>
        <v>0.08</v>
      </c>
      <c r="S24" s="2">
        <f t="shared" ref="S24:S55" si="18">ROUND(CT24*I24,2)</f>
        <v>188.39</v>
      </c>
      <c r="T24" s="2">
        <f t="shared" ref="T24:T55" si="19">ROUND(CU24*I24,2)</f>
        <v>0</v>
      </c>
      <c r="U24" s="2">
        <f t="shared" ref="U24:U55" si="20">CV24*I24</f>
        <v>11.984000000000002</v>
      </c>
      <c r="V24" s="2">
        <f t="shared" ref="V24:V55" si="21">CW24*I24</f>
        <v>0</v>
      </c>
      <c r="W24" s="2">
        <f t="shared" ref="W24:W55" si="22">ROUND(CX24*I24,2)</f>
        <v>0</v>
      </c>
      <c r="X24" s="2">
        <f t="shared" ref="X24:X55" si="23">ROUND(CY24,2)</f>
        <v>0</v>
      </c>
      <c r="Y24" s="2">
        <f t="shared" ref="Y24:Y55" si="24">ROUND(CZ24,2)</f>
        <v>0</v>
      </c>
      <c r="Z24" s="2"/>
      <c r="AA24" s="2">
        <v>55106055</v>
      </c>
      <c r="AB24" s="2">
        <f t="shared" ref="AB24:AB55" si="25">ROUND((AC24+AD24+AF24),6)</f>
        <v>473.32</v>
      </c>
      <c r="AC24" s="2">
        <f t="shared" ref="AC24:AF29" si="26">ROUND((ES24),6)</f>
        <v>1.23</v>
      </c>
      <c r="AD24" s="2">
        <f t="shared" si="26"/>
        <v>1.1100000000000001</v>
      </c>
      <c r="AE24" s="2">
        <f t="shared" si="26"/>
        <v>0.2</v>
      </c>
      <c r="AF24" s="2">
        <f t="shared" si="26"/>
        <v>470.98</v>
      </c>
      <c r="AG24" s="2">
        <f t="shared" ref="AG24:AG55" si="27">ROUND((AP24),6)</f>
        <v>0</v>
      </c>
      <c r="AH24" s="2">
        <f t="shared" ref="AH24:AI29" si="28">(EW24)</f>
        <v>29.96</v>
      </c>
      <c r="AI24" s="2">
        <f t="shared" si="28"/>
        <v>0</v>
      </c>
      <c r="AJ24" s="2">
        <f t="shared" ref="AJ24:AJ55" si="29">(AS24)</f>
        <v>0</v>
      </c>
      <c r="AK24" s="2">
        <v>473.32</v>
      </c>
      <c r="AL24" s="2">
        <v>1.23</v>
      </c>
      <c r="AM24" s="2">
        <v>1.1100000000000001</v>
      </c>
      <c r="AN24" s="2">
        <v>0.2</v>
      </c>
      <c r="AO24" s="2">
        <v>470.98</v>
      </c>
      <c r="AP24" s="2">
        <v>0</v>
      </c>
      <c r="AQ24" s="2">
        <v>29.96</v>
      </c>
      <c r="AR24" s="2">
        <v>0</v>
      </c>
      <c r="AS24" s="2">
        <v>0</v>
      </c>
      <c r="AT24" s="2">
        <v>0</v>
      </c>
      <c r="AU24" s="2">
        <v>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3</v>
      </c>
      <c r="BE24" s="2" t="s">
        <v>3</v>
      </c>
      <c r="BF24" s="2" t="s">
        <v>3</v>
      </c>
      <c r="BG24" s="2" t="s">
        <v>3</v>
      </c>
      <c r="BH24" s="2">
        <v>0</v>
      </c>
      <c r="BI24" s="2">
        <v>2</v>
      </c>
      <c r="BJ24" s="2" t="s">
        <v>18</v>
      </c>
      <c r="BK24" s="2"/>
      <c r="BL24" s="2"/>
      <c r="BM24" s="2">
        <v>1738</v>
      </c>
      <c r="BN24" s="2">
        <v>0</v>
      </c>
      <c r="BO24" s="2" t="s">
        <v>3</v>
      </c>
      <c r="BP24" s="2">
        <v>0</v>
      </c>
      <c r="BQ24" s="2">
        <v>40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3</v>
      </c>
      <c r="BZ24" s="2">
        <v>0</v>
      </c>
      <c r="CA24" s="2">
        <v>0</v>
      </c>
      <c r="CB24" s="2"/>
      <c r="CC24" s="2"/>
      <c r="CD24" s="2"/>
      <c r="CE24" s="2">
        <v>0</v>
      </c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3</v>
      </c>
      <c r="CO24" s="2">
        <v>0</v>
      </c>
      <c r="CP24" s="2">
        <f t="shared" ref="CP24:CP55" si="30">(P24+Q24+S24)</f>
        <v>189.32</v>
      </c>
      <c r="CQ24" s="2">
        <f t="shared" ref="CQ24:CQ55" si="31">(AC24*BC24*AW24)</f>
        <v>1.23</v>
      </c>
      <c r="CR24" s="2">
        <f t="shared" ref="CR24:CR55" si="32">(AD24*BB24*AV24)</f>
        <v>1.1100000000000001</v>
      </c>
      <c r="CS24" s="2">
        <f t="shared" ref="CS24:CS55" si="33">(AE24*BS24*AV24)</f>
        <v>0.2</v>
      </c>
      <c r="CT24" s="2">
        <f t="shared" ref="CT24:CT55" si="34">(AF24*BA24*AV24)</f>
        <v>470.98</v>
      </c>
      <c r="CU24" s="2">
        <f t="shared" ref="CU24:CU55" si="35">AG24</f>
        <v>0</v>
      </c>
      <c r="CV24" s="2">
        <f t="shared" ref="CV24:CV55" si="36">(AH24*AV24)</f>
        <v>29.96</v>
      </c>
      <c r="CW24" s="2">
        <f t="shared" ref="CW24:CW55" si="37">AI24</f>
        <v>0</v>
      </c>
      <c r="CX24" s="2">
        <f t="shared" ref="CX24:CX55" si="38">AJ24</f>
        <v>0</v>
      </c>
      <c r="CY24" s="2">
        <f t="shared" ref="CY24:CY55" si="39">S24*(BZ24/100)</f>
        <v>0</v>
      </c>
      <c r="CZ24" s="2">
        <f t="shared" ref="CZ24:CZ55" si="40">S24*(CA24/100)</f>
        <v>0</v>
      </c>
      <c r="DA24" s="2"/>
      <c r="DB24" s="2"/>
      <c r="DC24" s="2" t="s">
        <v>3</v>
      </c>
      <c r="DD24" s="2" t="s">
        <v>3</v>
      </c>
      <c r="DE24" s="2" t="s">
        <v>3</v>
      </c>
      <c r="DF24" s="2" t="s">
        <v>3</v>
      </c>
      <c r="DG24" s="2" t="s">
        <v>3</v>
      </c>
      <c r="DH24" s="2" t="s">
        <v>3</v>
      </c>
      <c r="DI24" s="2" t="s">
        <v>3</v>
      </c>
      <c r="DJ24" s="2" t="s">
        <v>3</v>
      </c>
      <c r="DK24" s="2" t="s">
        <v>3</v>
      </c>
      <c r="DL24" s="2" t="s">
        <v>3</v>
      </c>
      <c r="DM24" s="2" t="s">
        <v>3</v>
      </c>
      <c r="DN24" s="2">
        <v>114</v>
      </c>
      <c r="DO24" s="2">
        <v>67</v>
      </c>
      <c r="DP24" s="2">
        <v>1.0469999999999999</v>
      </c>
      <c r="DQ24" s="2">
        <v>1</v>
      </c>
      <c r="DR24" s="2"/>
      <c r="DS24" s="2"/>
      <c r="DT24" s="2"/>
      <c r="DU24" s="2">
        <v>1010</v>
      </c>
      <c r="DV24" s="2" t="s">
        <v>17</v>
      </c>
      <c r="DW24" s="2" t="s">
        <v>17</v>
      </c>
      <c r="DX24" s="2">
        <v>10</v>
      </c>
      <c r="DY24" s="2"/>
      <c r="DZ24" s="2"/>
      <c r="EA24" s="2"/>
      <c r="EB24" s="2"/>
      <c r="EC24" s="2"/>
      <c r="ED24" s="2"/>
      <c r="EE24" s="2">
        <v>21989090</v>
      </c>
      <c r="EF24" s="2">
        <v>40</v>
      </c>
      <c r="EG24" s="2" t="s">
        <v>19</v>
      </c>
      <c r="EH24" s="2">
        <v>0</v>
      </c>
      <c r="EI24" s="2" t="s">
        <v>3</v>
      </c>
      <c r="EJ24" s="2">
        <v>2</v>
      </c>
      <c r="EK24" s="2">
        <v>1738</v>
      </c>
      <c r="EL24" s="2" t="s">
        <v>20</v>
      </c>
      <c r="EM24" s="2" t="s">
        <v>21</v>
      </c>
      <c r="EN24" s="2"/>
      <c r="EO24" s="2" t="s">
        <v>3</v>
      </c>
      <c r="EP24" s="2"/>
      <c r="EQ24" s="2">
        <v>131072</v>
      </c>
      <c r="ER24" s="2">
        <v>473.32</v>
      </c>
      <c r="ES24" s="2">
        <v>1.23</v>
      </c>
      <c r="ET24" s="2">
        <v>1.1100000000000001</v>
      </c>
      <c r="EU24" s="2">
        <v>0.2</v>
      </c>
      <c r="EV24" s="2">
        <v>470.98</v>
      </c>
      <c r="EW24" s="2">
        <v>29.96</v>
      </c>
      <c r="EX24" s="2">
        <v>0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1">ROUND(IF(AND(BH24=3,BI24=3),P24,0),2)</f>
        <v>0</v>
      </c>
      <c r="FS24" s="2">
        <v>0</v>
      </c>
      <c r="FT24" s="2"/>
      <c r="FU24" s="2"/>
      <c r="FV24" s="2"/>
      <c r="FW24" s="2"/>
      <c r="FX24" s="2">
        <v>114</v>
      </c>
      <c r="FY24" s="2">
        <v>67</v>
      </c>
      <c r="FZ24" s="2"/>
      <c r="GA24" s="2" t="s">
        <v>3</v>
      </c>
      <c r="GB24" s="2"/>
      <c r="GC24" s="2"/>
      <c r="GD24" s="2">
        <v>1</v>
      </c>
      <c r="GE24" s="2"/>
      <c r="GF24" s="2">
        <v>-593748981</v>
      </c>
      <c r="GG24" s="2">
        <v>2</v>
      </c>
      <c r="GH24" s="2">
        <v>1</v>
      </c>
      <c r="GI24" s="2">
        <v>-2</v>
      </c>
      <c r="GJ24" s="2">
        <v>0</v>
      </c>
      <c r="GK24" s="2">
        <v>0</v>
      </c>
      <c r="GL24" s="2">
        <f t="shared" ref="GL24:GL55" si="42">ROUND(IF(AND(BH24=3,BI24=3,FS24&lt;&gt;0),P24,0),2)</f>
        <v>0</v>
      </c>
      <c r="GM24" s="2">
        <f>ROUND(O24+X24+Y24,2)+GX24</f>
        <v>189.32</v>
      </c>
      <c r="GN24" s="2">
        <f>IF(OR(BI24=0,BI24=1),ROUND(O24+X24+Y24,2),0)</f>
        <v>0</v>
      </c>
      <c r="GO24" s="2">
        <f>IF(BI24=2,ROUND(O24+X24+Y24,2),0)</f>
        <v>189.32</v>
      </c>
      <c r="GP24" s="2">
        <f>IF(BI24=4,ROUND(O24+X24+Y24,2)+GX24,0)</f>
        <v>0</v>
      </c>
      <c r="GQ24" s="2"/>
      <c r="GR24" s="2">
        <v>0</v>
      </c>
      <c r="GS24" s="2">
        <v>0</v>
      </c>
      <c r="GT24" s="2">
        <v>0</v>
      </c>
      <c r="GU24" s="2" t="s">
        <v>3</v>
      </c>
      <c r="GV24" s="2">
        <f t="shared" ref="GV24:GV55" si="43">ROUND((GT24),6)</f>
        <v>0</v>
      </c>
      <c r="GW24" s="2">
        <v>1</v>
      </c>
      <c r="GX24" s="2">
        <f t="shared" ref="GX24:GX55" si="44">ROUND(HC24*I24,2)</f>
        <v>0</v>
      </c>
      <c r="GY24" s="2"/>
      <c r="GZ24" s="2"/>
      <c r="HA24" s="2">
        <v>0</v>
      </c>
      <c r="HB24" s="2">
        <v>0</v>
      </c>
      <c r="HC24" s="2">
        <f t="shared" ref="HC24:HC55" si="45">GV24*GW24</f>
        <v>0</v>
      </c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ROW(SmtRes!A2)</f>
        <v>2</v>
      </c>
      <c r="D25">
        <f>ROW(EtalonRes!A2)</f>
        <v>2</v>
      </c>
      <c r="E25" t="s">
        <v>14</v>
      </c>
      <c r="F25" t="s">
        <v>15</v>
      </c>
      <c r="G25" t="s">
        <v>16</v>
      </c>
      <c r="H25" t="s">
        <v>17</v>
      </c>
      <c r="I25">
        <f>ROUND(4/10,9)</f>
        <v>0.4</v>
      </c>
      <c r="J25">
        <v>0</v>
      </c>
      <c r="O25">
        <f t="shared" si="14"/>
        <v>4092.53</v>
      </c>
      <c r="P25">
        <f t="shared" si="15"/>
        <v>2.66</v>
      </c>
      <c r="Q25">
        <f t="shared" si="16"/>
        <v>3.65</v>
      </c>
      <c r="R25">
        <f t="shared" si="17"/>
        <v>1.74</v>
      </c>
      <c r="S25">
        <f t="shared" si="18"/>
        <v>4086.22</v>
      </c>
      <c r="T25">
        <f t="shared" si="19"/>
        <v>0</v>
      </c>
      <c r="U25">
        <f t="shared" si="20"/>
        <v>11.984000000000002</v>
      </c>
      <c r="V25">
        <f t="shared" si="21"/>
        <v>0</v>
      </c>
      <c r="W25">
        <f t="shared" si="22"/>
        <v>0</v>
      </c>
      <c r="X25">
        <f t="shared" si="23"/>
        <v>3146.39</v>
      </c>
      <c r="Y25">
        <f t="shared" si="24"/>
        <v>1675.35</v>
      </c>
      <c r="AA25">
        <v>55106052</v>
      </c>
      <c r="AB25">
        <f t="shared" si="25"/>
        <v>473.32</v>
      </c>
      <c r="AC25">
        <f t="shared" si="26"/>
        <v>1.23</v>
      </c>
      <c r="AD25">
        <f t="shared" si="26"/>
        <v>1.1100000000000001</v>
      </c>
      <c r="AE25">
        <f t="shared" si="26"/>
        <v>0.2</v>
      </c>
      <c r="AF25">
        <f t="shared" si="26"/>
        <v>470.98</v>
      </c>
      <c r="AG25">
        <f t="shared" si="27"/>
        <v>0</v>
      </c>
      <c r="AH25">
        <f t="shared" si="28"/>
        <v>29.96</v>
      </c>
      <c r="AI25">
        <f t="shared" si="28"/>
        <v>0</v>
      </c>
      <c r="AJ25">
        <f t="shared" si="29"/>
        <v>0</v>
      </c>
      <c r="AK25">
        <v>473.32</v>
      </c>
      <c r="AL25">
        <v>1.23</v>
      </c>
      <c r="AM25">
        <v>1.1100000000000001</v>
      </c>
      <c r="AN25">
        <v>0.2</v>
      </c>
      <c r="AO25">
        <v>470.98</v>
      </c>
      <c r="AP25">
        <v>0</v>
      </c>
      <c r="AQ25">
        <v>29.96</v>
      </c>
      <c r="AR25">
        <v>0</v>
      </c>
      <c r="AS25">
        <v>0</v>
      </c>
      <c r="AT25">
        <v>77</v>
      </c>
      <c r="AU25">
        <v>41</v>
      </c>
      <c r="AV25">
        <v>1</v>
      </c>
      <c r="AW25">
        <v>1</v>
      </c>
      <c r="AZ25">
        <v>1</v>
      </c>
      <c r="BA25">
        <v>21.69</v>
      </c>
      <c r="BB25">
        <v>8.2100000000000009</v>
      </c>
      <c r="BC25">
        <v>5.41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2</v>
      </c>
      <c r="BJ25" t="s">
        <v>18</v>
      </c>
      <c r="BM25">
        <v>1738</v>
      </c>
      <c r="BN25">
        <v>0</v>
      </c>
      <c r="BO25" t="s">
        <v>15</v>
      </c>
      <c r="BP25">
        <v>1</v>
      </c>
      <c r="BQ25">
        <v>40</v>
      </c>
      <c r="BR25">
        <v>0</v>
      </c>
      <c r="BS25">
        <v>21.69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77</v>
      </c>
      <c r="CA25">
        <v>41</v>
      </c>
      <c r="CE25">
        <v>0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30"/>
        <v>4092.5299999999997</v>
      </c>
      <c r="CQ25">
        <f t="shared" si="31"/>
        <v>6.6543000000000001</v>
      </c>
      <c r="CR25">
        <f t="shared" si="32"/>
        <v>9.1131000000000011</v>
      </c>
      <c r="CS25">
        <f t="shared" si="33"/>
        <v>4.3380000000000001</v>
      </c>
      <c r="CT25">
        <f t="shared" si="34"/>
        <v>10215.556200000001</v>
      </c>
      <c r="CU25">
        <f t="shared" si="35"/>
        <v>0</v>
      </c>
      <c r="CV25">
        <f t="shared" si="36"/>
        <v>29.96</v>
      </c>
      <c r="CW25">
        <f t="shared" si="37"/>
        <v>0</v>
      </c>
      <c r="CX25">
        <f t="shared" si="38"/>
        <v>0</v>
      </c>
      <c r="CY25">
        <f t="shared" si="39"/>
        <v>3146.3894</v>
      </c>
      <c r="CZ25">
        <f t="shared" si="40"/>
        <v>1675.3501999999999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114</v>
      </c>
      <c r="DO25">
        <v>67</v>
      </c>
      <c r="DP25">
        <v>1.0469999999999999</v>
      </c>
      <c r="DQ25">
        <v>1</v>
      </c>
      <c r="DU25">
        <v>1010</v>
      </c>
      <c r="DV25" t="s">
        <v>17</v>
      </c>
      <c r="DW25" t="s">
        <v>17</v>
      </c>
      <c r="DX25">
        <v>10</v>
      </c>
      <c r="EE25">
        <v>21989090</v>
      </c>
      <c r="EF25">
        <v>40</v>
      </c>
      <c r="EG25" t="s">
        <v>19</v>
      </c>
      <c r="EH25">
        <v>0</v>
      </c>
      <c r="EI25" t="s">
        <v>3</v>
      </c>
      <c r="EJ25">
        <v>2</v>
      </c>
      <c r="EK25">
        <v>1738</v>
      </c>
      <c r="EL25" t="s">
        <v>20</v>
      </c>
      <c r="EM25" t="s">
        <v>21</v>
      </c>
      <c r="EO25" t="s">
        <v>3</v>
      </c>
      <c r="EQ25">
        <v>131072</v>
      </c>
      <c r="ER25">
        <v>473.32</v>
      </c>
      <c r="ES25">
        <v>1.23</v>
      </c>
      <c r="ET25">
        <v>1.1100000000000001</v>
      </c>
      <c r="EU25">
        <v>0.2</v>
      </c>
      <c r="EV25">
        <v>470.98</v>
      </c>
      <c r="EW25">
        <v>29.96</v>
      </c>
      <c r="EX25">
        <v>0</v>
      </c>
      <c r="EY25">
        <v>0</v>
      </c>
      <c r="FQ25">
        <v>0</v>
      </c>
      <c r="FR25">
        <f t="shared" si="41"/>
        <v>0</v>
      </c>
      <c r="FS25">
        <v>0</v>
      </c>
      <c r="FX25">
        <v>114</v>
      </c>
      <c r="FY25">
        <v>67</v>
      </c>
      <c r="GA25" t="s">
        <v>3</v>
      </c>
      <c r="GD25">
        <v>0</v>
      </c>
      <c r="GF25">
        <v>-593748981</v>
      </c>
      <c r="GG25">
        <v>2</v>
      </c>
      <c r="GH25">
        <v>1</v>
      </c>
      <c r="GI25">
        <v>2</v>
      </c>
      <c r="GJ25">
        <v>0</v>
      </c>
      <c r="GK25">
        <f>ROUND(R25*(S12)/100,2)</f>
        <v>2.73</v>
      </c>
      <c r="GL25">
        <f t="shared" si="42"/>
        <v>0</v>
      </c>
      <c r="GM25">
        <f>ROUND(O25+X25+Y25+GK25,2)+GX25</f>
        <v>8917</v>
      </c>
      <c r="GN25">
        <f>IF(OR(BI25=0,BI25=1),ROUND(O25+X25+Y25+GK25,2),0)</f>
        <v>0</v>
      </c>
      <c r="GO25">
        <f>IF(BI25=2,ROUND(O25+X25+Y25+GK25,2),0)</f>
        <v>8917</v>
      </c>
      <c r="GP25">
        <f>IF(BI25=4,ROUND(O25+X25+Y25+GK25,2)+GX25,0)</f>
        <v>0</v>
      </c>
      <c r="GR25">
        <v>0</v>
      </c>
      <c r="GS25">
        <v>3</v>
      </c>
      <c r="GT25">
        <v>0</v>
      </c>
      <c r="GU25" t="s">
        <v>3</v>
      </c>
      <c r="GV25">
        <f t="shared" si="43"/>
        <v>0</v>
      </c>
      <c r="GW25">
        <v>1</v>
      </c>
      <c r="GX25">
        <f t="shared" si="44"/>
        <v>0</v>
      </c>
      <c r="HA25">
        <v>0</v>
      </c>
      <c r="HB25">
        <v>0</v>
      </c>
      <c r="HC25">
        <f t="shared" si="45"/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ROW(SmtRes!A3)</f>
        <v>3</v>
      </c>
      <c r="D26" s="2">
        <f>ROW(EtalonRes!A3)</f>
        <v>3</v>
      </c>
      <c r="E26" s="2" t="s">
        <v>22</v>
      </c>
      <c r="F26" s="2" t="s">
        <v>23</v>
      </c>
      <c r="G26" s="2" t="s">
        <v>24</v>
      </c>
      <c r="H26" s="2" t="s">
        <v>25</v>
      </c>
      <c r="I26" s="2">
        <v>3</v>
      </c>
      <c r="J26" s="2">
        <v>0</v>
      </c>
      <c r="K26" s="2"/>
      <c r="L26" s="2"/>
      <c r="M26" s="2"/>
      <c r="N26" s="2"/>
      <c r="O26" s="2">
        <f t="shared" si="14"/>
        <v>124.89</v>
      </c>
      <c r="P26" s="2">
        <f t="shared" si="15"/>
        <v>4.5</v>
      </c>
      <c r="Q26" s="2">
        <f t="shared" si="16"/>
        <v>0</v>
      </c>
      <c r="R26" s="2">
        <f t="shared" si="17"/>
        <v>0</v>
      </c>
      <c r="S26" s="2">
        <f t="shared" si="18"/>
        <v>120.39</v>
      </c>
      <c r="T26" s="2">
        <f t="shared" si="19"/>
        <v>0</v>
      </c>
      <c r="U26" s="2">
        <f t="shared" si="20"/>
        <v>9.5400000000000009</v>
      </c>
      <c r="V26" s="2">
        <f t="shared" si="21"/>
        <v>0</v>
      </c>
      <c r="W26" s="2">
        <f t="shared" si="22"/>
        <v>0</v>
      </c>
      <c r="X26" s="2">
        <f t="shared" si="23"/>
        <v>0</v>
      </c>
      <c r="Y26" s="2">
        <f t="shared" si="24"/>
        <v>0</v>
      </c>
      <c r="Z26" s="2"/>
      <c r="AA26" s="2">
        <v>55106055</v>
      </c>
      <c r="AB26" s="2">
        <f t="shared" si="25"/>
        <v>41.63</v>
      </c>
      <c r="AC26" s="2">
        <f t="shared" si="26"/>
        <v>1.5</v>
      </c>
      <c r="AD26" s="2">
        <f t="shared" si="26"/>
        <v>0</v>
      </c>
      <c r="AE26" s="2">
        <f t="shared" si="26"/>
        <v>0</v>
      </c>
      <c r="AF26" s="2">
        <f t="shared" si="26"/>
        <v>40.130000000000003</v>
      </c>
      <c r="AG26" s="2">
        <f t="shared" si="27"/>
        <v>0</v>
      </c>
      <c r="AH26" s="2">
        <f t="shared" si="28"/>
        <v>3.18</v>
      </c>
      <c r="AI26" s="2">
        <f t="shared" si="28"/>
        <v>0</v>
      </c>
      <c r="AJ26" s="2">
        <f t="shared" si="29"/>
        <v>0</v>
      </c>
      <c r="AK26" s="2">
        <v>41.63</v>
      </c>
      <c r="AL26" s="2">
        <v>1.5</v>
      </c>
      <c r="AM26" s="2">
        <v>0</v>
      </c>
      <c r="AN26" s="2">
        <v>0</v>
      </c>
      <c r="AO26" s="2">
        <v>40.130000000000003</v>
      </c>
      <c r="AP26" s="2">
        <v>0</v>
      </c>
      <c r="AQ26" s="2">
        <v>3.18</v>
      </c>
      <c r="AR26" s="2">
        <v>0</v>
      </c>
      <c r="AS26" s="2">
        <v>0</v>
      </c>
      <c r="AT26" s="2">
        <v>0</v>
      </c>
      <c r="AU26" s="2">
        <v>0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3</v>
      </c>
      <c r="BE26" s="2" t="s">
        <v>3</v>
      </c>
      <c r="BF26" s="2" t="s">
        <v>3</v>
      </c>
      <c r="BG26" s="2" t="s">
        <v>3</v>
      </c>
      <c r="BH26" s="2">
        <v>0</v>
      </c>
      <c r="BI26" s="2">
        <v>2</v>
      </c>
      <c r="BJ26" s="2" t="s">
        <v>26</v>
      </c>
      <c r="BK26" s="2"/>
      <c r="BL26" s="2"/>
      <c r="BM26" s="2">
        <v>1352</v>
      </c>
      <c r="BN26" s="2">
        <v>0</v>
      </c>
      <c r="BO26" s="2" t="s">
        <v>3</v>
      </c>
      <c r="BP26" s="2">
        <v>0</v>
      </c>
      <c r="BQ26" s="2">
        <v>40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3</v>
      </c>
      <c r="BZ26" s="2">
        <v>0</v>
      </c>
      <c r="CA26" s="2">
        <v>0</v>
      </c>
      <c r="CB26" s="2"/>
      <c r="CC26" s="2"/>
      <c r="CD26" s="2"/>
      <c r="CE26" s="2">
        <v>0</v>
      </c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3</v>
      </c>
      <c r="CO26" s="2">
        <v>0</v>
      </c>
      <c r="CP26" s="2">
        <f t="shared" si="30"/>
        <v>124.89</v>
      </c>
      <c r="CQ26" s="2">
        <f t="shared" si="31"/>
        <v>1.5</v>
      </c>
      <c r="CR26" s="2">
        <f t="shared" si="32"/>
        <v>0</v>
      </c>
      <c r="CS26" s="2">
        <f t="shared" si="33"/>
        <v>0</v>
      </c>
      <c r="CT26" s="2">
        <f t="shared" si="34"/>
        <v>40.130000000000003</v>
      </c>
      <c r="CU26" s="2">
        <f t="shared" si="35"/>
        <v>0</v>
      </c>
      <c r="CV26" s="2">
        <f t="shared" si="36"/>
        <v>3.18</v>
      </c>
      <c r="CW26" s="2">
        <f t="shared" si="37"/>
        <v>0</v>
      </c>
      <c r="CX26" s="2">
        <f t="shared" si="38"/>
        <v>0</v>
      </c>
      <c r="CY26" s="2">
        <f t="shared" si="39"/>
        <v>0</v>
      </c>
      <c r="CZ26" s="2">
        <f t="shared" si="40"/>
        <v>0</v>
      </c>
      <c r="DA26" s="2"/>
      <c r="DB26" s="2"/>
      <c r="DC26" s="2" t="s">
        <v>3</v>
      </c>
      <c r="DD26" s="2" t="s">
        <v>3</v>
      </c>
      <c r="DE26" s="2" t="s">
        <v>3</v>
      </c>
      <c r="DF26" s="2" t="s">
        <v>3</v>
      </c>
      <c r="DG26" s="2" t="s">
        <v>3</v>
      </c>
      <c r="DH26" s="2" t="s">
        <v>3</v>
      </c>
      <c r="DI26" s="2" t="s">
        <v>3</v>
      </c>
      <c r="DJ26" s="2" t="s">
        <v>3</v>
      </c>
      <c r="DK26" s="2" t="s">
        <v>3</v>
      </c>
      <c r="DL26" s="2" t="s">
        <v>3</v>
      </c>
      <c r="DM26" s="2" t="s">
        <v>3</v>
      </c>
      <c r="DN26" s="2">
        <v>114</v>
      </c>
      <c r="DO26" s="2">
        <v>67</v>
      </c>
      <c r="DP26" s="2">
        <v>1.0469999999999999</v>
      </c>
      <c r="DQ26" s="2">
        <v>1</v>
      </c>
      <c r="DR26" s="2"/>
      <c r="DS26" s="2"/>
      <c r="DT26" s="2"/>
      <c r="DU26" s="2">
        <v>1013</v>
      </c>
      <c r="DV26" s="2" t="s">
        <v>25</v>
      </c>
      <c r="DW26" s="2" t="s">
        <v>25</v>
      </c>
      <c r="DX26" s="2">
        <v>1</v>
      </c>
      <c r="DY26" s="2"/>
      <c r="DZ26" s="2"/>
      <c r="EA26" s="2"/>
      <c r="EB26" s="2"/>
      <c r="EC26" s="2"/>
      <c r="ED26" s="2"/>
      <c r="EE26" s="2">
        <v>21988704</v>
      </c>
      <c r="EF26" s="2">
        <v>40</v>
      </c>
      <c r="EG26" s="2" t="s">
        <v>19</v>
      </c>
      <c r="EH26" s="2">
        <v>0</v>
      </c>
      <c r="EI26" s="2" t="s">
        <v>3</v>
      </c>
      <c r="EJ26" s="2">
        <v>2</v>
      </c>
      <c r="EK26" s="2">
        <v>1352</v>
      </c>
      <c r="EL26" s="2" t="s">
        <v>27</v>
      </c>
      <c r="EM26" s="2" t="s">
        <v>28</v>
      </c>
      <c r="EN26" s="2"/>
      <c r="EO26" s="2" t="s">
        <v>3</v>
      </c>
      <c r="EP26" s="2"/>
      <c r="EQ26" s="2">
        <v>131072</v>
      </c>
      <c r="ER26" s="2">
        <v>41.63</v>
      </c>
      <c r="ES26" s="2">
        <v>1.5</v>
      </c>
      <c r="ET26" s="2">
        <v>0</v>
      </c>
      <c r="EU26" s="2">
        <v>0</v>
      </c>
      <c r="EV26" s="2">
        <v>40.130000000000003</v>
      </c>
      <c r="EW26" s="2">
        <v>3.18</v>
      </c>
      <c r="EX26" s="2">
        <v>0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1"/>
        <v>0</v>
      </c>
      <c r="FS26" s="2">
        <v>0</v>
      </c>
      <c r="FT26" s="2"/>
      <c r="FU26" s="2"/>
      <c r="FV26" s="2"/>
      <c r="FW26" s="2"/>
      <c r="FX26" s="2">
        <v>114</v>
      </c>
      <c r="FY26" s="2">
        <v>67</v>
      </c>
      <c r="FZ26" s="2"/>
      <c r="GA26" s="2" t="s">
        <v>3</v>
      </c>
      <c r="GB26" s="2"/>
      <c r="GC26" s="2"/>
      <c r="GD26" s="2">
        <v>1</v>
      </c>
      <c r="GE26" s="2"/>
      <c r="GF26" s="2">
        <v>-1074894288</v>
      </c>
      <c r="GG26" s="2">
        <v>2</v>
      </c>
      <c r="GH26" s="2">
        <v>1</v>
      </c>
      <c r="GI26" s="2">
        <v>-2</v>
      </c>
      <c r="GJ26" s="2">
        <v>0</v>
      </c>
      <c r="GK26" s="2">
        <v>0</v>
      </c>
      <c r="GL26" s="2">
        <f t="shared" si="42"/>
        <v>0</v>
      </c>
      <c r="GM26" s="2">
        <f>ROUND(O26+X26+Y26,2)+GX26</f>
        <v>124.89</v>
      </c>
      <c r="GN26" s="2">
        <f>IF(OR(BI26=0,BI26=1),ROUND(O26+X26+Y26,2),0)</f>
        <v>0</v>
      </c>
      <c r="GO26" s="2">
        <f>IF(BI26=2,ROUND(O26+X26+Y26,2),0)</f>
        <v>124.89</v>
      </c>
      <c r="GP26" s="2">
        <f>IF(BI26=4,ROUND(O26+X26+Y26,2)+GX26,0)</f>
        <v>0</v>
      </c>
      <c r="GQ26" s="2"/>
      <c r="GR26" s="2">
        <v>0</v>
      </c>
      <c r="GS26" s="2">
        <v>0</v>
      </c>
      <c r="GT26" s="2">
        <v>0</v>
      </c>
      <c r="GU26" s="2" t="s">
        <v>3</v>
      </c>
      <c r="GV26" s="2">
        <f t="shared" si="43"/>
        <v>0</v>
      </c>
      <c r="GW26" s="2">
        <v>1</v>
      </c>
      <c r="GX26" s="2">
        <f t="shared" si="44"/>
        <v>0</v>
      </c>
      <c r="GY26" s="2"/>
      <c r="GZ26" s="2"/>
      <c r="HA26" s="2">
        <v>0</v>
      </c>
      <c r="HB26" s="2">
        <v>0</v>
      </c>
      <c r="HC26" s="2">
        <f t="shared" si="45"/>
        <v>0</v>
      </c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ROW(SmtRes!A4)</f>
        <v>4</v>
      </c>
      <c r="D27">
        <f>ROW(EtalonRes!A4)</f>
        <v>4</v>
      </c>
      <c r="E27" t="s">
        <v>22</v>
      </c>
      <c r="F27" t="s">
        <v>23</v>
      </c>
      <c r="G27" t="s">
        <v>24</v>
      </c>
      <c r="H27" t="s">
        <v>25</v>
      </c>
      <c r="I27">
        <v>3</v>
      </c>
      <c r="J27">
        <v>0</v>
      </c>
      <c r="O27">
        <f t="shared" si="14"/>
        <v>2635.61</v>
      </c>
      <c r="P27">
        <f t="shared" si="15"/>
        <v>24.35</v>
      </c>
      <c r="Q27">
        <f t="shared" si="16"/>
        <v>0</v>
      </c>
      <c r="R27">
        <f t="shared" si="17"/>
        <v>0</v>
      </c>
      <c r="S27">
        <f t="shared" si="18"/>
        <v>2611.2600000000002</v>
      </c>
      <c r="T27">
        <f t="shared" si="19"/>
        <v>0</v>
      </c>
      <c r="U27">
        <f t="shared" si="20"/>
        <v>9.5400000000000009</v>
      </c>
      <c r="V27">
        <f t="shared" si="21"/>
        <v>0</v>
      </c>
      <c r="W27">
        <f t="shared" si="22"/>
        <v>0</v>
      </c>
      <c r="X27">
        <f t="shared" si="23"/>
        <v>2010.67</v>
      </c>
      <c r="Y27">
        <f t="shared" si="24"/>
        <v>1070.6199999999999</v>
      </c>
      <c r="AA27">
        <v>55106052</v>
      </c>
      <c r="AB27">
        <f t="shared" si="25"/>
        <v>41.63</v>
      </c>
      <c r="AC27">
        <f t="shared" si="26"/>
        <v>1.5</v>
      </c>
      <c r="AD27">
        <f t="shared" si="26"/>
        <v>0</v>
      </c>
      <c r="AE27">
        <f t="shared" si="26"/>
        <v>0</v>
      </c>
      <c r="AF27">
        <f t="shared" si="26"/>
        <v>40.130000000000003</v>
      </c>
      <c r="AG27">
        <f t="shared" si="27"/>
        <v>0</v>
      </c>
      <c r="AH27">
        <f t="shared" si="28"/>
        <v>3.18</v>
      </c>
      <c r="AI27">
        <f t="shared" si="28"/>
        <v>0</v>
      </c>
      <c r="AJ27">
        <f t="shared" si="29"/>
        <v>0</v>
      </c>
      <c r="AK27">
        <v>41.63</v>
      </c>
      <c r="AL27">
        <v>1.5</v>
      </c>
      <c r="AM27">
        <v>0</v>
      </c>
      <c r="AN27">
        <v>0</v>
      </c>
      <c r="AO27">
        <v>40.130000000000003</v>
      </c>
      <c r="AP27">
        <v>0</v>
      </c>
      <c r="AQ27">
        <v>3.18</v>
      </c>
      <c r="AR27">
        <v>0</v>
      </c>
      <c r="AS27">
        <v>0</v>
      </c>
      <c r="AT27">
        <v>77</v>
      </c>
      <c r="AU27">
        <v>41</v>
      </c>
      <c r="AV27">
        <v>1</v>
      </c>
      <c r="AW27">
        <v>1</v>
      </c>
      <c r="AZ27">
        <v>1</v>
      </c>
      <c r="BA27">
        <v>21.69</v>
      </c>
      <c r="BB27">
        <v>1</v>
      </c>
      <c r="BC27">
        <v>5.41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2</v>
      </c>
      <c r="BJ27" t="s">
        <v>26</v>
      </c>
      <c r="BM27">
        <v>1352</v>
      </c>
      <c r="BN27">
        <v>0</v>
      </c>
      <c r="BO27" t="s">
        <v>23</v>
      </c>
      <c r="BP27">
        <v>1</v>
      </c>
      <c r="BQ27">
        <v>40</v>
      </c>
      <c r="BR27">
        <v>0</v>
      </c>
      <c r="BS27">
        <v>21.69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77</v>
      </c>
      <c r="CA27">
        <v>41</v>
      </c>
      <c r="CE27">
        <v>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30"/>
        <v>2635.61</v>
      </c>
      <c r="CQ27">
        <f t="shared" si="31"/>
        <v>8.1150000000000002</v>
      </c>
      <c r="CR27">
        <f t="shared" si="32"/>
        <v>0</v>
      </c>
      <c r="CS27">
        <f t="shared" si="33"/>
        <v>0</v>
      </c>
      <c r="CT27">
        <f t="shared" si="34"/>
        <v>870.41970000000015</v>
      </c>
      <c r="CU27">
        <f t="shared" si="35"/>
        <v>0</v>
      </c>
      <c r="CV27">
        <f t="shared" si="36"/>
        <v>3.18</v>
      </c>
      <c r="CW27">
        <f t="shared" si="37"/>
        <v>0</v>
      </c>
      <c r="CX27">
        <f t="shared" si="38"/>
        <v>0</v>
      </c>
      <c r="CY27">
        <f t="shared" si="39"/>
        <v>2010.6702000000002</v>
      </c>
      <c r="CZ27">
        <f t="shared" si="40"/>
        <v>1070.6166000000001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114</v>
      </c>
      <c r="DO27">
        <v>67</v>
      </c>
      <c r="DP27">
        <v>1.0469999999999999</v>
      </c>
      <c r="DQ27">
        <v>1</v>
      </c>
      <c r="DU27">
        <v>1013</v>
      </c>
      <c r="DV27" t="s">
        <v>25</v>
      </c>
      <c r="DW27" t="s">
        <v>25</v>
      </c>
      <c r="DX27">
        <v>1</v>
      </c>
      <c r="EE27">
        <v>21988704</v>
      </c>
      <c r="EF27">
        <v>40</v>
      </c>
      <c r="EG27" t="s">
        <v>19</v>
      </c>
      <c r="EH27">
        <v>0</v>
      </c>
      <c r="EI27" t="s">
        <v>3</v>
      </c>
      <c r="EJ27">
        <v>2</v>
      </c>
      <c r="EK27">
        <v>1352</v>
      </c>
      <c r="EL27" t="s">
        <v>27</v>
      </c>
      <c r="EM27" t="s">
        <v>28</v>
      </c>
      <c r="EO27" t="s">
        <v>3</v>
      </c>
      <c r="EQ27">
        <v>131072</v>
      </c>
      <c r="ER27">
        <v>41.63</v>
      </c>
      <c r="ES27">
        <v>1.5</v>
      </c>
      <c r="ET27">
        <v>0</v>
      </c>
      <c r="EU27">
        <v>0</v>
      </c>
      <c r="EV27">
        <v>40.130000000000003</v>
      </c>
      <c r="EW27">
        <v>3.18</v>
      </c>
      <c r="EX27">
        <v>0</v>
      </c>
      <c r="EY27">
        <v>0</v>
      </c>
      <c r="FQ27">
        <v>0</v>
      </c>
      <c r="FR27">
        <f t="shared" si="41"/>
        <v>0</v>
      </c>
      <c r="FS27">
        <v>0</v>
      </c>
      <c r="FX27">
        <v>114</v>
      </c>
      <c r="FY27">
        <v>67</v>
      </c>
      <c r="GA27" t="s">
        <v>3</v>
      </c>
      <c r="GD27">
        <v>0</v>
      </c>
      <c r="GF27">
        <v>-1074894288</v>
      </c>
      <c r="GG27">
        <v>2</v>
      </c>
      <c r="GH27">
        <v>1</v>
      </c>
      <c r="GI27">
        <v>2</v>
      </c>
      <c r="GJ27">
        <v>0</v>
      </c>
      <c r="GK27">
        <f>ROUND(R27*(S12)/100,2)</f>
        <v>0</v>
      </c>
      <c r="GL27">
        <f t="shared" si="42"/>
        <v>0</v>
      </c>
      <c r="GM27">
        <f>ROUND(O27+X27+Y27+GK27,2)+GX27</f>
        <v>5716.9</v>
      </c>
      <c r="GN27">
        <f>IF(OR(BI27=0,BI27=1),ROUND(O27+X27+Y27+GK27,2),0)</f>
        <v>0</v>
      </c>
      <c r="GO27">
        <f>IF(BI27=2,ROUND(O27+X27+Y27+GK27,2),0)</f>
        <v>5716.9</v>
      </c>
      <c r="GP27">
        <f>IF(BI27=4,ROUND(O27+X27+Y27+GK27,2)+GX27,0)</f>
        <v>0</v>
      </c>
      <c r="GR27">
        <v>0</v>
      </c>
      <c r="GS27">
        <v>3</v>
      </c>
      <c r="GT27">
        <v>0</v>
      </c>
      <c r="GU27" t="s">
        <v>3</v>
      </c>
      <c r="GV27">
        <f t="shared" si="43"/>
        <v>0</v>
      </c>
      <c r="GW27">
        <v>1</v>
      </c>
      <c r="GX27">
        <f t="shared" si="44"/>
        <v>0</v>
      </c>
      <c r="HA27">
        <v>0</v>
      </c>
      <c r="HB27">
        <v>0</v>
      </c>
      <c r="HC27">
        <f t="shared" si="45"/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ROW(SmtRes!A5)</f>
        <v>5</v>
      </c>
      <c r="D28" s="2">
        <f>ROW(EtalonRes!A5)</f>
        <v>5</v>
      </c>
      <c r="E28" s="2" t="s">
        <v>29</v>
      </c>
      <c r="F28" s="2" t="s">
        <v>30</v>
      </c>
      <c r="G28" s="2" t="s">
        <v>31</v>
      </c>
      <c r="H28" s="2" t="s">
        <v>25</v>
      </c>
      <c r="I28" s="2">
        <v>5</v>
      </c>
      <c r="J28" s="2">
        <v>0</v>
      </c>
      <c r="K28" s="2"/>
      <c r="L28" s="2"/>
      <c r="M28" s="2"/>
      <c r="N28" s="2"/>
      <c r="O28" s="2">
        <f t="shared" si="14"/>
        <v>372.35</v>
      </c>
      <c r="P28" s="2">
        <f t="shared" si="15"/>
        <v>59.35</v>
      </c>
      <c r="Q28" s="2">
        <f t="shared" si="16"/>
        <v>17.600000000000001</v>
      </c>
      <c r="R28" s="2">
        <f t="shared" si="17"/>
        <v>0.3</v>
      </c>
      <c r="S28" s="2">
        <f t="shared" si="18"/>
        <v>295.39999999999998</v>
      </c>
      <c r="T28" s="2">
        <f t="shared" si="19"/>
        <v>0</v>
      </c>
      <c r="U28" s="2">
        <f t="shared" si="20"/>
        <v>23.4</v>
      </c>
      <c r="V28" s="2">
        <f t="shared" si="21"/>
        <v>0</v>
      </c>
      <c r="W28" s="2">
        <f t="shared" si="22"/>
        <v>0</v>
      </c>
      <c r="X28" s="2">
        <f t="shared" si="23"/>
        <v>0</v>
      </c>
      <c r="Y28" s="2">
        <f t="shared" si="24"/>
        <v>0</v>
      </c>
      <c r="Z28" s="2"/>
      <c r="AA28" s="2">
        <v>55106055</v>
      </c>
      <c r="AB28" s="2">
        <f t="shared" si="25"/>
        <v>74.47</v>
      </c>
      <c r="AC28" s="2">
        <f t="shared" si="26"/>
        <v>11.87</v>
      </c>
      <c r="AD28" s="2">
        <f t="shared" si="26"/>
        <v>3.52</v>
      </c>
      <c r="AE28" s="2">
        <f t="shared" si="26"/>
        <v>0.06</v>
      </c>
      <c r="AF28" s="2">
        <f t="shared" si="26"/>
        <v>59.08</v>
      </c>
      <c r="AG28" s="2">
        <f t="shared" si="27"/>
        <v>0</v>
      </c>
      <c r="AH28" s="2">
        <f t="shared" si="28"/>
        <v>4.68</v>
      </c>
      <c r="AI28" s="2">
        <f t="shared" si="28"/>
        <v>0</v>
      </c>
      <c r="AJ28" s="2">
        <f t="shared" si="29"/>
        <v>0</v>
      </c>
      <c r="AK28" s="2">
        <v>74.47</v>
      </c>
      <c r="AL28" s="2">
        <v>11.87</v>
      </c>
      <c r="AM28" s="2">
        <v>3.52</v>
      </c>
      <c r="AN28" s="2">
        <v>0.06</v>
      </c>
      <c r="AO28" s="2">
        <v>59.08</v>
      </c>
      <c r="AP28" s="2">
        <v>0</v>
      </c>
      <c r="AQ28" s="2">
        <v>4.68</v>
      </c>
      <c r="AR28" s="2">
        <v>0</v>
      </c>
      <c r="AS28" s="2">
        <v>0</v>
      </c>
      <c r="AT28" s="2">
        <v>0</v>
      </c>
      <c r="AU28" s="2">
        <v>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2</v>
      </c>
      <c r="BJ28" s="2" t="s">
        <v>32</v>
      </c>
      <c r="BK28" s="2"/>
      <c r="BL28" s="2"/>
      <c r="BM28" s="2">
        <v>1352</v>
      </c>
      <c r="BN28" s="2">
        <v>0</v>
      </c>
      <c r="BO28" s="2" t="s">
        <v>3</v>
      </c>
      <c r="BP28" s="2">
        <v>0</v>
      </c>
      <c r="BQ28" s="2">
        <v>40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0</v>
      </c>
      <c r="CA28" s="2">
        <v>0</v>
      </c>
      <c r="CB28" s="2"/>
      <c r="CC28" s="2"/>
      <c r="CD28" s="2"/>
      <c r="CE28" s="2">
        <v>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 t="shared" si="30"/>
        <v>372.34999999999997</v>
      </c>
      <c r="CQ28" s="2">
        <f t="shared" si="31"/>
        <v>11.87</v>
      </c>
      <c r="CR28" s="2">
        <f t="shared" si="32"/>
        <v>3.52</v>
      </c>
      <c r="CS28" s="2">
        <f t="shared" si="33"/>
        <v>0.06</v>
      </c>
      <c r="CT28" s="2">
        <f t="shared" si="34"/>
        <v>59.08</v>
      </c>
      <c r="CU28" s="2">
        <f t="shared" si="35"/>
        <v>0</v>
      </c>
      <c r="CV28" s="2">
        <f t="shared" si="36"/>
        <v>4.68</v>
      </c>
      <c r="CW28" s="2">
        <f t="shared" si="37"/>
        <v>0</v>
      </c>
      <c r="CX28" s="2">
        <f t="shared" si="38"/>
        <v>0</v>
      </c>
      <c r="CY28" s="2">
        <f t="shared" si="39"/>
        <v>0</v>
      </c>
      <c r="CZ28" s="2">
        <f t="shared" si="40"/>
        <v>0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114</v>
      </c>
      <c r="DO28" s="2">
        <v>67</v>
      </c>
      <c r="DP28" s="2">
        <v>1.0469999999999999</v>
      </c>
      <c r="DQ28" s="2">
        <v>1</v>
      </c>
      <c r="DR28" s="2"/>
      <c r="DS28" s="2"/>
      <c r="DT28" s="2"/>
      <c r="DU28" s="2">
        <v>1013</v>
      </c>
      <c r="DV28" s="2" t="s">
        <v>25</v>
      </c>
      <c r="DW28" s="2" t="s">
        <v>25</v>
      </c>
      <c r="DX28" s="2">
        <v>1</v>
      </c>
      <c r="DY28" s="2"/>
      <c r="DZ28" s="2"/>
      <c r="EA28" s="2"/>
      <c r="EB28" s="2"/>
      <c r="EC28" s="2"/>
      <c r="ED28" s="2"/>
      <c r="EE28" s="2">
        <v>21988704</v>
      </c>
      <c r="EF28" s="2">
        <v>40</v>
      </c>
      <c r="EG28" s="2" t="s">
        <v>19</v>
      </c>
      <c r="EH28" s="2">
        <v>0</v>
      </c>
      <c r="EI28" s="2" t="s">
        <v>3</v>
      </c>
      <c r="EJ28" s="2">
        <v>2</v>
      </c>
      <c r="EK28" s="2">
        <v>1352</v>
      </c>
      <c r="EL28" s="2" t="s">
        <v>27</v>
      </c>
      <c r="EM28" s="2" t="s">
        <v>28</v>
      </c>
      <c r="EN28" s="2"/>
      <c r="EO28" s="2" t="s">
        <v>3</v>
      </c>
      <c r="EP28" s="2"/>
      <c r="EQ28" s="2">
        <v>131072</v>
      </c>
      <c r="ER28" s="2">
        <v>74.47</v>
      </c>
      <c r="ES28" s="2">
        <v>11.87</v>
      </c>
      <c r="ET28" s="2">
        <v>3.52</v>
      </c>
      <c r="EU28" s="2">
        <v>0.06</v>
      </c>
      <c r="EV28" s="2">
        <v>59.08</v>
      </c>
      <c r="EW28" s="2">
        <v>4.68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1"/>
        <v>0</v>
      </c>
      <c r="FS28" s="2">
        <v>0</v>
      </c>
      <c r="FT28" s="2"/>
      <c r="FU28" s="2"/>
      <c r="FV28" s="2"/>
      <c r="FW28" s="2"/>
      <c r="FX28" s="2">
        <v>114</v>
      </c>
      <c r="FY28" s="2">
        <v>67</v>
      </c>
      <c r="FZ28" s="2"/>
      <c r="GA28" s="2" t="s">
        <v>3</v>
      </c>
      <c r="GB28" s="2"/>
      <c r="GC28" s="2"/>
      <c r="GD28" s="2">
        <v>1</v>
      </c>
      <c r="GE28" s="2"/>
      <c r="GF28" s="2">
        <v>-302613050</v>
      </c>
      <c r="GG28" s="2">
        <v>2</v>
      </c>
      <c r="GH28" s="2">
        <v>1</v>
      </c>
      <c r="GI28" s="2">
        <v>-2</v>
      </c>
      <c r="GJ28" s="2">
        <v>0</v>
      </c>
      <c r="GK28" s="2">
        <v>0</v>
      </c>
      <c r="GL28" s="2">
        <f t="shared" si="42"/>
        <v>0</v>
      </c>
      <c r="GM28" s="2">
        <f>ROUND(O28+X28+Y28,2)+GX28</f>
        <v>372.35</v>
      </c>
      <c r="GN28" s="2">
        <f>IF(OR(BI28=0,BI28=1),ROUND(O28+X28+Y28,2),0)</f>
        <v>0</v>
      </c>
      <c r="GO28" s="2">
        <f>IF(BI28=2,ROUND(O28+X28+Y28,2),0)</f>
        <v>372.35</v>
      </c>
      <c r="GP28" s="2">
        <f>IF(BI28=4,ROUND(O28+X28+Y28,2)+GX28,0)</f>
        <v>0</v>
      </c>
      <c r="GQ28" s="2"/>
      <c r="GR28" s="2">
        <v>0</v>
      </c>
      <c r="GS28" s="2">
        <v>0</v>
      </c>
      <c r="GT28" s="2">
        <v>0</v>
      </c>
      <c r="GU28" s="2" t="s">
        <v>3</v>
      </c>
      <c r="GV28" s="2">
        <f t="shared" si="43"/>
        <v>0</v>
      </c>
      <c r="GW28" s="2">
        <v>1</v>
      </c>
      <c r="GX28" s="2">
        <f t="shared" si="44"/>
        <v>0</v>
      </c>
      <c r="GY28" s="2"/>
      <c r="GZ28" s="2"/>
      <c r="HA28" s="2">
        <v>0</v>
      </c>
      <c r="HB28" s="2">
        <v>0</v>
      </c>
      <c r="HC28" s="2">
        <f t="shared" si="45"/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29</v>
      </c>
      <c r="F29" t="s">
        <v>30</v>
      </c>
      <c r="G29" t="s">
        <v>31</v>
      </c>
      <c r="H29" t="s">
        <v>25</v>
      </c>
      <c r="I29">
        <v>5</v>
      </c>
      <c r="J29">
        <v>0</v>
      </c>
      <c r="O29">
        <f t="shared" si="14"/>
        <v>6825.46</v>
      </c>
      <c r="P29">
        <f t="shared" si="15"/>
        <v>321.08</v>
      </c>
      <c r="Q29">
        <f t="shared" si="16"/>
        <v>97.15</v>
      </c>
      <c r="R29">
        <f t="shared" si="17"/>
        <v>6.51</v>
      </c>
      <c r="S29">
        <f t="shared" si="18"/>
        <v>6407.23</v>
      </c>
      <c r="T29">
        <f t="shared" si="19"/>
        <v>0</v>
      </c>
      <c r="U29">
        <f t="shared" si="20"/>
        <v>23.4</v>
      </c>
      <c r="V29">
        <f t="shared" si="21"/>
        <v>0</v>
      </c>
      <c r="W29">
        <f t="shared" si="22"/>
        <v>0</v>
      </c>
      <c r="X29">
        <f t="shared" si="23"/>
        <v>4933.57</v>
      </c>
      <c r="Y29">
        <f t="shared" si="24"/>
        <v>2626.96</v>
      </c>
      <c r="AA29">
        <v>55106052</v>
      </c>
      <c r="AB29">
        <f t="shared" si="25"/>
        <v>74.47</v>
      </c>
      <c r="AC29">
        <f t="shared" si="26"/>
        <v>11.87</v>
      </c>
      <c r="AD29">
        <f t="shared" si="26"/>
        <v>3.52</v>
      </c>
      <c r="AE29">
        <f t="shared" si="26"/>
        <v>0.06</v>
      </c>
      <c r="AF29">
        <f t="shared" si="26"/>
        <v>59.08</v>
      </c>
      <c r="AG29">
        <f t="shared" si="27"/>
        <v>0</v>
      </c>
      <c r="AH29">
        <f t="shared" si="28"/>
        <v>4.68</v>
      </c>
      <c r="AI29">
        <f t="shared" si="28"/>
        <v>0</v>
      </c>
      <c r="AJ29">
        <f t="shared" si="29"/>
        <v>0</v>
      </c>
      <c r="AK29">
        <v>74.47</v>
      </c>
      <c r="AL29">
        <v>11.87</v>
      </c>
      <c r="AM29">
        <v>3.52</v>
      </c>
      <c r="AN29">
        <v>0.06</v>
      </c>
      <c r="AO29">
        <v>59.08</v>
      </c>
      <c r="AP29">
        <v>0</v>
      </c>
      <c r="AQ29">
        <v>4.68</v>
      </c>
      <c r="AR29">
        <v>0</v>
      </c>
      <c r="AS29">
        <v>0</v>
      </c>
      <c r="AT29">
        <v>77</v>
      </c>
      <c r="AU29">
        <v>41</v>
      </c>
      <c r="AV29">
        <v>1</v>
      </c>
      <c r="AW29">
        <v>1</v>
      </c>
      <c r="AZ29">
        <v>1</v>
      </c>
      <c r="BA29">
        <v>21.69</v>
      </c>
      <c r="BB29">
        <v>5.52</v>
      </c>
      <c r="BC29">
        <v>5.41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2</v>
      </c>
      <c r="BJ29" t="s">
        <v>32</v>
      </c>
      <c r="BM29">
        <v>1352</v>
      </c>
      <c r="BN29">
        <v>0</v>
      </c>
      <c r="BO29" t="s">
        <v>30</v>
      </c>
      <c r="BP29">
        <v>1</v>
      </c>
      <c r="BQ29">
        <v>40</v>
      </c>
      <c r="BR29">
        <v>0</v>
      </c>
      <c r="BS29">
        <v>21.69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77</v>
      </c>
      <c r="CA29">
        <v>41</v>
      </c>
      <c r="CE29">
        <v>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0"/>
        <v>6825.4599999999991</v>
      </c>
      <c r="CQ29">
        <f t="shared" si="31"/>
        <v>64.216700000000003</v>
      </c>
      <c r="CR29">
        <f t="shared" si="32"/>
        <v>19.430399999999999</v>
      </c>
      <c r="CS29">
        <f t="shared" si="33"/>
        <v>1.3014000000000001</v>
      </c>
      <c r="CT29">
        <f t="shared" si="34"/>
        <v>1281.4452000000001</v>
      </c>
      <c r="CU29">
        <f t="shared" si="35"/>
        <v>0</v>
      </c>
      <c r="CV29">
        <f t="shared" si="36"/>
        <v>4.68</v>
      </c>
      <c r="CW29">
        <f t="shared" si="37"/>
        <v>0</v>
      </c>
      <c r="CX29">
        <f t="shared" si="38"/>
        <v>0</v>
      </c>
      <c r="CY29">
        <f t="shared" si="39"/>
        <v>4933.5671000000002</v>
      </c>
      <c r="CZ29">
        <f t="shared" si="40"/>
        <v>2626.9642999999996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114</v>
      </c>
      <c r="DO29">
        <v>67</v>
      </c>
      <c r="DP29">
        <v>1.0469999999999999</v>
      </c>
      <c r="DQ29">
        <v>1</v>
      </c>
      <c r="DU29">
        <v>1013</v>
      </c>
      <c r="DV29" t="s">
        <v>25</v>
      </c>
      <c r="DW29" t="s">
        <v>25</v>
      </c>
      <c r="DX29">
        <v>1</v>
      </c>
      <c r="EE29">
        <v>21988704</v>
      </c>
      <c r="EF29">
        <v>40</v>
      </c>
      <c r="EG29" t="s">
        <v>19</v>
      </c>
      <c r="EH29">
        <v>0</v>
      </c>
      <c r="EI29" t="s">
        <v>3</v>
      </c>
      <c r="EJ29">
        <v>2</v>
      </c>
      <c r="EK29">
        <v>1352</v>
      </c>
      <c r="EL29" t="s">
        <v>27</v>
      </c>
      <c r="EM29" t="s">
        <v>28</v>
      </c>
      <c r="EO29" t="s">
        <v>3</v>
      </c>
      <c r="EQ29">
        <v>131072</v>
      </c>
      <c r="ER29">
        <v>74.47</v>
      </c>
      <c r="ES29">
        <v>11.87</v>
      </c>
      <c r="ET29">
        <v>3.52</v>
      </c>
      <c r="EU29">
        <v>0.06</v>
      </c>
      <c r="EV29">
        <v>59.08</v>
      </c>
      <c r="EW29">
        <v>4.68</v>
      </c>
      <c r="EX29">
        <v>0</v>
      </c>
      <c r="EY29">
        <v>0</v>
      </c>
      <c r="FQ29">
        <v>0</v>
      </c>
      <c r="FR29">
        <f t="shared" si="41"/>
        <v>0</v>
      </c>
      <c r="FS29">
        <v>0</v>
      </c>
      <c r="FX29">
        <v>114</v>
      </c>
      <c r="FY29">
        <v>67</v>
      </c>
      <c r="GA29" t="s">
        <v>3</v>
      </c>
      <c r="GD29">
        <v>0</v>
      </c>
      <c r="GF29">
        <v>-302613050</v>
      </c>
      <c r="GG29">
        <v>2</v>
      </c>
      <c r="GH29">
        <v>1</v>
      </c>
      <c r="GI29">
        <v>2</v>
      </c>
      <c r="GJ29">
        <v>0</v>
      </c>
      <c r="GK29">
        <f>ROUND(R29*(S12)/100,2)</f>
        <v>10.220000000000001</v>
      </c>
      <c r="GL29">
        <f t="shared" si="42"/>
        <v>0</v>
      </c>
      <c r="GM29">
        <f>ROUND(O29+X29+Y29+GK29,2)+GX29</f>
        <v>14396.21</v>
      </c>
      <c r="GN29">
        <f>IF(OR(BI29=0,BI29=1),ROUND(O29+X29+Y29+GK29,2),0)</f>
        <v>0</v>
      </c>
      <c r="GO29">
        <f>IF(BI29=2,ROUND(O29+X29+Y29+GK29,2),0)</f>
        <v>14396.21</v>
      </c>
      <c r="GP29">
        <f>IF(BI29=4,ROUND(O29+X29+Y29+GK29,2)+GX29,0)</f>
        <v>0</v>
      </c>
      <c r="GR29">
        <v>0</v>
      </c>
      <c r="GS29">
        <v>3</v>
      </c>
      <c r="GT29">
        <v>0</v>
      </c>
      <c r="GU29" t="s">
        <v>3</v>
      </c>
      <c r="GV29">
        <f t="shared" si="43"/>
        <v>0</v>
      </c>
      <c r="GW29">
        <v>1</v>
      </c>
      <c r="GX29">
        <f t="shared" si="44"/>
        <v>0</v>
      </c>
      <c r="HA29">
        <v>0</v>
      </c>
      <c r="HB29">
        <v>0</v>
      </c>
      <c r="HC29">
        <f t="shared" si="45"/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ROW(SmtRes!A12)</f>
        <v>12</v>
      </c>
      <c r="D30" s="2">
        <f>ROW(EtalonRes!A13)</f>
        <v>13</v>
      </c>
      <c r="E30" s="2" t="s">
        <v>33</v>
      </c>
      <c r="F30" s="2" t="s">
        <v>34</v>
      </c>
      <c r="G30" s="2" t="s">
        <v>35</v>
      </c>
      <c r="H30" s="2" t="s">
        <v>25</v>
      </c>
      <c r="I30" s="2">
        <v>7</v>
      </c>
      <c r="J30" s="2">
        <v>0</v>
      </c>
      <c r="K30" s="2"/>
      <c r="L30" s="2"/>
      <c r="M30" s="2"/>
      <c r="N30" s="2"/>
      <c r="O30" s="2">
        <f t="shared" si="14"/>
        <v>140.06</v>
      </c>
      <c r="P30" s="2">
        <f t="shared" si="15"/>
        <v>2.87</v>
      </c>
      <c r="Q30" s="2">
        <f t="shared" si="16"/>
        <v>17.41</v>
      </c>
      <c r="R30" s="2">
        <f t="shared" si="17"/>
        <v>0.79</v>
      </c>
      <c r="S30" s="2">
        <f t="shared" si="18"/>
        <v>119.78</v>
      </c>
      <c r="T30" s="2">
        <f t="shared" si="19"/>
        <v>0</v>
      </c>
      <c r="U30" s="2">
        <f t="shared" si="20"/>
        <v>8.9354999999999993</v>
      </c>
      <c r="V30" s="2">
        <f t="shared" si="21"/>
        <v>0</v>
      </c>
      <c r="W30" s="2">
        <f t="shared" si="22"/>
        <v>0</v>
      </c>
      <c r="X30" s="2">
        <f t="shared" si="23"/>
        <v>0</v>
      </c>
      <c r="Y30" s="2">
        <f t="shared" si="24"/>
        <v>0</v>
      </c>
      <c r="Z30" s="2"/>
      <c r="AA30" s="2">
        <v>55106055</v>
      </c>
      <c r="AB30" s="2">
        <f t="shared" si="25"/>
        <v>20.009499999999999</v>
      </c>
      <c r="AC30" s="2">
        <f t="shared" ref="AC30:AC61" si="46">ROUND((ES30),6)</f>
        <v>0.41</v>
      </c>
      <c r="AD30" s="2">
        <f>ROUND(((ET30*1.25)),6)</f>
        <v>2.4874999999999998</v>
      </c>
      <c r="AE30" s="2">
        <f>ROUND(((EU30*1.25)),6)</f>
        <v>0.1125</v>
      </c>
      <c r="AF30" s="2">
        <f>ROUND(((EV30*1.15)),6)</f>
        <v>17.111999999999998</v>
      </c>
      <c r="AG30" s="2">
        <f t="shared" si="27"/>
        <v>0</v>
      </c>
      <c r="AH30" s="2">
        <f>((EW30*1.15))</f>
        <v>1.2765</v>
      </c>
      <c r="AI30" s="2">
        <f>((EX30*1.25))</f>
        <v>0</v>
      </c>
      <c r="AJ30" s="2">
        <f t="shared" si="29"/>
        <v>0</v>
      </c>
      <c r="AK30" s="2">
        <v>17.28</v>
      </c>
      <c r="AL30" s="2">
        <v>0.41</v>
      </c>
      <c r="AM30" s="2">
        <v>1.99</v>
      </c>
      <c r="AN30" s="2">
        <v>0.09</v>
      </c>
      <c r="AO30" s="2">
        <v>14.88</v>
      </c>
      <c r="AP30" s="2">
        <v>0</v>
      </c>
      <c r="AQ30" s="2">
        <v>1.1100000000000001</v>
      </c>
      <c r="AR30" s="2">
        <v>0</v>
      </c>
      <c r="AS30" s="2">
        <v>0</v>
      </c>
      <c r="AT30" s="2">
        <v>0</v>
      </c>
      <c r="AU30" s="2">
        <v>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0</v>
      </c>
      <c r="BI30" s="2">
        <v>1</v>
      </c>
      <c r="BJ30" s="2" t="s">
        <v>36</v>
      </c>
      <c r="BK30" s="2"/>
      <c r="BL30" s="2"/>
      <c r="BM30" s="2">
        <v>87</v>
      </c>
      <c r="BN30" s="2">
        <v>0</v>
      </c>
      <c r="BO30" s="2" t="s">
        <v>3</v>
      </c>
      <c r="BP30" s="2">
        <v>0</v>
      </c>
      <c r="BQ30" s="2">
        <v>30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0</v>
      </c>
      <c r="CA30" s="2">
        <v>0</v>
      </c>
      <c r="CB30" s="2"/>
      <c r="CC30" s="2"/>
      <c r="CD30" s="2"/>
      <c r="CE30" s="2">
        <v>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30"/>
        <v>140.06</v>
      </c>
      <c r="CQ30" s="2">
        <f t="shared" si="31"/>
        <v>0.41</v>
      </c>
      <c r="CR30" s="2">
        <f t="shared" si="32"/>
        <v>2.4874999999999998</v>
      </c>
      <c r="CS30" s="2">
        <f t="shared" si="33"/>
        <v>0.1125</v>
      </c>
      <c r="CT30" s="2">
        <f t="shared" si="34"/>
        <v>17.111999999999998</v>
      </c>
      <c r="CU30" s="2">
        <f t="shared" si="35"/>
        <v>0</v>
      </c>
      <c r="CV30" s="2">
        <f t="shared" si="36"/>
        <v>1.2765</v>
      </c>
      <c r="CW30" s="2">
        <f t="shared" si="37"/>
        <v>0</v>
      </c>
      <c r="CX30" s="2">
        <f t="shared" si="38"/>
        <v>0</v>
      </c>
      <c r="CY30" s="2">
        <f t="shared" si="39"/>
        <v>0</v>
      </c>
      <c r="CZ30" s="2">
        <f t="shared" si="40"/>
        <v>0</v>
      </c>
      <c r="DA30" s="2"/>
      <c r="DB30" s="2"/>
      <c r="DC30" s="2" t="s">
        <v>3</v>
      </c>
      <c r="DD30" s="2" t="s">
        <v>3</v>
      </c>
      <c r="DE30" s="2" t="s">
        <v>37</v>
      </c>
      <c r="DF30" s="2" t="s">
        <v>37</v>
      </c>
      <c r="DG30" s="2" t="s">
        <v>38</v>
      </c>
      <c r="DH30" s="2" t="s">
        <v>3</v>
      </c>
      <c r="DI30" s="2" t="s">
        <v>38</v>
      </c>
      <c r="DJ30" s="2" t="s">
        <v>37</v>
      </c>
      <c r="DK30" s="2" t="s">
        <v>3</v>
      </c>
      <c r="DL30" s="2" t="s">
        <v>3</v>
      </c>
      <c r="DM30" s="2" t="s">
        <v>3</v>
      </c>
      <c r="DN30" s="2">
        <v>91</v>
      </c>
      <c r="DO30" s="2">
        <v>70</v>
      </c>
      <c r="DP30" s="2">
        <v>1.0469999999999999</v>
      </c>
      <c r="DQ30" s="2">
        <v>1.002</v>
      </c>
      <c r="DR30" s="2"/>
      <c r="DS30" s="2"/>
      <c r="DT30" s="2"/>
      <c r="DU30" s="2">
        <v>1013</v>
      </c>
      <c r="DV30" s="2" t="s">
        <v>25</v>
      </c>
      <c r="DW30" s="2" t="s">
        <v>25</v>
      </c>
      <c r="DX30" s="2">
        <v>1</v>
      </c>
      <c r="DY30" s="2"/>
      <c r="DZ30" s="2"/>
      <c r="EA30" s="2"/>
      <c r="EB30" s="2"/>
      <c r="EC30" s="2"/>
      <c r="ED30" s="2"/>
      <c r="EE30" s="2">
        <v>21987439</v>
      </c>
      <c r="EF30" s="2">
        <v>30</v>
      </c>
      <c r="EG30" s="2" t="s">
        <v>39</v>
      </c>
      <c r="EH30" s="2">
        <v>0</v>
      </c>
      <c r="EI30" s="2" t="s">
        <v>3</v>
      </c>
      <c r="EJ30" s="2">
        <v>1</v>
      </c>
      <c r="EK30" s="2">
        <v>87</v>
      </c>
      <c r="EL30" s="2" t="s">
        <v>40</v>
      </c>
      <c r="EM30" s="2" t="s">
        <v>41</v>
      </c>
      <c r="EN30" s="2"/>
      <c r="EO30" s="2" t="s">
        <v>3</v>
      </c>
      <c r="EP30" s="2"/>
      <c r="EQ30" s="2">
        <v>131072</v>
      </c>
      <c r="ER30" s="2">
        <v>17.28</v>
      </c>
      <c r="ES30" s="2">
        <v>0.41</v>
      </c>
      <c r="ET30" s="2">
        <v>1.99</v>
      </c>
      <c r="EU30" s="2">
        <v>0.09</v>
      </c>
      <c r="EV30" s="2">
        <v>14.88</v>
      </c>
      <c r="EW30" s="2">
        <v>1.1100000000000001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1"/>
        <v>0</v>
      </c>
      <c r="FS30" s="2">
        <v>0</v>
      </c>
      <c r="FT30" s="2"/>
      <c r="FU30" s="2"/>
      <c r="FV30" s="2"/>
      <c r="FW30" s="2"/>
      <c r="FX30" s="2">
        <v>91</v>
      </c>
      <c r="FY30" s="2">
        <v>70</v>
      </c>
      <c r="FZ30" s="2"/>
      <c r="GA30" s="2" t="s">
        <v>3</v>
      </c>
      <c r="GB30" s="2"/>
      <c r="GC30" s="2"/>
      <c r="GD30" s="2">
        <v>1</v>
      </c>
      <c r="GE30" s="2"/>
      <c r="GF30" s="2">
        <v>1307162067</v>
      </c>
      <c r="GG30" s="2">
        <v>2</v>
      </c>
      <c r="GH30" s="2">
        <v>1</v>
      </c>
      <c r="GI30" s="2">
        <v>-2</v>
      </c>
      <c r="GJ30" s="2">
        <v>0</v>
      </c>
      <c r="GK30" s="2">
        <v>0</v>
      </c>
      <c r="GL30" s="2">
        <f t="shared" si="42"/>
        <v>0</v>
      </c>
      <c r="GM30" s="2">
        <f>ROUND(O30+X30+Y30,2)+GX30</f>
        <v>140.06</v>
      </c>
      <c r="GN30" s="2">
        <f>IF(OR(BI30=0,BI30=1),ROUND(O30+X30+Y30,2),0)</f>
        <v>140.06</v>
      </c>
      <c r="GO30" s="2">
        <f>IF(BI30=2,ROUND(O30+X30+Y30,2),0)</f>
        <v>0</v>
      </c>
      <c r="GP30" s="2">
        <f>IF(BI30=4,ROUND(O30+X30+Y30,2)+GX30,0)</f>
        <v>0</v>
      </c>
      <c r="GQ30" s="2"/>
      <c r="GR30" s="2">
        <v>0</v>
      </c>
      <c r="GS30" s="2">
        <v>0</v>
      </c>
      <c r="GT30" s="2">
        <v>0</v>
      </c>
      <c r="GU30" s="2" t="s">
        <v>3</v>
      </c>
      <c r="GV30" s="2">
        <f t="shared" si="43"/>
        <v>0</v>
      </c>
      <c r="GW30" s="2">
        <v>1</v>
      </c>
      <c r="GX30" s="2">
        <f t="shared" si="44"/>
        <v>0</v>
      </c>
      <c r="GY30" s="2"/>
      <c r="GZ30" s="2"/>
      <c r="HA30" s="2">
        <v>0</v>
      </c>
      <c r="HB30" s="2">
        <v>0</v>
      </c>
      <c r="HC30" s="2">
        <f t="shared" si="45"/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ROW(SmtRes!A18)</f>
        <v>18</v>
      </c>
      <c r="D31">
        <f>ROW(EtalonRes!A20)</f>
        <v>20</v>
      </c>
      <c r="E31" t="s">
        <v>33</v>
      </c>
      <c r="F31" t="s">
        <v>34</v>
      </c>
      <c r="G31" t="s">
        <v>35</v>
      </c>
      <c r="H31" t="s">
        <v>25</v>
      </c>
      <c r="I31">
        <v>7</v>
      </c>
      <c r="J31">
        <v>0</v>
      </c>
      <c r="O31">
        <f t="shared" si="14"/>
        <v>2731.67</v>
      </c>
      <c r="P31">
        <f t="shared" si="15"/>
        <v>12.89</v>
      </c>
      <c r="Q31">
        <f t="shared" si="16"/>
        <v>120.67</v>
      </c>
      <c r="R31">
        <f t="shared" si="17"/>
        <v>17.079999999999998</v>
      </c>
      <c r="S31">
        <f t="shared" si="18"/>
        <v>2598.11</v>
      </c>
      <c r="T31">
        <f t="shared" si="19"/>
        <v>0</v>
      </c>
      <c r="U31">
        <f t="shared" si="20"/>
        <v>8.9354999999999993</v>
      </c>
      <c r="V31">
        <f t="shared" si="21"/>
        <v>0</v>
      </c>
      <c r="W31">
        <f t="shared" si="22"/>
        <v>0</v>
      </c>
      <c r="X31">
        <f t="shared" si="23"/>
        <v>1896.62</v>
      </c>
      <c r="Y31">
        <f t="shared" si="24"/>
        <v>1065.23</v>
      </c>
      <c r="AA31">
        <v>55106052</v>
      </c>
      <c r="AB31">
        <f t="shared" si="25"/>
        <v>20.009499999999999</v>
      </c>
      <c r="AC31">
        <f t="shared" si="46"/>
        <v>0.41</v>
      </c>
      <c r="AD31">
        <f>ROUND(((ET31*1.25)),6)</f>
        <v>2.4874999999999998</v>
      </c>
      <c r="AE31">
        <f>ROUND(((EU31*1.25)),6)</f>
        <v>0.1125</v>
      </c>
      <c r="AF31">
        <f>ROUND(((EV31*1.15)),6)</f>
        <v>17.111999999999998</v>
      </c>
      <c r="AG31">
        <f t="shared" si="27"/>
        <v>0</v>
      </c>
      <c r="AH31">
        <f>((EW31*1.15))</f>
        <v>1.2765</v>
      </c>
      <c r="AI31">
        <f>((EX31*1.25))</f>
        <v>0</v>
      </c>
      <c r="AJ31">
        <f t="shared" si="29"/>
        <v>0</v>
      </c>
      <c r="AK31">
        <v>17.28</v>
      </c>
      <c r="AL31">
        <v>0.41</v>
      </c>
      <c r="AM31">
        <v>1.99</v>
      </c>
      <c r="AN31">
        <v>0.09</v>
      </c>
      <c r="AO31">
        <v>14.88</v>
      </c>
      <c r="AP31">
        <v>0</v>
      </c>
      <c r="AQ31">
        <v>1.1100000000000001</v>
      </c>
      <c r="AR31">
        <v>0</v>
      </c>
      <c r="AS31">
        <v>0</v>
      </c>
      <c r="AT31">
        <v>73</v>
      </c>
      <c r="AU31">
        <v>41</v>
      </c>
      <c r="AV31">
        <v>1</v>
      </c>
      <c r="AW31">
        <v>1</v>
      </c>
      <c r="AZ31">
        <v>1</v>
      </c>
      <c r="BA31">
        <v>21.69</v>
      </c>
      <c r="BB31">
        <v>6.93</v>
      </c>
      <c r="BC31">
        <v>4.49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36</v>
      </c>
      <c r="BM31">
        <v>87</v>
      </c>
      <c r="BN31">
        <v>0</v>
      </c>
      <c r="BO31" t="s">
        <v>34</v>
      </c>
      <c r="BP31">
        <v>1</v>
      </c>
      <c r="BQ31">
        <v>30</v>
      </c>
      <c r="BR31">
        <v>0</v>
      </c>
      <c r="BS31">
        <v>21.69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73</v>
      </c>
      <c r="CA31">
        <v>41</v>
      </c>
      <c r="CE31">
        <v>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0"/>
        <v>2731.67</v>
      </c>
      <c r="CQ31">
        <f t="shared" si="31"/>
        <v>1.8409</v>
      </c>
      <c r="CR31">
        <f t="shared" si="32"/>
        <v>17.238374999999998</v>
      </c>
      <c r="CS31">
        <f t="shared" si="33"/>
        <v>2.4401250000000001</v>
      </c>
      <c r="CT31">
        <f t="shared" si="34"/>
        <v>371.15927999999997</v>
      </c>
      <c r="CU31">
        <f t="shared" si="35"/>
        <v>0</v>
      </c>
      <c r="CV31">
        <f t="shared" si="36"/>
        <v>1.2765</v>
      </c>
      <c r="CW31">
        <f t="shared" si="37"/>
        <v>0</v>
      </c>
      <c r="CX31">
        <f t="shared" si="38"/>
        <v>0</v>
      </c>
      <c r="CY31">
        <f t="shared" si="39"/>
        <v>1896.6203</v>
      </c>
      <c r="CZ31">
        <f t="shared" si="40"/>
        <v>1065.2250999999999</v>
      </c>
      <c r="DC31" t="s">
        <v>3</v>
      </c>
      <c r="DD31" t="s">
        <v>3</v>
      </c>
      <c r="DE31" t="s">
        <v>37</v>
      </c>
      <c r="DF31" t="s">
        <v>37</v>
      </c>
      <c r="DG31" t="s">
        <v>38</v>
      </c>
      <c r="DH31" t="s">
        <v>3</v>
      </c>
      <c r="DI31" t="s">
        <v>38</v>
      </c>
      <c r="DJ31" t="s">
        <v>37</v>
      </c>
      <c r="DK31" t="s">
        <v>3</v>
      </c>
      <c r="DL31" t="s">
        <v>3</v>
      </c>
      <c r="DM31" t="s">
        <v>3</v>
      </c>
      <c r="DN31">
        <v>91</v>
      </c>
      <c r="DO31">
        <v>70</v>
      </c>
      <c r="DP31">
        <v>1.0469999999999999</v>
      </c>
      <c r="DQ31">
        <v>1.002</v>
      </c>
      <c r="DU31">
        <v>1013</v>
      </c>
      <c r="DV31" t="s">
        <v>25</v>
      </c>
      <c r="DW31" t="s">
        <v>25</v>
      </c>
      <c r="DX31">
        <v>1</v>
      </c>
      <c r="EE31">
        <v>21987439</v>
      </c>
      <c r="EF31">
        <v>30</v>
      </c>
      <c r="EG31" t="s">
        <v>39</v>
      </c>
      <c r="EH31">
        <v>0</v>
      </c>
      <c r="EI31" t="s">
        <v>3</v>
      </c>
      <c r="EJ31">
        <v>1</v>
      </c>
      <c r="EK31">
        <v>87</v>
      </c>
      <c r="EL31" t="s">
        <v>40</v>
      </c>
      <c r="EM31" t="s">
        <v>41</v>
      </c>
      <c r="EO31" t="s">
        <v>3</v>
      </c>
      <c r="EQ31">
        <v>131072</v>
      </c>
      <c r="ER31">
        <v>17.28</v>
      </c>
      <c r="ES31">
        <v>0.41</v>
      </c>
      <c r="ET31">
        <v>1.99</v>
      </c>
      <c r="EU31">
        <v>0.09</v>
      </c>
      <c r="EV31">
        <v>14.88</v>
      </c>
      <c r="EW31">
        <v>1.1100000000000001</v>
      </c>
      <c r="EX31">
        <v>0</v>
      </c>
      <c r="EY31">
        <v>0</v>
      </c>
      <c r="FQ31">
        <v>0</v>
      </c>
      <c r="FR31">
        <f t="shared" si="41"/>
        <v>0</v>
      </c>
      <c r="FS31">
        <v>0</v>
      </c>
      <c r="FX31">
        <v>91</v>
      </c>
      <c r="FY31">
        <v>70</v>
      </c>
      <c r="GA31" t="s">
        <v>3</v>
      </c>
      <c r="GD31">
        <v>0</v>
      </c>
      <c r="GF31">
        <v>1307162067</v>
      </c>
      <c r="GG31">
        <v>2</v>
      </c>
      <c r="GH31">
        <v>1</v>
      </c>
      <c r="GI31">
        <v>2</v>
      </c>
      <c r="GJ31">
        <v>0</v>
      </c>
      <c r="GK31">
        <f>ROUND(R31*(S12)/100,2)</f>
        <v>26.82</v>
      </c>
      <c r="GL31">
        <f t="shared" si="42"/>
        <v>0</v>
      </c>
      <c r="GM31">
        <f>ROUND(O31+X31+Y31+GK31,2)+GX31</f>
        <v>5720.34</v>
      </c>
      <c r="GN31">
        <f>IF(OR(BI31=0,BI31=1),ROUND(O31+X31+Y31+GK31,2),0)</f>
        <v>5720.34</v>
      </c>
      <c r="GO31">
        <f>IF(BI31=2,ROUND(O31+X31+Y31+GK31,2),0)</f>
        <v>0</v>
      </c>
      <c r="GP31">
        <f>IF(BI31=4,ROUND(O31+X31+Y31+GK31,2)+GX31,0)</f>
        <v>0</v>
      </c>
      <c r="GR31">
        <v>0</v>
      </c>
      <c r="GS31">
        <v>3</v>
      </c>
      <c r="GT31">
        <v>0</v>
      </c>
      <c r="GU31" t="s">
        <v>3</v>
      </c>
      <c r="GV31">
        <f t="shared" si="43"/>
        <v>0</v>
      </c>
      <c r="GW31">
        <v>1</v>
      </c>
      <c r="GX31">
        <f t="shared" si="44"/>
        <v>0</v>
      </c>
      <c r="HA31">
        <v>0</v>
      </c>
      <c r="HB31">
        <v>0</v>
      </c>
      <c r="HC31">
        <f t="shared" si="45"/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ROW(SmtRes!A20)</f>
        <v>20</v>
      </c>
      <c r="D32" s="2">
        <f>ROW(EtalonRes!A21)</f>
        <v>21</v>
      </c>
      <c r="E32" s="2" t="s">
        <v>42</v>
      </c>
      <c r="F32" s="2" t="s">
        <v>43</v>
      </c>
      <c r="G32" s="2" t="s">
        <v>44</v>
      </c>
      <c r="H32" s="2" t="s">
        <v>25</v>
      </c>
      <c r="I32" s="2">
        <v>7</v>
      </c>
      <c r="J32" s="2">
        <v>0</v>
      </c>
      <c r="K32" s="2"/>
      <c r="L32" s="2"/>
      <c r="M32" s="2"/>
      <c r="N32" s="2"/>
      <c r="O32" s="2">
        <f t="shared" si="14"/>
        <v>95.55</v>
      </c>
      <c r="P32" s="2">
        <f t="shared" si="15"/>
        <v>12.25</v>
      </c>
      <c r="Q32" s="2">
        <f t="shared" si="16"/>
        <v>0</v>
      </c>
      <c r="R32" s="2">
        <f t="shared" si="17"/>
        <v>0</v>
      </c>
      <c r="S32" s="2">
        <f t="shared" si="18"/>
        <v>83.3</v>
      </c>
      <c r="T32" s="2">
        <f t="shared" si="19"/>
        <v>0</v>
      </c>
      <c r="U32" s="2">
        <f t="shared" si="20"/>
        <v>7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55106055</v>
      </c>
      <c r="AB32" s="2">
        <f t="shared" si="25"/>
        <v>13.65</v>
      </c>
      <c r="AC32" s="2">
        <f t="shared" si="46"/>
        <v>1.75</v>
      </c>
      <c r="AD32" s="2">
        <f t="shared" ref="AD32:AD77" si="47">ROUND((ET32),6)</f>
        <v>0</v>
      </c>
      <c r="AE32" s="2">
        <f t="shared" ref="AE32:AE77" si="48">ROUND((EU32),6)</f>
        <v>0</v>
      </c>
      <c r="AF32" s="2">
        <f t="shared" ref="AF32:AF77" si="49">ROUND((EV32),6)</f>
        <v>11.9</v>
      </c>
      <c r="AG32" s="2">
        <f t="shared" si="27"/>
        <v>0</v>
      </c>
      <c r="AH32" s="2">
        <f t="shared" ref="AH32:AH77" si="50">(EW32)</f>
        <v>1</v>
      </c>
      <c r="AI32" s="2">
        <f t="shared" ref="AI32:AI77" si="51">(EX32)</f>
        <v>0</v>
      </c>
      <c r="AJ32" s="2">
        <f t="shared" si="29"/>
        <v>0</v>
      </c>
      <c r="AK32" s="2">
        <v>13.65</v>
      </c>
      <c r="AL32" s="2">
        <v>1.75</v>
      </c>
      <c r="AM32" s="2">
        <v>0</v>
      </c>
      <c r="AN32" s="2">
        <v>0</v>
      </c>
      <c r="AO32" s="2">
        <v>11.9</v>
      </c>
      <c r="AP32" s="2">
        <v>0</v>
      </c>
      <c r="AQ32" s="2">
        <v>1</v>
      </c>
      <c r="AR32" s="2">
        <v>0</v>
      </c>
      <c r="AS32" s="2">
        <v>0</v>
      </c>
      <c r="AT32" s="2">
        <v>0</v>
      </c>
      <c r="AU32" s="2">
        <v>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2</v>
      </c>
      <c r="BJ32" s="2" t="s">
        <v>45</v>
      </c>
      <c r="BK32" s="2"/>
      <c r="BL32" s="2"/>
      <c r="BM32" s="2">
        <v>336</v>
      </c>
      <c r="BN32" s="2">
        <v>0</v>
      </c>
      <c r="BO32" s="2" t="s">
        <v>3</v>
      </c>
      <c r="BP32" s="2">
        <v>0</v>
      </c>
      <c r="BQ32" s="2">
        <v>40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0</v>
      </c>
      <c r="CA32" s="2">
        <v>0</v>
      </c>
      <c r="CB32" s="2"/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</v>
      </c>
      <c r="CO32" s="2">
        <v>0</v>
      </c>
      <c r="CP32" s="2">
        <f t="shared" si="30"/>
        <v>95.55</v>
      </c>
      <c r="CQ32" s="2">
        <f t="shared" si="31"/>
        <v>1.75</v>
      </c>
      <c r="CR32" s="2">
        <f t="shared" si="32"/>
        <v>0</v>
      </c>
      <c r="CS32" s="2">
        <f t="shared" si="33"/>
        <v>0</v>
      </c>
      <c r="CT32" s="2">
        <f t="shared" si="34"/>
        <v>11.9</v>
      </c>
      <c r="CU32" s="2">
        <f t="shared" si="35"/>
        <v>0</v>
      </c>
      <c r="CV32" s="2">
        <f t="shared" si="36"/>
        <v>1</v>
      </c>
      <c r="CW32" s="2">
        <f t="shared" si="37"/>
        <v>0</v>
      </c>
      <c r="CX32" s="2">
        <f t="shared" si="38"/>
        <v>0</v>
      </c>
      <c r="CY32" s="2">
        <f t="shared" si="39"/>
        <v>0</v>
      </c>
      <c r="CZ32" s="2">
        <f t="shared" si="40"/>
        <v>0</v>
      </c>
      <c r="DA32" s="2"/>
      <c r="DB32" s="2"/>
      <c r="DC32" s="2" t="s">
        <v>3</v>
      </c>
      <c r="DD32" s="2" t="s">
        <v>3</v>
      </c>
      <c r="DE32" s="2" t="s">
        <v>3</v>
      </c>
      <c r="DF32" s="2" t="s">
        <v>3</v>
      </c>
      <c r="DG32" s="2" t="s">
        <v>3</v>
      </c>
      <c r="DH32" s="2" t="s">
        <v>3</v>
      </c>
      <c r="DI32" s="2" t="s">
        <v>3</v>
      </c>
      <c r="DJ32" s="2" t="s">
        <v>3</v>
      </c>
      <c r="DK32" s="2" t="s">
        <v>3</v>
      </c>
      <c r="DL32" s="2" t="s">
        <v>3</v>
      </c>
      <c r="DM32" s="2" t="s">
        <v>3</v>
      </c>
      <c r="DN32" s="2">
        <v>114</v>
      </c>
      <c r="DO32" s="2">
        <v>67</v>
      </c>
      <c r="DP32" s="2">
        <v>1.0469999999999999</v>
      </c>
      <c r="DQ32" s="2">
        <v>1</v>
      </c>
      <c r="DR32" s="2"/>
      <c r="DS32" s="2"/>
      <c r="DT32" s="2"/>
      <c r="DU32" s="2">
        <v>1013</v>
      </c>
      <c r="DV32" s="2" t="s">
        <v>25</v>
      </c>
      <c r="DW32" s="2" t="s">
        <v>25</v>
      </c>
      <c r="DX32" s="2">
        <v>1</v>
      </c>
      <c r="DY32" s="2"/>
      <c r="DZ32" s="2"/>
      <c r="EA32" s="2"/>
      <c r="EB32" s="2"/>
      <c r="EC32" s="2"/>
      <c r="ED32" s="2"/>
      <c r="EE32" s="2">
        <v>21987688</v>
      </c>
      <c r="EF32" s="2">
        <v>40</v>
      </c>
      <c r="EG32" s="2" t="s">
        <v>19</v>
      </c>
      <c r="EH32" s="2">
        <v>0</v>
      </c>
      <c r="EI32" s="2" t="s">
        <v>3</v>
      </c>
      <c r="EJ32" s="2">
        <v>2</v>
      </c>
      <c r="EK32" s="2">
        <v>336</v>
      </c>
      <c r="EL32" s="2" t="s">
        <v>46</v>
      </c>
      <c r="EM32" s="2" t="s">
        <v>47</v>
      </c>
      <c r="EN32" s="2"/>
      <c r="EO32" s="2" t="s">
        <v>3</v>
      </c>
      <c r="EP32" s="2"/>
      <c r="EQ32" s="2">
        <v>131072</v>
      </c>
      <c r="ER32" s="2">
        <v>13.65</v>
      </c>
      <c r="ES32" s="2">
        <v>1.75</v>
      </c>
      <c r="ET32" s="2">
        <v>0</v>
      </c>
      <c r="EU32" s="2">
        <v>0</v>
      </c>
      <c r="EV32" s="2">
        <v>11.9</v>
      </c>
      <c r="EW32" s="2">
        <v>1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1"/>
        <v>0</v>
      </c>
      <c r="FS32" s="2">
        <v>0</v>
      </c>
      <c r="FT32" s="2"/>
      <c r="FU32" s="2"/>
      <c r="FV32" s="2"/>
      <c r="FW32" s="2"/>
      <c r="FX32" s="2">
        <v>114</v>
      </c>
      <c r="FY32" s="2">
        <v>67</v>
      </c>
      <c r="FZ32" s="2"/>
      <c r="GA32" s="2" t="s">
        <v>3</v>
      </c>
      <c r="GB32" s="2"/>
      <c r="GC32" s="2"/>
      <c r="GD32" s="2">
        <v>1</v>
      </c>
      <c r="GE32" s="2"/>
      <c r="GF32" s="2">
        <v>-695840693</v>
      </c>
      <c r="GG32" s="2">
        <v>2</v>
      </c>
      <c r="GH32" s="2">
        <v>1</v>
      </c>
      <c r="GI32" s="2">
        <v>-2</v>
      </c>
      <c r="GJ32" s="2">
        <v>0</v>
      </c>
      <c r="GK32" s="2">
        <v>0</v>
      </c>
      <c r="GL32" s="2">
        <f t="shared" si="42"/>
        <v>0</v>
      </c>
      <c r="GM32" s="2">
        <f>ROUND(O32+X32+Y32,2)+GX32</f>
        <v>95.55</v>
      </c>
      <c r="GN32" s="2">
        <f>IF(OR(BI32=0,BI32=1),ROUND(O32+X32+Y32,2),0)</f>
        <v>0</v>
      </c>
      <c r="GO32" s="2">
        <f>IF(BI32=2,ROUND(O32+X32+Y32,2),0)</f>
        <v>95.55</v>
      </c>
      <c r="GP32" s="2">
        <f>IF(BI32=4,ROUND(O32+X32+Y32,2)+GX32,0)</f>
        <v>0</v>
      </c>
      <c r="GQ32" s="2"/>
      <c r="GR32" s="2">
        <v>0</v>
      </c>
      <c r="GS32" s="2">
        <v>3</v>
      </c>
      <c r="GT32" s="2">
        <v>0</v>
      </c>
      <c r="GU32" s="2" t="s">
        <v>3</v>
      </c>
      <c r="GV32" s="2">
        <f t="shared" si="43"/>
        <v>0</v>
      </c>
      <c r="GW32" s="2">
        <v>1</v>
      </c>
      <c r="GX32" s="2">
        <f t="shared" si="44"/>
        <v>0</v>
      </c>
      <c r="GY32" s="2"/>
      <c r="GZ32" s="2"/>
      <c r="HA32" s="2">
        <v>0</v>
      </c>
      <c r="HB32" s="2">
        <v>0</v>
      </c>
      <c r="HC32" s="2">
        <f t="shared" si="45"/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ROW(SmtRes!A22)</f>
        <v>22</v>
      </c>
      <c r="D33">
        <f>ROW(EtalonRes!A22)</f>
        <v>22</v>
      </c>
      <c r="E33" t="s">
        <v>42</v>
      </c>
      <c r="F33" t="s">
        <v>43</v>
      </c>
      <c r="G33" t="s">
        <v>44</v>
      </c>
      <c r="H33" t="s">
        <v>25</v>
      </c>
      <c r="I33">
        <v>7</v>
      </c>
      <c r="J33">
        <v>0</v>
      </c>
      <c r="O33">
        <f t="shared" si="14"/>
        <v>1873.05</v>
      </c>
      <c r="P33">
        <f t="shared" si="15"/>
        <v>66.27</v>
      </c>
      <c r="Q33">
        <f t="shared" si="16"/>
        <v>0</v>
      </c>
      <c r="R33">
        <f t="shared" si="17"/>
        <v>0</v>
      </c>
      <c r="S33">
        <f t="shared" si="18"/>
        <v>1806.78</v>
      </c>
      <c r="T33">
        <f t="shared" si="19"/>
        <v>0</v>
      </c>
      <c r="U33">
        <f t="shared" si="20"/>
        <v>7</v>
      </c>
      <c r="V33">
        <f t="shared" si="21"/>
        <v>0</v>
      </c>
      <c r="W33">
        <f t="shared" si="22"/>
        <v>0</v>
      </c>
      <c r="X33">
        <f t="shared" si="23"/>
        <v>1391.22</v>
      </c>
      <c r="Y33">
        <f t="shared" si="24"/>
        <v>740.78</v>
      </c>
      <c r="AA33">
        <v>55106052</v>
      </c>
      <c r="AB33">
        <f t="shared" si="25"/>
        <v>13.65</v>
      </c>
      <c r="AC33">
        <f t="shared" si="46"/>
        <v>1.75</v>
      </c>
      <c r="AD33">
        <f t="shared" si="47"/>
        <v>0</v>
      </c>
      <c r="AE33">
        <f t="shared" si="48"/>
        <v>0</v>
      </c>
      <c r="AF33">
        <f t="shared" si="49"/>
        <v>11.9</v>
      </c>
      <c r="AG33">
        <f t="shared" si="27"/>
        <v>0</v>
      </c>
      <c r="AH33">
        <f t="shared" si="50"/>
        <v>1</v>
      </c>
      <c r="AI33">
        <f t="shared" si="51"/>
        <v>0</v>
      </c>
      <c r="AJ33">
        <f t="shared" si="29"/>
        <v>0</v>
      </c>
      <c r="AK33">
        <v>13.65</v>
      </c>
      <c r="AL33">
        <v>1.75</v>
      </c>
      <c r="AM33">
        <v>0</v>
      </c>
      <c r="AN33">
        <v>0</v>
      </c>
      <c r="AO33">
        <v>11.9</v>
      </c>
      <c r="AP33">
        <v>0</v>
      </c>
      <c r="AQ33">
        <v>1</v>
      </c>
      <c r="AR33">
        <v>0</v>
      </c>
      <c r="AS33">
        <v>0</v>
      </c>
      <c r="AT33">
        <v>77</v>
      </c>
      <c r="AU33">
        <v>41</v>
      </c>
      <c r="AV33">
        <v>1</v>
      </c>
      <c r="AW33">
        <v>1</v>
      </c>
      <c r="AZ33">
        <v>1</v>
      </c>
      <c r="BA33">
        <v>21.69</v>
      </c>
      <c r="BB33">
        <v>1</v>
      </c>
      <c r="BC33">
        <v>5.41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2</v>
      </c>
      <c r="BJ33" t="s">
        <v>45</v>
      </c>
      <c r="BM33">
        <v>336</v>
      </c>
      <c r="BN33">
        <v>0</v>
      </c>
      <c r="BO33" t="s">
        <v>43</v>
      </c>
      <c r="BP33">
        <v>1</v>
      </c>
      <c r="BQ33">
        <v>40</v>
      </c>
      <c r="BR33">
        <v>0</v>
      </c>
      <c r="BS33">
        <v>21.69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77</v>
      </c>
      <c r="CA33">
        <v>41</v>
      </c>
      <c r="CE33">
        <v>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0"/>
        <v>1873.05</v>
      </c>
      <c r="CQ33">
        <f t="shared" si="31"/>
        <v>9.4675000000000011</v>
      </c>
      <c r="CR33">
        <f t="shared" si="32"/>
        <v>0</v>
      </c>
      <c r="CS33">
        <f t="shared" si="33"/>
        <v>0</v>
      </c>
      <c r="CT33">
        <f t="shared" si="34"/>
        <v>258.11100000000005</v>
      </c>
      <c r="CU33">
        <f t="shared" si="35"/>
        <v>0</v>
      </c>
      <c r="CV33">
        <f t="shared" si="36"/>
        <v>1</v>
      </c>
      <c r="CW33">
        <f t="shared" si="37"/>
        <v>0</v>
      </c>
      <c r="CX33">
        <f t="shared" si="38"/>
        <v>0</v>
      </c>
      <c r="CY33">
        <f t="shared" si="39"/>
        <v>1391.2206000000001</v>
      </c>
      <c r="CZ33">
        <f t="shared" si="40"/>
        <v>740.77979999999991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114</v>
      </c>
      <c r="DO33">
        <v>67</v>
      </c>
      <c r="DP33">
        <v>1.0469999999999999</v>
      </c>
      <c r="DQ33">
        <v>1</v>
      </c>
      <c r="DU33">
        <v>1013</v>
      </c>
      <c r="DV33" t="s">
        <v>25</v>
      </c>
      <c r="DW33" t="s">
        <v>25</v>
      </c>
      <c r="DX33">
        <v>1</v>
      </c>
      <c r="EE33">
        <v>21987688</v>
      </c>
      <c r="EF33">
        <v>40</v>
      </c>
      <c r="EG33" t="s">
        <v>19</v>
      </c>
      <c r="EH33">
        <v>0</v>
      </c>
      <c r="EI33" t="s">
        <v>3</v>
      </c>
      <c r="EJ33">
        <v>2</v>
      </c>
      <c r="EK33">
        <v>336</v>
      </c>
      <c r="EL33" t="s">
        <v>46</v>
      </c>
      <c r="EM33" t="s">
        <v>47</v>
      </c>
      <c r="EO33" t="s">
        <v>3</v>
      </c>
      <c r="EQ33">
        <v>131072</v>
      </c>
      <c r="ER33">
        <v>13.65</v>
      </c>
      <c r="ES33">
        <v>1.75</v>
      </c>
      <c r="ET33">
        <v>0</v>
      </c>
      <c r="EU33">
        <v>0</v>
      </c>
      <c r="EV33">
        <v>11.9</v>
      </c>
      <c r="EW33">
        <v>1</v>
      </c>
      <c r="EX33">
        <v>0</v>
      </c>
      <c r="EY33">
        <v>0</v>
      </c>
      <c r="FQ33">
        <v>0</v>
      </c>
      <c r="FR33">
        <f t="shared" si="41"/>
        <v>0</v>
      </c>
      <c r="FS33">
        <v>0</v>
      </c>
      <c r="FX33">
        <v>114</v>
      </c>
      <c r="FY33">
        <v>67</v>
      </c>
      <c r="GA33" t="s">
        <v>3</v>
      </c>
      <c r="GD33">
        <v>0</v>
      </c>
      <c r="GF33">
        <v>-695840693</v>
      </c>
      <c r="GG33">
        <v>2</v>
      </c>
      <c r="GH33">
        <v>1</v>
      </c>
      <c r="GI33">
        <v>2</v>
      </c>
      <c r="GJ33">
        <v>0</v>
      </c>
      <c r="GK33">
        <f>ROUND(R33*(S12)/100,2)</f>
        <v>0</v>
      </c>
      <c r="GL33">
        <f t="shared" si="42"/>
        <v>0</v>
      </c>
      <c r="GM33">
        <f>ROUND(O33+X33+Y33+GK33,2)+GX33</f>
        <v>4005.05</v>
      </c>
      <c r="GN33">
        <f>IF(OR(BI33=0,BI33=1),ROUND(O33+X33+Y33+GK33,2),0)</f>
        <v>0</v>
      </c>
      <c r="GO33">
        <f>IF(BI33=2,ROUND(O33+X33+Y33+GK33,2),0)</f>
        <v>4005.05</v>
      </c>
      <c r="GP33">
        <f>IF(BI33=4,ROUND(O33+X33+Y33+GK33,2)+GX33,0)</f>
        <v>0</v>
      </c>
      <c r="GR33">
        <v>0</v>
      </c>
      <c r="GS33">
        <v>3</v>
      </c>
      <c r="GT33">
        <v>0</v>
      </c>
      <c r="GU33" t="s">
        <v>3</v>
      </c>
      <c r="GV33">
        <f t="shared" si="43"/>
        <v>0</v>
      </c>
      <c r="GW33">
        <v>1</v>
      </c>
      <c r="GX33">
        <f t="shared" si="44"/>
        <v>0</v>
      </c>
      <c r="HA33">
        <v>0</v>
      </c>
      <c r="HB33">
        <v>0</v>
      </c>
      <c r="HC33">
        <f t="shared" si="45"/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20</v>
      </c>
      <c r="D34" s="2"/>
      <c r="E34" s="2" t="s">
        <v>48</v>
      </c>
      <c r="F34" s="2" t="s">
        <v>49</v>
      </c>
      <c r="G34" s="2" t="s">
        <v>50</v>
      </c>
      <c r="H34" s="2" t="s">
        <v>51</v>
      </c>
      <c r="I34" s="2">
        <f>I32*J34</f>
        <v>7</v>
      </c>
      <c r="J34" s="2">
        <v>1</v>
      </c>
      <c r="K34" s="2"/>
      <c r="L34" s="2"/>
      <c r="M34" s="2"/>
      <c r="N34" s="2"/>
      <c r="O34" s="2">
        <f t="shared" si="14"/>
        <v>227.78</v>
      </c>
      <c r="P34" s="2">
        <f t="shared" si="15"/>
        <v>227.78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55106055</v>
      </c>
      <c r="AB34" s="2">
        <f t="shared" si="25"/>
        <v>32.54</v>
      </c>
      <c r="AC34" s="2">
        <f t="shared" si="46"/>
        <v>32.54</v>
      </c>
      <c r="AD34" s="2">
        <f t="shared" si="47"/>
        <v>0</v>
      </c>
      <c r="AE34" s="2">
        <f t="shared" si="48"/>
        <v>0</v>
      </c>
      <c r="AF34" s="2">
        <f t="shared" si="49"/>
        <v>0</v>
      </c>
      <c r="AG34" s="2">
        <f t="shared" si="27"/>
        <v>0</v>
      </c>
      <c r="AH34" s="2">
        <f t="shared" si="50"/>
        <v>0</v>
      </c>
      <c r="AI34" s="2">
        <f t="shared" si="51"/>
        <v>0</v>
      </c>
      <c r="AJ34" s="2">
        <f t="shared" si="29"/>
        <v>0</v>
      </c>
      <c r="AK34" s="2">
        <v>32.54</v>
      </c>
      <c r="AL34" s="2">
        <v>32.54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3</v>
      </c>
      <c r="BI34" s="2">
        <v>2</v>
      </c>
      <c r="BJ34" s="2" t="s">
        <v>3</v>
      </c>
      <c r="BK34" s="2"/>
      <c r="BL34" s="2"/>
      <c r="BM34" s="2">
        <v>400002</v>
      </c>
      <c r="BN34" s="2">
        <v>0</v>
      </c>
      <c r="BO34" s="2" t="s">
        <v>3</v>
      </c>
      <c r="BP34" s="2">
        <v>0</v>
      </c>
      <c r="BQ34" s="2">
        <v>202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0</v>
      </c>
      <c r="CA34" s="2">
        <v>0</v>
      </c>
      <c r="CB34" s="2"/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30"/>
        <v>227.78</v>
      </c>
      <c r="CQ34" s="2">
        <f t="shared" si="31"/>
        <v>32.54</v>
      </c>
      <c r="CR34" s="2">
        <f t="shared" si="32"/>
        <v>0</v>
      </c>
      <c r="CS34" s="2">
        <f t="shared" si="33"/>
        <v>0</v>
      </c>
      <c r="CT34" s="2">
        <f t="shared" si="34"/>
        <v>0</v>
      </c>
      <c r="CU34" s="2">
        <f t="shared" si="35"/>
        <v>0</v>
      </c>
      <c r="CV34" s="2">
        <f t="shared" si="36"/>
        <v>0</v>
      </c>
      <c r="CW34" s="2">
        <f t="shared" si="37"/>
        <v>0</v>
      </c>
      <c r="CX34" s="2">
        <f t="shared" si="38"/>
        <v>0</v>
      </c>
      <c r="CY34" s="2">
        <f t="shared" si="39"/>
        <v>0</v>
      </c>
      <c r="CZ34" s="2">
        <f t="shared" si="40"/>
        <v>0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1010</v>
      </c>
      <c r="DV34" s="2" t="s">
        <v>51</v>
      </c>
      <c r="DW34" s="2" t="s">
        <v>51</v>
      </c>
      <c r="DX34" s="2">
        <v>1</v>
      </c>
      <c r="DY34" s="2"/>
      <c r="DZ34" s="2"/>
      <c r="EA34" s="2"/>
      <c r="EB34" s="2"/>
      <c r="EC34" s="2"/>
      <c r="ED34" s="2"/>
      <c r="EE34" s="2">
        <v>22047206</v>
      </c>
      <c r="EF34" s="2">
        <v>202</v>
      </c>
      <c r="EG34" s="2" t="s">
        <v>52</v>
      </c>
      <c r="EH34" s="2">
        <v>0</v>
      </c>
      <c r="EI34" s="2" t="s">
        <v>3</v>
      </c>
      <c r="EJ34" s="2">
        <v>1</v>
      </c>
      <c r="EK34" s="2">
        <v>400002</v>
      </c>
      <c r="EL34" s="2" t="s">
        <v>53</v>
      </c>
      <c r="EM34" s="2" t="s">
        <v>52</v>
      </c>
      <c r="EN34" s="2"/>
      <c r="EO34" s="2" t="s">
        <v>3</v>
      </c>
      <c r="EP34" s="2"/>
      <c r="EQ34" s="2">
        <v>0</v>
      </c>
      <c r="ER34" s="2">
        <v>32.54</v>
      </c>
      <c r="ES34" s="2">
        <v>32.54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1"/>
        <v>0</v>
      </c>
      <c r="FS34" s="2">
        <v>0</v>
      </c>
      <c r="FT34" s="2"/>
      <c r="FU34" s="2"/>
      <c r="FV34" s="2"/>
      <c r="FW34" s="2"/>
      <c r="FX34" s="2">
        <v>0</v>
      </c>
      <c r="FY34" s="2">
        <v>0</v>
      </c>
      <c r="FZ34" s="2"/>
      <c r="GA34" s="2" t="s">
        <v>3</v>
      </c>
      <c r="GB34" s="2"/>
      <c r="GC34" s="2"/>
      <c r="GD34" s="2">
        <v>0</v>
      </c>
      <c r="GE34" s="2"/>
      <c r="GF34" s="2">
        <v>-43413833</v>
      </c>
      <c r="GG34" s="2">
        <v>2</v>
      </c>
      <c r="GH34" s="2">
        <v>0</v>
      </c>
      <c r="GI34" s="2">
        <v>-2</v>
      </c>
      <c r="GJ34" s="2">
        <v>0</v>
      </c>
      <c r="GK34" s="2">
        <f>ROUND(R34*(R12)/100,2)</f>
        <v>0</v>
      </c>
      <c r="GL34" s="2">
        <f t="shared" si="42"/>
        <v>0</v>
      </c>
      <c r="GM34" s="2">
        <f>ROUND(O34+X34+Y34+GK34,2)+GX34</f>
        <v>227.78</v>
      </c>
      <c r="GN34" s="2">
        <f>IF(OR(BI34=0,BI34=1),ROUND(O34+X34+Y34+GK34,2),0)</f>
        <v>0</v>
      </c>
      <c r="GO34" s="2">
        <f>IF(BI34=2,ROUND(O34+X34+Y34+GK34,2),0)</f>
        <v>227.78</v>
      </c>
      <c r="GP34" s="2">
        <f>IF(BI34=4,ROUND(O34+X34+Y34+GK34,2)+GX34,0)</f>
        <v>0</v>
      </c>
      <c r="GQ34" s="2"/>
      <c r="GR34" s="2">
        <v>0</v>
      </c>
      <c r="GS34" s="2">
        <v>0</v>
      </c>
      <c r="GT34" s="2">
        <v>0</v>
      </c>
      <c r="GU34" s="2" t="s">
        <v>3</v>
      </c>
      <c r="GV34" s="2">
        <f t="shared" si="43"/>
        <v>0</v>
      </c>
      <c r="GW34" s="2">
        <v>1</v>
      </c>
      <c r="GX34" s="2">
        <f t="shared" si="44"/>
        <v>0</v>
      </c>
      <c r="GY34" s="2"/>
      <c r="GZ34" s="2"/>
      <c r="HA34" s="2">
        <v>0</v>
      </c>
      <c r="HB34" s="2">
        <v>0</v>
      </c>
      <c r="HC34" s="2">
        <f t="shared" si="45"/>
        <v>0</v>
      </c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22</v>
      </c>
      <c r="E35" t="s">
        <v>48</v>
      </c>
      <c r="F35" t="s">
        <v>49</v>
      </c>
      <c r="G35" t="s">
        <v>50</v>
      </c>
      <c r="H35" t="s">
        <v>51</v>
      </c>
      <c r="I35">
        <f>I33*J35</f>
        <v>7</v>
      </c>
      <c r="J35">
        <v>1</v>
      </c>
      <c r="O35">
        <f t="shared" si="14"/>
        <v>1220.93</v>
      </c>
      <c r="P35">
        <f t="shared" si="15"/>
        <v>1220.93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55106052</v>
      </c>
      <c r="AB35">
        <f t="shared" si="25"/>
        <v>32.24</v>
      </c>
      <c r="AC35">
        <f t="shared" si="46"/>
        <v>32.24</v>
      </c>
      <c r="AD35">
        <f t="shared" si="47"/>
        <v>0</v>
      </c>
      <c r="AE35">
        <f t="shared" si="48"/>
        <v>0</v>
      </c>
      <c r="AF35">
        <f t="shared" si="49"/>
        <v>0</v>
      </c>
      <c r="AG35">
        <f t="shared" si="27"/>
        <v>0</v>
      </c>
      <c r="AH35">
        <f t="shared" si="50"/>
        <v>0</v>
      </c>
      <c r="AI35">
        <f t="shared" si="51"/>
        <v>0</v>
      </c>
      <c r="AJ35">
        <f t="shared" si="29"/>
        <v>0</v>
      </c>
      <c r="AK35">
        <v>32.24</v>
      </c>
      <c r="AL35">
        <v>32.24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</v>
      </c>
      <c r="AW35">
        <v>1</v>
      </c>
      <c r="AZ35">
        <v>1</v>
      </c>
      <c r="BA35">
        <v>1</v>
      </c>
      <c r="BB35">
        <v>1</v>
      </c>
      <c r="BC35">
        <v>5.41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2</v>
      </c>
      <c r="BJ35" t="s">
        <v>3</v>
      </c>
      <c r="BM35">
        <v>400002</v>
      </c>
      <c r="BN35">
        <v>0</v>
      </c>
      <c r="BO35" t="s">
        <v>3</v>
      </c>
      <c r="BP35">
        <v>0</v>
      </c>
      <c r="BQ35">
        <v>202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0</v>
      </c>
      <c r="CA35">
        <v>0</v>
      </c>
      <c r="CE35">
        <v>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0"/>
        <v>1220.93</v>
      </c>
      <c r="CQ35">
        <f t="shared" si="31"/>
        <v>174.41840000000002</v>
      </c>
      <c r="CR35">
        <f t="shared" si="32"/>
        <v>0</v>
      </c>
      <c r="CS35">
        <f t="shared" si="33"/>
        <v>0</v>
      </c>
      <c r="CT35">
        <f t="shared" si="34"/>
        <v>0</v>
      </c>
      <c r="CU35">
        <f t="shared" si="35"/>
        <v>0</v>
      </c>
      <c r="CV35">
        <f t="shared" si="36"/>
        <v>0</v>
      </c>
      <c r="CW35">
        <f t="shared" si="37"/>
        <v>0</v>
      </c>
      <c r="CX35">
        <f t="shared" si="38"/>
        <v>0</v>
      </c>
      <c r="CY35">
        <f t="shared" si="39"/>
        <v>0</v>
      </c>
      <c r="CZ35">
        <f t="shared" si="40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1010</v>
      </c>
      <c r="DV35" t="s">
        <v>51</v>
      </c>
      <c r="DW35" t="s">
        <v>51</v>
      </c>
      <c r="DX35">
        <v>1</v>
      </c>
      <c r="EE35">
        <v>22047206</v>
      </c>
      <c r="EF35">
        <v>202</v>
      </c>
      <c r="EG35" t="s">
        <v>52</v>
      </c>
      <c r="EH35">
        <v>0</v>
      </c>
      <c r="EI35" t="s">
        <v>3</v>
      </c>
      <c r="EJ35">
        <v>1</v>
      </c>
      <c r="EK35">
        <v>400002</v>
      </c>
      <c r="EL35" t="s">
        <v>53</v>
      </c>
      <c r="EM35" t="s">
        <v>52</v>
      </c>
      <c r="EO35" t="s">
        <v>3</v>
      </c>
      <c r="EQ35">
        <v>0</v>
      </c>
      <c r="ER35">
        <v>32.24</v>
      </c>
      <c r="ES35">
        <v>32.24</v>
      </c>
      <c r="ET35">
        <v>0</v>
      </c>
      <c r="EU35">
        <v>0</v>
      </c>
      <c r="EV35">
        <v>0</v>
      </c>
      <c r="EW35">
        <v>0</v>
      </c>
      <c r="EX35">
        <v>0</v>
      </c>
      <c r="EZ35">
        <v>5</v>
      </c>
      <c r="FC35">
        <v>1</v>
      </c>
      <c r="FD35">
        <v>18</v>
      </c>
      <c r="FF35">
        <v>205.2</v>
      </c>
      <c r="FQ35">
        <v>0</v>
      </c>
      <c r="FR35">
        <f t="shared" si="41"/>
        <v>0</v>
      </c>
      <c r="FS35">
        <v>0</v>
      </c>
      <c r="FX35">
        <v>0</v>
      </c>
      <c r="FY35">
        <v>0</v>
      </c>
      <c r="GA35" t="s">
        <v>54</v>
      </c>
      <c r="GD35">
        <v>0</v>
      </c>
      <c r="GF35">
        <v>-43413833</v>
      </c>
      <c r="GG35">
        <v>2</v>
      </c>
      <c r="GH35">
        <v>3</v>
      </c>
      <c r="GI35">
        <v>5</v>
      </c>
      <c r="GJ35">
        <v>0</v>
      </c>
      <c r="GK35">
        <f>ROUND(R35*(S12)/100,2)</f>
        <v>0</v>
      </c>
      <c r="GL35">
        <f t="shared" si="42"/>
        <v>0</v>
      </c>
      <c r="GM35">
        <f>ROUND(O35+X35+Y35+GK35,2)+GX35</f>
        <v>1220.93</v>
      </c>
      <c r="GN35">
        <f>IF(OR(BI35=0,BI35=1),ROUND(O35+X35+Y35+GK35,2),0)</f>
        <v>0</v>
      </c>
      <c r="GO35">
        <f>IF(BI35=2,ROUND(O35+X35+Y35+GK35,2),0)</f>
        <v>1220.93</v>
      </c>
      <c r="GP35">
        <f>IF(BI35=4,ROUND(O35+X35+Y35+GK35,2)+GX35,0)</f>
        <v>0</v>
      </c>
      <c r="GR35">
        <v>1</v>
      </c>
      <c r="GS35">
        <v>1</v>
      </c>
      <c r="GT35">
        <v>0</v>
      </c>
      <c r="GU35" t="s">
        <v>3</v>
      </c>
      <c r="GV35">
        <f t="shared" si="43"/>
        <v>0</v>
      </c>
      <c r="GW35">
        <v>1</v>
      </c>
      <c r="GX35">
        <f t="shared" si="44"/>
        <v>0</v>
      </c>
      <c r="HA35">
        <v>0</v>
      </c>
      <c r="HB35">
        <v>0</v>
      </c>
      <c r="HC35">
        <f t="shared" si="45"/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ROW(SmtRes!A23)</f>
        <v>23</v>
      </c>
      <c r="D36" s="2">
        <f>ROW(EtalonRes!A23)</f>
        <v>23</v>
      </c>
      <c r="E36" s="2" t="s">
        <v>55</v>
      </c>
      <c r="F36" s="2" t="s">
        <v>56</v>
      </c>
      <c r="G36" s="2" t="s">
        <v>57</v>
      </c>
      <c r="H36" s="2" t="s">
        <v>25</v>
      </c>
      <c r="I36" s="2">
        <v>7</v>
      </c>
      <c r="J36" s="2">
        <v>0</v>
      </c>
      <c r="K36" s="2"/>
      <c r="L36" s="2"/>
      <c r="M36" s="2"/>
      <c r="N36" s="2"/>
      <c r="O36" s="2">
        <f t="shared" si="14"/>
        <v>95.55</v>
      </c>
      <c r="P36" s="2">
        <f t="shared" si="15"/>
        <v>24.01</v>
      </c>
      <c r="Q36" s="2">
        <f t="shared" si="16"/>
        <v>29.82</v>
      </c>
      <c r="R36" s="2">
        <f t="shared" si="17"/>
        <v>7.21</v>
      </c>
      <c r="S36" s="2">
        <f t="shared" si="18"/>
        <v>41.72</v>
      </c>
      <c r="T36" s="2">
        <f t="shared" si="19"/>
        <v>0</v>
      </c>
      <c r="U36" s="2">
        <f t="shared" si="20"/>
        <v>3.64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55106055</v>
      </c>
      <c r="AB36" s="2">
        <f t="shared" si="25"/>
        <v>13.65</v>
      </c>
      <c r="AC36" s="2">
        <f t="shared" si="46"/>
        <v>3.43</v>
      </c>
      <c r="AD36" s="2">
        <f t="shared" si="47"/>
        <v>4.26</v>
      </c>
      <c r="AE36" s="2">
        <f t="shared" si="48"/>
        <v>1.03</v>
      </c>
      <c r="AF36" s="2">
        <f t="shared" si="49"/>
        <v>5.96</v>
      </c>
      <c r="AG36" s="2">
        <f t="shared" si="27"/>
        <v>0</v>
      </c>
      <c r="AH36" s="2">
        <f t="shared" si="50"/>
        <v>0.52</v>
      </c>
      <c r="AI36" s="2">
        <f t="shared" si="51"/>
        <v>0</v>
      </c>
      <c r="AJ36" s="2">
        <f t="shared" si="29"/>
        <v>0</v>
      </c>
      <c r="AK36" s="2">
        <v>13.65</v>
      </c>
      <c r="AL36" s="2">
        <v>3.43</v>
      </c>
      <c r="AM36" s="2">
        <v>4.26</v>
      </c>
      <c r="AN36" s="2">
        <v>1.03</v>
      </c>
      <c r="AO36" s="2">
        <v>5.96</v>
      </c>
      <c r="AP36" s="2">
        <v>0</v>
      </c>
      <c r="AQ36" s="2">
        <v>0.52</v>
      </c>
      <c r="AR36" s="2">
        <v>0</v>
      </c>
      <c r="AS36" s="2">
        <v>0</v>
      </c>
      <c r="AT36" s="2">
        <v>0</v>
      </c>
      <c r="AU36" s="2">
        <v>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0</v>
      </c>
      <c r="BI36" s="2">
        <v>2</v>
      </c>
      <c r="BJ36" s="2" t="s">
        <v>58</v>
      </c>
      <c r="BK36" s="2"/>
      <c r="BL36" s="2"/>
      <c r="BM36" s="2">
        <v>355</v>
      </c>
      <c r="BN36" s="2">
        <v>0</v>
      </c>
      <c r="BO36" s="2" t="s">
        <v>3</v>
      </c>
      <c r="BP36" s="2">
        <v>0</v>
      </c>
      <c r="BQ36" s="2">
        <v>40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0</v>
      </c>
      <c r="CA36" s="2">
        <v>0</v>
      </c>
      <c r="CB36" s="2"/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</v>
      </c>
      <c r="CO36" s="2">
        <v>0</v>
      </c>
      <c r="CP36" s="2">
        <f t="shared" si="30"/>
        <v>95.55</v>
      </c>
      <c r="CQ36" s="2">
        <f t="shared" si="31"/>
        <v>3.43</v>
      </c>
      <c r="CR36" s="2">
        <f t="shared" si="32"/>
        <v>4.26</v>
      </c>
      <c r="CS36" s="2">
        <f t="shared" si="33"/>
        <v>1.03</v>
      </c>
      <c r="CT36" s="2">
        <f t="shared" si="34"/>
        <v>5.96</v>
      </c>
      <c r="CU36" s="2">
        <f t="shared" si="35"/>
        <v>0</v>
      </c>
      <c r="CV36" s="2">
        <f t="shared" si="36"/>
        <v>0.52</v>
      </c>
      <c r="CW36" s="2">
        <f t="shared" si="37"/>
        <v>0</v>
      </c>
      <c r="CX36" s="2">
        <f t="shared" si="38"/>
        <v>0</v>
      </c>
      <c r="CY36" s="2">
        <f t="shared" si="39"/>
        <v>0</v>
      </c>
      <c r="CZ36" s="2">
        <f t="shared" si="40"/>
        <v>0</v>
      </c>
      <c r="DA36" s="2"/>
      <c r="DB36" s="2"/>
      <c r="DC36" s="2" t="s">
        <v>3</v>
      </c>
      <c r="DD36" s="2" t="s">
        <v>3</v>
      </c>
      <c r="DE36" s="2" t="s">
        <v>3</v>
      </c>
      <c r="DF36" s="2" t="s">
        <v>3</v>
      </c>
      <c r="DG36" s="2" t="s">
        <v>3</v>
      </c>
      <c r="DH36" s="2" t="s">
        <v>3</v>
      </c>
      <c r="DI36" s="2" t="s">
        <v>3</v>
      </c>
      <c r="DJ36" s="2" t="s">
        <v>3</v>
      </c>
      <c r="DK36" s="2" t="s">
        <v>3</v>
      </c>
      <c r="DL36" s="2" t="s">
        <v>3</v>
      </c>
      <c r="DM36" s="2" t="s">
        <v>3</v>
      </c>
      <c r="DN36" s="2">
        <v>114</v>
      </c>
      <c r="DO36" s="2">
        <v>67</v>
      </c>
      <c r="DP36" s="2">
        <v>1.0469999999999999</v>
      </c>
      <c r="DQ36" s="2">
        <v>1</v>
      </c>
      <c r="DR36" s="2"/>
      <c r="DS36" s="2"/>
      <c r="DT36" s="2"/>
      <c r="DU36" s="2">
        <v>1013</v>
      </c>
      <c r="DV36" s="2" t="s">
        <v>25</v>
      </c>
      <c r="DW36" s="2" t="s">
        <v>25</v>
      </c>
      <c r="DX36" s="2">
        <v>1</v>
      </c>
      <c r="DY36" s="2"/>
      <c r="DZ36" s="2"/>
      <c r="EA36" s="2"/>
      <c r="EB36" s="2"/>
      <c r="EC36" s="2"/>
      <c r="ED36" s="2"/>
      <c r="EE36" s="2">
        <v>21987707</v>
      </c>
      <c r="EF36" s="2">
        <v>40</v>
      </c>
      <c r="EG36" s="2" t="s">
        <v>19</v>
      </c>
      <c r="EH36" s="2">
        <v>0</v>
      </c>
      <c r="EI36" s="2" t="s">
        <v>3</v>
      </c>
      <c r="EJ36" s="2">
        <v>2</v>
      </c>
      <c r="EK36" s="2">
        <v>355</v>
      </c>
      <c r="EL36" s="2" t="s">
        <v>59</v>
      </c>
      <c r="EM36" s="2" t="s">
        <v>60</v>
      </c>
      <c r="EN36" s="2"/>
      <c r="EO36" s="2" t="s">
        <v>3</v>
      </c>
      <c r="EP36" s="2"/>
      <c r="EQ36" s="2">
        <v>131072</v>
      </c>
      <c r="ER36" s="2">
        <v>13.65</v>
      </c>
      <c r="ES36" s="2">
        <v>3.43</v>
      </c>
      <c r="ET36" s="2">
        <v>4.26</v>
      </c>
      <c r="EU36" s="2">
        <v>1.03</v>
      </c>
      <c r="EV36" s="2">
        <v>5.96</v>
      </c>
      <c r="EW36" s="2">
        <v>0.52</v>
      </c>
      <c r="EX36" s="2">
        <v>0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1"/>
        <v>0</v>
      </c>
      <c r="FS36" s="2">
        <v>0</v>
      </c>
      <c r="FT36" s="2"/>
      <c r="FU36" s="2"/>
      <c r="FV36" s="2"/>
      <c r="FW36" s="2"/>
      <c r="FX36" s="2">
        <v>114</v>
      </c>
      <c r="FY36" s="2">
        <v>67</v>
      </c>
      <c r="FZ36" s="2"/>
      <c r="GA36" s="2" t="s">
        <v>3</v>
      </c>
      <c r="GB36" s="2"/>
      <c r="GC36" s="2"/>
      <c r="GD36" s="2">
        <v>1</v>
      </c>
      <c r="GE36" s="2"/>
      <c r="GF36" s="2">
        <v>-2072070798</v>
      </c>
      <c r="GG36" s="2">
        <v>2</v>
      </c>
      <c r="GH36" s="2">
        <v>1</v>
      </c>
      <c r="GI36" s="2">
        <v>-2</v>
      </c>
      <c r="GJ36" s="2">
        <v>0</v>
      </c>
      <c r="GK36" s="2">
        <v>0</v>
      </c>
      <c r="GL36" s="2">
        <f t="shared" si="42"/>
        <v>0</v>
      </c>
      <c r="GM36" s="2">
        <f>ROUND(O36+X36+Y36,2)+GX36</f>
        <v>95.55</v>
      </c>
      <c r="GN36" s="2">
        <f>IF(OR(BI36=0,BI36=1),ROUND(O36+X36+Y36,2),0)</f>
        <v>0</v>
      </c>
      <c r="GO36" s="2">
        <f>IF(BI36=2,ROUND(O36+X36+Y36,2),0)</f>
        <v>95.55</v>
      </c>
      <c r="GP36" s="2">
        <f>IF(BI36=4,ROUND(O36+X36+Y36,2)+GX36,0)</f>
        <v>0</v>
      </c>
      <c r="GQ36" s="2"/>
      <c r="GR36" s="2">
        <v>0</v>
      </c>
      <c r="GS36" s="2">
        <v>0</v>
      </c>
      <c r="GT36" s="2">
        <v>0</v>
      </c>
      <c r="GU36" s="2" t="s">
        <v>3</v>
      </c>
      <c r="GV36" s="2">
        <f t="shared" si="43"/>
        <v>0</v>
      </c>
      <c r="GW36" s="2">
        <v>1</v>
      </c>
      <c r="GX36" s="2">
        <f t="shared" si="44"/>
        <v>0</v>
      </c>
      <c r="GY36" s="2"/>
      <c r="GZ36" s="2"/>
      <c r="HA36" s="2">
        <v>0</v>
      </c>
      <c r="HB36" s="2">
        <v>0</v>
      </c>
      <c r="HC36" s="2">
        <f t="shared" si="45"/>
        <v>0</v>
      </c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ROW(SmtRes!A24)</f>
        <v>24</v>
      </c>
      <c r="D37">
        <f>ROW(EtalonRes!A24)</f>
        <v>24</v>
      </c>
      <c r="E37" t="s">
        <v>55</v>
      </c>
      <c r="F37" t="s">
        <v>56</v>
      </c>
      <c r="G37" t="s">
        <v>57</v>
      </c>
      <c r="H37" t="s">
        <v>25</v>
      </c>
      <c r="I37">
        <v>7</v>
      </c>
      <c r="J37">
        <v>0</v>
      </c>
      <c r="O37">
        <f t="shared" si="14"/>
        <v>1309.74</v>
      </c>
      <c r="P37">
        <f t="shared" si="15"/>
        <v>129.88999999999999</v>
      </c>
      <c r="Q37">
        <f t="shared" si="16"/>
        <v>274.94</v>
      </c>
      <c r="R37">
        <f t="shared" si="17"/>
        <v>156.38</v>
      </c>
      <c r="S37">
        <f t="shared" si="18"/>
        <v>904.91</v>
      </c>
      <c r="T37">
        <f t="shared" si="19"/>
        <v>0</v>
      </c>
      <c r="U37">
        <f t="shared" si="20"/>
        <v>3.64</v>
      </c>
      <c r="V37">
        <f t="shared" si="21"/>
        <v>0</v>
      </c>
      <c r="W37">
        <f t="shared" si="22"/>
        <v>0</v>
      </c>
      <c r="X37">
        <f t="shared" si="23"/>
        <v>696.78</v>
      </c>
      <c r="Y37">
        <f t="shared" si="24"/>
        <v>371.01</v>
      </c>
      <c r="AA37">
        <v>55106052</v>
      </c>
      <c r="AB37">
        <f t="shared" si="25"/>
        <v>13.65</v>
      </c>
      <c r="AC37">
        <f t="shared" si="46"/>
        <v>3.43</v>
      </c>
      <c r="AD37">
        <f t="shared" si="47"/>
        <v>4.26</v>
      </c>
      <c r="AE37">
        <f t="shared" si="48"/>
        <v>1.03</v>
      </c>
      <c r="AF37">
        <f t="shared" si="49"/>
        <v>5.96</v>
      </c>
      <c r="AG37">
        <f t="shared" si="27"/>
        <v>0</v>
      </c>
      <c r="AH37">
        <f t="shared" si="50"/>
        <v>0.52</v>
      </c>
      <c r="AI37">
        <f t="shared" si="51"/>
        <v>0</v>
      </c>
      <c r="AJ37">
        <f t="shared" si="29"/>
        <v>0</v>
      </c>
      <c r="AK37">
        <v>13.65</v>
      </c>
      <c r="AL37">
        <v>3.43</v>
      </c>
      <c r="AM37">
        <v>4.26</v>
      </c>
      <c r="AN37">
        <v>1.03</v>
      </c>
      <c r="AO37">
        <v>5.96</v>
      </c>
      <c r="AP37">
        <v>0</v>
      </c>
      <c r="AQ37">
        <v>0.52</v>
      </c>
      <c r="AR37">
        <v>0</v>
      </c>
      <c r="AS37">
        <v>0</v>
      </c>
      <c r="AT37">
        <v>77</v>
      </c>
      <c r="AU37">
        <v>41</v>
      </c>
      <c r="AV37">
        <v>1</v>
      </c>
      <c r="AW37">
        <v>1</v>
      </c>
      <c r="AZ37">
        <v>1</v>
      </c>
      <c r="BA37">
        <v>21.69</v>
      </c>
      <c r="BB37">
        <v>9.2200000000000006</v>
      </c>
      <c r="BC37">
        <v>5.41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2</v>
      </c>
      <c r="BJ37" t="s">
        <v>58</v>
      </c>
      <c r="BM37">
        <v>355</v>
      </c>
      <c r="BN37">
        <v>0</v>
      </c>
      <c r="BO37" t="s">
        <v>56</v>
      </c>
      <c r="BP37">
        <v>1</v>
      </c>
      <c r="BQ37">
        <v>40</v>
      </c>
      <c r="BR37">
        <v>0</v>
      </c>
      <c r="BS37">
        <v>21.69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77</v>
      </c>
      <c r="CA37">
        <v>41</v>
      </c>
      <c r="CE37">
        <v>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0"/>
        <v>1309.74</v>
      </c>
      <c r="CQ37">
        <f t="shared" si="31"/>
        <v>18.5563</v>
      </c>
      <c r="CR37">
        <f t="shared" si="32"/>
        <v>39.277200000000001</v>
      </c>
      <c r="CS37">
        <f t="shared" si="33"/>
        <v>22.340700000000002</v>
      </c>
      <c r="CT37">
        <f t="shared" si="34"/>
        <v>129.2724</v>
      </c>
      <c r="CU37">
        <f t="shared" si="35"/>
        <v>0</v>
      </c>
      <c r="CV37">
        <f t="shared" si="36"/>
        <v>0.52</v>
      </c>
      <c r="CW37">
        <f t="shared" si="37"/>
        <v>0</v>
      </c>
      <c r="CX37">
        <f t="shared" si="38"/>
        <v>0</v>
      </c>
      <c r="CY37">
        <f t="shared" si="39"/>
        <v>696.78070000000002</v>
      </c>
      <c r="CZ37">
        <f t="shared" si="40"/>
        <v>371.01309999999995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114</v>
      </c>
      <c r="DO37">
        <v>67</v>
      </c>
      <c r="DP37">
        <v>1.0469999999999999</v>
      </c>
      <c r="DQ37">
        <v>1</v>
      </c>
      <c r="DU37">
        <v>1013</v>
      </c>
      <c r="DV37" t="s">
        <v>25</v>
      </c>
      <c r="DW37" t="s">
        <v>25</v>
      </c>
      <c r="DX37">
        <v>1</v>
      </c>
      <c r="EE37">
        <v>21987707</v>
      </c>
      <c r="EF37">
        <v>40</v>
      </c>
      <c r="EG37" t="s">
        <v>19</v>
      </c>
      <c r="EH37">
        <v>0</v>
      </c>
      <c r="EI37" t="s">
        <v>3</v>
      </c>
      <c r="EJ37">
        <v>2</v>
      </c>
      <c r="EK37">
        <v>355</v>
      </c>
      <c r="EL37" t="s">
        <v>59</v>
      </c>
      <c r="EM37" t="s">
        <v>60</v>
      </c>
      <c r="EO37" t="s">
        <v>3</v>
      </c>
      <c r="EQ37">
        <v>131072</v>
      </c>
      <c r="ER37">
        <v>13.65</v>
      </c>
      <c r="ES37">
        <v>3.43</v>
      </c>
      <c r="ET37">
        <v>4.26</v>
      </c>
      <c r="EU37">
        <v>1.03</v>
      </c>
      <c r="EV37">
        <v>5.96</v>
      </c>
      <c r="EW37">
        <v>0.52</v>
      </c>
      <c r="EX37">
        <v>0</v>
      </c>
      <c r="EY37">
        <v>0</v>
      </c>
      <c r="FQ37">
        <v>0</v>
      </c>
      <c r="FR37">
        <f t="shared" si="41"/>
        <v>0</v>
      </c>
      <c r="FS37">
        <v>0</v>
      </c>
      <c r="FX37">
        <v>114</v>
      </c>
      <c r="FY37">
        <v>67</v>
      </c>
      <c r="GA37" t="s">
        <v>3</v>
      </c>
      <c r="GD37">
        <v>0</v>
      </c>
      <c r="GF37">
        <v>-2072070798</v>
      </c>
      <c r="GG37">
        <v>2</v>
      </c>
      <c r="GH37">
        <v>1</v>
      </c>
      <c r="GI37">
        <v>2</v>
      </c>
      <c r="GJ37">
        <v>0</v>
      </c>
      <c r="GK37">
        <f>ROUND(R37*(S12)/100,2)</f>
        <v>245.52</v>
      </c>
      <c r="GL37">
        <f t="shared" si="42"/>
        <v>0</v>
      </c>
      <c r="GM37">
        <f>ROUND(O37+X37+Y37+GK37,2)+GX37</f>
        <v>2623.05</v>
      </c>
      <c r="GN37">
        <f>IF(OR(BI37=0,BI37=1),ROUND(O37+X37+Y37+GK37,2),0)</f>
        <v>0</v>
      </c>
      <c r="GO37">
        <f>IF(BI37=2,ROUND(O37+X37+Y37+GK37,2),0)</f>
        <v>2623.05</v>
      </c>
      <c r="GP37">
        <f>IF(BI37=4,ROUND(O37+X37+Y37+GK37,2)+GX37,0)</f>
        <v>0</v>
      </c>
      <c r="GR37">
        <v>0</v>
      </c>
      <c r="GS37">
        <v>3</v>
      </c>
      <c r="GT37">
        <v>0</v>
      </c>
      <c r="GU37" t="s">
        <v>3</v>
      </c>
      <c r="GV37">
        <f t="shared" si="43"/>
        <v>0</v>
      </c>
      <c r="GW37">
        <v>1</v>
      </c>
      <c r="GX37">
        <f t="shared" si="44"/>
        <v>0</v>
      </c>
      <c r="HA37">
        <v>0</v>
      </c>
      <c r="HB37">
        <v>0</v>
      </c>
      <c r="HC37">
        <f t="shared" si="45"/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ROW(SmtRes!A28)</f>
        <v>28</v>
      </c>
      <c r="D38" s="2">
        <f>ROW(EtalonRes!A28)</f>
        <v>28</v>
      </c>
      <c r="E38" s="2" t="s">
        <v>61</v>
      </c>
      <c r="F38" s="2" t="s">
        <v>62</v>
      </c>
      <c r="G38" s="2" t="s">
        <v>63</v>
      </c>
      <c r="H38" s="2" t="s">
        <v>64</v>
      </c>
      <c r="I38" s="2">
        <f>ROUND(100/100,9)</f>
        <v>1</v>
      </c>
      <c r="J38" s="2">
        <v>0</v>
      </c>
      <c r="K38" s="2"/>
      <c r="L38" s="2"/>
      <c r="M38" s="2"/>
      <c r="N38" s="2"/>
      <c r="O38" s="2">
        <f t="shared" si="14"/>
        <v>536.92999999999995</v>
      </c>
      <c r="P38" s="2">
        <f t="shared" si="15"/>
        <v>290.64999999999998</v>
      </c>
      <c r="Q38" s="2">
        <f t="shared" si="16"/>
        <v>43.19</v>
      </c>
      <c r="R38" s="2">
        <f t="shared" si="17"/>
        <v>8.2799999999999994</v>
      </c>
      <c r="S38" s="2">
        <f t="shared" si="18"/>
        <v>203.09</v>
      </c>
      <c r="T38" s="2">
        <f t="shared" si="19"/>
        <v>0</v>
      </c>
      <c r="U38" s="2">
        <f t="shared" si="20"/>
        <v>15.93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55106055</v>
      </c>
      <c r="AB38" s="2">
        <f t="shared" si="25"/>
        <v>536.92999999999995</v>
      </c>
      <c r="AC38" s="2">
        <f t="shared" si="46"/>
        <v>290.64999999999998</v>
      </c>
      <c r="AD38" s="2">
        <f t="shared" si="47"/>
        <v>43.19</v>
      </c>
      <c r="AE38" s="2">
        <f t="shared" si="48"/>
        <v>8.2799999999999994</v>
      </c>
      <c r="AF38" s="2">
        <f t="shared" si="49"/>
        <v>203.09</v>
      </c>
      <c r="AG38" s="2">
        <f t="shared" si="27"/>
        <v>0</v>
      </c>
      <c r="AH38" s="2">
        <f t="shared" si="50"/>
        <v>15.93</v>
      </c>
      <c r="AI38" s="2">
        <f t="shared" si="51"/>
        <v>0</v>
      </c>
      <c r="AJ38" s="2">
        <f t="shared" si="29"/>
        <v>0</v>
      </c>
      <c r="AK38" s="2">
        <v>536.92999999999995</v>
      </c>
      <c r="AL38" s="2">
        <v>290.64999999999998</v>
      </c>
      <c r="AM38" s="2">
        <v>43.19</v>
      </c>
      <c r="AN38" s="2">
        <v>8.2799999999999994</v>
      </c>
      <c r="AO38" s="2">
        <v>203.09</v>
      </c>
      <c r="AP38" s="2">
        <v>0</v>
      </c>
      <c r="AQ38" s="2">
        <v>15.93</v>
      </c>
      <c r="AR38" s="2">
        <v>0</v>
      </c>
      <c r="AS38" s="2">
        <v>0</v>
      </c>
      <c r="AT38" s="2">
        <v>0</v>
      </c>
      <c r="AU38" s="2">
        <v>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0</v>
      </c>
      <c r="BI38" s="2">
        <v>2</v>
      </c>
      <c r="BJ38" s="2" t="s">
        <v>65</v>
      </c>
      <c r="BK38" s="2"/>
      <c r="BL38" s="2"/>
      <c r="BM38" s="2">
        <v>1518</v>
      </c>
      <c r="BN38" s="2">
        <v>0</v>
      </c>
      <c r="BO38" s="2" t="s">
        <v>3</v>
      </c>
      <c r="BP38" s="2">
        <v>0</v>
      </c>
      <c r="BQ38" s="2">
        <v>40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0</v>
      </c>
      <c r="CA38" s="2">
        <v>0</v>
      </c>
      <c r="CB38" s="2"/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</v>
      </c>
      <c r="CO38" s="2">
        <v>0</v>
      </c>
      <c r="CP38" s="2">
        <f t="shared" si="30"/>
        <v>536.92999999999995</v>
      </c>
      <c r="CQ38" s="2">
        <f t="shared" si="31"/>
        <v>290.64999999999998</v>
      </c>
      <c r="CR38" s="2">
        <f t="shared" si="32"/>
        <v>43.19</v>
      </c>
      <c r="CS38" s="2">
        <f t="shared" si="33"/>
        <v>8.2799999999999994</v>
      </c>
      <c r="CT38" s="2">
        <f t="shared" si="34"/>
        <v>203.09</v>
      </c>
      <c r="CU38" s="2">
        <f t="shared" si="35"/>
        <v>0</v>
      </c>
      <c r="CV38" s="2">
        <f t="shared" si="36"/>
        <v>15.93</v>
      </c>
      <c r="CW38" s="2">
        <f t="shared" si="37"/>
        <v>0</v>
      </c>
      <c r="CX38" s="2">
        <f t="shared" si="38"/>
        <v>0</v>
      </c>
      <c r="CY38" s="2">
        <f t="shared" si="39"/>
        <v>0</v>
      </c>
      <c r="CZ38" s="2">
        <f t="shared" si="40"/>
        <v>0</v>
      </c>
      <c r="DA38" s="2"/>
      <c r="DB38" s="2"/>
      <c r="DC38" s="2" t="s">
        <v>3</v>
      </c>
      <c r="DD38" s="2" t="s">
        <v>3</v>
      </c>
      <c r="DE38" s="2" t="s">
        <v>3</v>
      </c>
      <c r="DF38" s="2" t="s">
        <v>3</v>
      </c>
      <c r="DG38" s="2" t="s">
        <v>3</v>
      </c>
      <c r="DH38" s="2" t="s">
        <v>3</v>
      </c>
      <c r="DI38" s="2" t="s">
        <v>3</v>
      </c>
      <c r="DJ38" s="2" t="s">
        <v>3</v>
      </c>
      <c r="DK38" s="2" t="s">
        <v>3</v>
      </c>
      <c r="DL38" s="2" t="s">
        <v>3</v>
      </c>
      <c r="DM38" s="2" t="s">
        <v>3</v>
      </c>
      <c r="DN38" s="2">
        <v>114</v>
      </c>
      <c r="DO38" s="2">
        <v>67</v>
      </c>
      <c r="DP38" s="2">
        <v>1.0469999999999999</v>
      </c>
      <c r="DQ38" s="2">
        <v>1</v>
      </c>
      <c r="DR38" s="2"/>
      <c r="DS38" s="2"/>
      <c r="DT38" s="2"/>
      <c r="DU38" s="2">
        <v>1003</v>
      </c>
      <c r="DV38" s="2" t="s">
        <v>64</v>
      </c>
      <c r="DW38" s="2" t="s">
        <v>64</v>
      </c>
      <c r="DX38" s="2">
        <v>100</v>
      </c>
      <c r="DY38" s="2"/>
      <c r="DZ38" s="2"/>
      <c r="EA38" s="2"/>
      <c r="EB38" s="2"/>
      <c r="EC38" s="2"/>
      <c r="ED38" s="2"/>
      <c r="EE38" s="2">
        <v>21988870</v>
      </c>
      <c r="EF38" s="2">
        <v>40</v>
      </c>
      <c r="EG38" s="2" t="s">
        <v>19</v>
      </c>
      <c r="EH38" s="2">
        <v>0</v>
      </c>
      <c r="EI38" s="2" t="s">
        <v>3</v>
      </c>
      <c r="EJ38" s="2">
        <v>2</v>
      </c>
      <c r="EK38" s="2">
        <v>1518</v>
      </c>
      <c r="EL38" s="2" t="s">
        <v>66</v>
      </c>
      <c r="EM38" s="2" t="s">
        <v>67</v>
      </c>
      <c r="EN38" s="2"/>
      <c r="EO38" s="2" t="s">
        <v>3</v>
      </c>
      <c r="EP38" s="2"/>
      <c r="EQ38" s="2">
        <v>131072</v>
      </c>
      <c r="ER38" s="2">
        <v>536.92999999999995</v>
      </c>
      <c r="ES38" s="2">
        <v>290.64999999999998</v>
      </c>
      <c r="ET38" s="2">
        <v>43.19</v>
      </c>
      <c r="EU38" s="2">
        <v>8.2799999999999994</v>
      </c>
      <c r="EV38" s="2">
        <v>203.09</v>
      </c>
      <c r="EW38" s="2">
        <v>15.93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1"/>
        <v>0</v>
      </c>
      <c r="FS38" s="2">
        <v>0</v>
      </c>
      <c r="FT38" s="2"/>
      <c r="FU38" s="2"/>
      <c r="FV38" s="2"/>
      <c r="FW38" s="2"/>
      <c r="FX38" s="2">
        <v>114</v>
      </c>
      <c r="FY38" s="2">
        <v>67</v>
      </c>
      <c r="FZ38" s="2"/>
      <c r="GA38" s="2" t="s">
        <v>3</v>
      </c>
      <c r="GB38" s="2"/>
      <c r="GC38" s="2"/>
      <c r="GD38" s="2">
        <v>1</v>
      </c>
      <c r="GE38" s="2"/>
      <c r="GF38" s="2">
        <v>-1791677156</v>
      </c>
      <c r="GG38" s="2">
        <v>2</v>
      </c>
      <c r="GH38" s="2">
        <v>1</v>
      </c>
      <c r="GI38" s="2">
        <v>-2</v>
      </c>
      <c r="GJ38" s="2">
        <v>0</v>
      </c>
      <c r="GK38" s="2">
        <v>0</v>
      </c>
      <c r="GL38" s="2">
        <f t="shared" si="42"/>
        <v>0</v>
      </c>
      <c r="GM38" s="2">
        <f>ROUND(O38+X38+Y38,2)+GX38</f>
        <v>536.92999999999995</v>
      </c>
      <c r="GN38" s="2">
        <f>IF(OR(BI38=0,BI38=1),ROUND(O38+X38+Y38,2),0)</f>
        <v>0</v>
      </c>
      <c r="GO38" s="2">
        <f>IF(BI38=2,ROUND(O38+X38+Y38,2),0)</f>
        <v>536.92999999999995</v>
      </c>
      <c r="GP38" s="2">
        <f>IF(BI38=4,ROUND(O38+X38+Y38,2)+GX38,0)</f>
        <v>0</v>
      </c>
      <c r="GQ38" s="2"/>
      <c r="GR38" s="2">
        <v>0</v>
      </c>
      <c r="GS38" s="2">
        <v>3</v>
      </c>
      <c r="GT38" s="2">
        <v>0</v>
      </c>
      <c r="GU38" s="2" t="s">
        <v>3</v>
      </c>
      <c r="GV38" s="2">
        <f t="shared" si="43"/>
        <v>0</v>
      </c>
      <c r="GW38" s="2">
        <v>1</v>
      </c>
      <c r="GX38" s="2">
        <f t="shared" si="44"/>
        <v>0</v>
      </c>
      <c r="GY38" s="2"/>
      <c r="GZ38" s="2"/>
      <c r="HA38" s="2">
        <v>0</v>
      </c>
      <c r="HB38" s="2">
        <v>0</v>
      </c>
      <c r="HC38" s="2">
        <f t="shared" si="45"/>
        <v>0</v>
      </c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ROW(SmtRes!A32)</f>
        <v>32</v>
      </c>
      <c r="D39">
        <f>ROW(EtalonRes!A32)</f>
        <v>32</v>
      </c>
      <c r="E39" t="s">
        <v>61</v>
      </c>
      <c r="F39" t="s">
        <v>62</v>
      </c>
      <c r="G39" t="s">
        <v>63</v>
      </c>
      <c r="H39" t="s">
        <v>64</v>
      </c>
      <c r="I39">
        <f>ROUND(100/100,9)</f>
        <v>1</v>
      </c>
      <c r="J39">
        <v>0</v>
      </c>
      <c r="O39">
        <f t="shared" si="14"/>
        <v>6339.8</v>
      </c>
      <c r="P39">
        <f t="shared" si="15"/>
        <v>1572.42</v>
      </c>
      <c r="Q39">
        <f t="shared" si="16"/>
        <v>362.36</v>
      </c>
      <c r="R39">
        <f t="shared" si="17"/>
        <v>179.59</v>
      </c>
      <c r="S39">
        <f t="shared" si="18"/>
        <v>4405.0200000000004</v>
      </c>
      <c r="T39">
        <f t="shared" si="19"/>
        <v>0</v>
      </c>
      <c r="U39">
        <f t="shared" si="20"/>
        <v>15.93</v>
      </c>
      <c r="V39">
        <f t="shared" si="21"/>
        <v>0</v>
      </c>
      <c r="W39">
        <f t="shared" si="22"/>
        <v>0</v>
      </c>
      <c r="X39">
        <f t="shared" si="23"/>
        <v>3391.87</v>
      </c>
      <c r="Y39">
        <f t="shared" si="24"/>
        <v>1806.06</v>
      </c>
      <c r="AA39">
        <v>55106052</v>
      </c>
      <c r="AB39">
        <f t="shared" si="25"/>
        <v>536.92999999999995</v>
      </c>
      <c r="AC39">
        <f t="shared" si="46"/>
        <v>290.64999999999998</v>
      </c>
      <c r="AD39">
        <f t="shared" si="47"/>
        <v>43.19</v>
      </c>
      <c r="AE39">
        <f t="shared" si="48"/>
        <v>8.2799999999999994</v>
      </c>
      <c r="AF39">
        <f t="shared" si="49"/>
        <v>203.09</v>
      </c>
      <c r="AG39">
        <f t="shared" si="27"/>
        <v>0</v>
      </c>
      <c r="AH39">
        <f t="shared" si="50"/>
        <v>15.93</v>
      </c>
      <c r="AI39">
        <f t="shared" si="51"/>
        <v>0</v>
      </c>
      <c r="AJ39">
        <f t="shared" si="29"/>
        <v>0</v>
      </c>
      <c r="AK39">
        <v>536.92999999999995</v>
      </c>
      <c r="AL39">
        <v>290.64999999999998</v>
      </c>
      <c r="AM39">
        <v>43.19</v>
      </c>
      <c r="AN39">
        <v>8.2799999999999994</v>
      </c>
      <c r="AO39">
        <v>203.09</v>
      </c>
      <c r="AP39">
        <v>0</v>
      </c>
      <c r="AQ39">
        <v>15.93</v>
      </c>
      <c r="AR39">
        <v>0</v>
      </c>
      <c r="AS39">
        <v>0</v>
      </c>
      <c r="AT39">
        <v>77</v>
      </c>
      <c r="AU39">
        <v>41</v>
      </c>
      <c r="AV39">
        <v>1</v>
      </c>
      <c r="AW39">
        <v>1</v>
      </c>
      <c r="AZ39">
        <v>1</v>
      </c>
      <c r="BA39">
        <v>21.69</v>
      </c>
      <c r="BB39">
        <v>8.39</v>
      </c>
      <c r="BC39">
        <v>5.41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2</v>
      </c>
      <c r="BJ39" t="s">
        <v>65</v>
      </c>
      <c r="BM39">
        <v>1518</v>
      </c>
      <c r="BN39">
        <v>0</v>
      </c>
      <c r="BO39" t="s">
        <v>62</v>
      </c>
      <c r="BP39">
        <v>1</v>
      </c>
      <c r="BQ39">
        <v>40</v>
      </c>
      <c r="BR39">
        <v>0</v>
      </c>
      <c r="BS39">
        <v>21.69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77</v>
      </c>
      <c r="CA39">
        <v>41</v>
      </c>
      <c r="CE39">
        <v>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0"/>
        <v>6339.8000000000011</v>
      </c>
      <c r="CQ39">
        <f t="shared" si="31"/>
        <v>1572.4164999999998</v>
      </c>
      <c r="CR39">
        <f t="shared" si="32"/>
        <v>362.36410000000001</v>
      </c>
      <c r="CS39">
        <f t="shared" si="33"/>
        <v>179.5932</v>
      </c>
      <c r="CT39">
        <f t="shared" si="34"/>
        <v>4405.0221000000001</v>
      </c>
      <c r="CU39">
        <f t="shared" si="35"/>
        <v>0</v>
      </c>
      <c r="CV39">
        <f t="shared" si="36"/>
        <v>15.93</v>
      </c>
      <c r="CW39">
        <f t="shared" si="37"/>
        <v>0</v>
      </c>
      <c r="CX39">
        <f t="shared" si="38"/>
        <v>0</v>
      </c>
      <c r="CY39">
        <f t="shared" si="39"/>
        <v>3391.8654000000006</v>
      </c>
      <c r="CZ39">
        <f t="shared" si="40"/>
        <v>1806.0582000000002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114</v>
      </c>
      <c r="DO39">
        <v>67</v>
      </c>
      <c r="DP39">
        <v>1.0469999999999999</v>
      </c>
      <c r="DQ39">
        <v>1</v>
      </c>
      <c r="DU39">
        <v>1003</v>
      </c>
      <c r="DV39" t="s">
        <v>64</v>
      </c>
      <c r="DW39" t="s">
        <v>64</v>
      </c>
      <c r="DX39">
        <v>100</v>
      </c>
      <c r="EE39">
        <v>21988870</v>
      </c>
      <c r="EF39">
        <v>40</v>
      </c>
      <c r="EG39" t="s">
        <v>19</v>
      </c>
      <c r="EH39">
        <v>0</v>
      </c>
      <c r="EI39" t="s">
        <v>3</v>
      </c>
      <c r="EJ39">
        <v>2</v>
      </c>
      <c r="EK39">
        <v>1518</v>
      </c>
      <c r="EL39" t="s">
        <v>66</v>
      </c>
      <c r="EM39" t="s">
        <v>67</v>
      </c>
      <c r="EO39" t="s">
        <v>3</v>
      </c>
      <c r="EQ39">
        <v>131072</v>
      </c>
      <c r="ER39">
        <v>536.92999999999995</v>
      </c>
      <c r="ES39">
        <v>290.64999999999998</v>
      </c>
      <c r="ET39">
        <v>43.19</v>
      </c>
      <c r="EU39">
        <v>8.2799999999999994</v>
      </c>
      <c r="EV39">
        <v>203.09</v>
      </c>
      <c r="EW39">
        <v>15.93</v>
      </c>
      <c r="EX39">
        <v>0</v>
      </c>
      <c r="EY39">
        <v>0</v>
      </c>
      <c r="FQ39">
        <v>0</v>
      </c>
      <c r="FR39">
        <f t="shared" si="41"/>
        <v>0</v>
      </c>
      <c r="FS39">
        <v>0</v>
      </c>
      <c r="FX39">
        <v>114</v>
      </c>
      <c r="FY39">
        <v>67</v>
      </c>
      <c r="GA39" t="s">
        <v>3</v>
      </c>
      <c r="GD39">
        <v>0</v>
      </c>
      <c r="GF39">
        <v>-1791677156</v>
      </c>
      <c r="GG39">
        <v>2</v>
      </c>
      <c r="GH39">
        <v>1</v>
      </c>
      <c r="GI39">
        <v>2</v>
      </c>
      <c r="GJ39">
        <v>0</v>
      </c>
      <c r="GK39">
        <f>ROUND(R39*(S12)/100,2)</f>
        <v>281.95999999999998</v>
      </c>
      <c r="GL39">
        <f t="shared" si="42"/>
        <v>0</v>
      </c>
      <c r="GM39">
        <f t="shared" ref="GM39:GM45" si="52">ROUND(O39+X39+Y39+GK39,2)+GX39</f>
        <v>11819.69</v>
      </c>
      <c r="GN39">
        <f t="shared" ref="GN39:GN45" si="53">IF(OR(BI39=0,BI39=1),ROUND(O39+X39+Y39+GK39,2),0)</f>
        <v>0</v>
      </c>
      <c r="GO39">
        <f t="shared" ref="GO39:GO45" si="54">IF(BI39=2,ROUND(O39+X39+Y39+GK39,2),0)</f>
        <v>11819.69</v>
      </c>
      <c r="GP39">
        <f t="shared" ref="GP39:GP45" si="55">IF(BI39=4,ROUND(O39+X39+Y39+GK39,2)+GX39,0)</f>
        <v>0</v>
      </c>
      <c r="GR39">
        <v>0</v>
      </c>
      <c r="GS39">
        <v>3</v>
      </c>
      <c r="GT39">
        <v>0</v>
      </c>
      <c r="GU39" t="s">
        <v>3</v>
      </c>
      <c r="GV39">
        <f t="shared" si="43"/>
        <v>0</v>
      </c>
      <c r="GW39">
        <v>1</v>
      </c>
      <c r="GX39">
        <f t="shared" si="44"/>
        <v>0</v>
      </c>
      <c r="HA39">
        <v>0</v>
      </c>
      <c r="HB39">
        <v>0</v>
      </c>
      <c r="HC39">
        <f t="shared" si="45"/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26</v>
      </c>
      <c r="D40" s="2"/>
      <c r="E40" s="2" t="s">
        <v>68</v>
      </c>
      <c r="F40" s="2" t="s">
        <v>69</v>
      </c>
      <c r="G40" s="2" t="s">
        <v>70</v>
      </c>
      <c r="H40" s="2" t="s">
        <v>71</v>
      </c>
      <c r="I40" s="2">
        <f>I38*J40</f>
        <v>102</v>
      </c>
      <c r="J40" s="2">
        <v>102</v>
      </c>
      <c r="K40" s="2"/>
      <c r="L40" s="2"/>
      <c r="M40" s="2"/>
      <c r="N40" s="2"/>
      <c r="O40" s="2">
        <f t="shared" si="14"/>
        <v>529.38</v>
      </c>
      <c r="P40" s="2">
        <f t="shared" si="15"/>
        <v>529.38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55106055</v>
      </c>
      <c r="AB40" s="2">
        <f t="shared" si="25"/>
        <v>5.19</v>
      </c>
      <c r="AC40" s="2">
        <f t="shared" si="46"/>
        <v>5.19</v>
      </c>
      <c r="AD40" s="2">
        <f t="shared" si="47"/>
        <v>0</v>
      </c>
      <c r="AE40" s="2">
        <f t="shared" si="48"/>
        <v>0</v>
      </c>
      <c r="AF40" s="2">
        <f t="shared" si="49"/>
        <v>0</v>
      </c>
      <c r="AG40" s="2">
        <f t="shared" si="27"/>
        <v>0</v>
      </c>
      <c r="AH40" s="2">
        <f t="shared" si="50"/>
        <v>0</v>
      </c>
      <c r="AI40" s="2">
        <f t="shared" si="51"/>
        <v>0</v>
      </c>
      <c r="AJ40" s="2">
        <f t="shared" si="29"/>
        <v>0</v>
      </c>
      <c r="AK40" s="2">
        <v>5.19</v>
      </c>
      <c r="AL40" s="2">
        <v>5.19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3</v>
      </c>
      <c r="BI40" s="2">
        <v>2</v>
      </c>
      <c r="BJ40" s="2" t="s">
        <v>72</v>
      </c>
      <c r="BK40" s="2"/>
      <c r="BL40" s="2"/>
      <c r="BM40" s="2">
        <v>1518</v>
      </c>
      <c r="BN40" s="2">
        <v>0</v>
      </c>
      <c r="BO40" s="2" t="s">
        <v>3</v>
      </c>
      <c r="BP40" s="2">
        <v>0</v>
      </c>
      <c r="BQ40" s="2">
        <v>40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0</v>
      </c>
      <c r="CA40" s="2">
        <v>0</v>
      </c>
      <c r="CB40" s="2"/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</v>
      </c>
      <c r="CO40" s="2">
        <v>0</v>
      </c>
      <c r="CP40" s="2">
        <f t="shared" si="30"/>
        <v>529.38</v>
      </c>
      <c r="CQ40" s="2">
        <f t="shared" si="31"/>
        <v>5.19</v>
      </c>
      <c r="CR40" s="2">
        <f t="shared" si="32"/>
        <v>0</v>
      </c>
      <c r="CS40" s="2">
        <f t="shared" si="33"/>
        <v>0</v>
      </c>
      <c r="CT40" s="2">
        <f t="shared" si="34"/>
        <v>0</v>
      </c>
      <c r="CU40" s="2">
        <f t="shared" si="35"/>
        <v>0</v>
      </c>
      <c r="CV40" s="2">
        <f t="shared" si="36"/>
        <v>0</v>
      </c>
      <c r="CW40" s="2">
        <f t="shared" si="37"/>
        <v>0</v>
      </c>
      <c r="CX40" s="2">
        <f t="shared" si="38"/>
        <v>0</v>
      </c>
      <c r="CY40" s="2">
        <f t="shared" si="39"/>
        <v>0</v>
      </c>
      <c r="CZ40" s="2">
        <f t="shared" si="40"/>
        <v>0</v>
      </c>
      <c r="DA40" s="2"/>
      <c r="DB40" s="2"/>
      <c r="DC40" s="2" t="s">
        <v>3</v>
      </c>
      <c r="DD40" s="2" t="s">
        <v>3</v>
      </c>
      <c r="DE40" s="2" t="s">
        <v>3</v>
      </c>
      <c r="DF40" s="2" t="s">
        <v>3</v>
      </c>
      <c r="DG40" s="2" t="s">
        <v>3</v>
      </c>
      <c r="DH40" s="2" t="s">
        <v>3</v>
      </c>
      <c r="DI40" s="2" t="s">
        <v>3</v>
      </c>
      <c r="DJ40" s="2" t="s">
        <v>3</v>
      </c>
      <c r="DK40" s="2" t="s">
        <v>3</v>
      </c>
      <c r="DL40" s="2" t="s">
        <v>3</v>
      </c>
      <c r="DM40" s="2" t="s">
        <v>3</v>
      </c>
      <c r="DN40" s="2">
        <v>114</v>
      </c>
      <c r="DO40" s="2">
        <v>67</v>
      </c>
      <c r="DP40" s="2">
        <v>1.0469999999999999</v>
      </c>
      <c r="DQ40" s="2">
        <v>1</v>
      </c>
      <c r="DR40" s="2"/>
      <c r="DS40" s="2"/>
      <c r="DT40" s="2"/>
      <c r="DU40" s="2">
        <v>1003</v>
      </c>
      <c r="DV40" s="2" t="s">
        <v>71</v>
      </c>
      <c r="DW40" s="2" t="s">
        <v>71</v>
      </c>
      <c r="DX40" s="2">
        <v>1</v>
      </c>
      <c r="DY40" s="2"/>
      <c r="DZ40" s="2"/>
      <c r="EA40" s="2"/>
      <c r="EB40" s="2"/>
      <c r="EC40" s="2"/>
      <c r="ED40" s="2"/>
      <c r="EE40" s="2">
        <v>21988870</v>
      </c>
      <c r="EF40" s="2">
        <v>40</v>
      </c>
      <c r="EG40" s="2" t="s">
        <v>19</v>
      </c>
      <c r="EH40" s="2">
        <v>0</v>
      </c>
      <c r="EI40" s="2" t="s">
        <v>3</v>
      </c>
      <c r="EJ40" s="2">
        <v>2</v>
      </c>
      <c r="EK40" s="2">
        <v>1518</v>
      </c>
      <c r="EL40" s="2" t="s">
        <v>66</v>
      </c>
      <c r="EM40" s="2" t="s">
        <v>67</v>
      </c>
      <c r="EN40" s="2"/>
      <c r="EO40" s="2" t="s">
        <v>3</v>
      </c>
      <c r="EP40" s="2"/>
      <c r="EQ40" s="2">
        <v>0</v>
      </c>
      <c r="ER40" s="2">
        <v>5.19</v>
      </c>
      <c r="ES40" s="2">
        <v>5.19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1"/>
        <v>0</v>
      </c>
      <c r="FS40" s="2">
        <v>0</v>
      </c>
      <c r="FT40" s="2"/>
      <c r="FU40" s="2"/>
      <c r="FV40" s="2"/>
      <c r="FW40" s="2"/>
      <c r="FX40" s="2">
        <v>114</v>
      </c>
      <c r="FY40" s="2">
        <v>67</v>
      </c>
      <c r="FZ40" s="2"/>
      <c r="GA40" s="2" t="s">
        <v>3</v>
      </c>
      <c r="GB40" s="2"/>
      <c r="GC40" s="2"/>
      <c r="GD40" s="2">
        <v>0</v>
      </c>
      <c r="GE40" s="2"/>
      <c r="GF40" s="2">
        <v>-1867355440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2"/>
        <v>0</v>
      </c>
      <c r="GM40" s="2">
        <f t="shared" si="52"/>
        <v>529.38</v>
      </c>
      <c r="GN40" s="2">
        <f t="shared" si="53"/>
        <v>0</v>
      </c>
      <c r="GO40" s="2">
        <f t="shared" si="54"/>
        <v>529.38</v>
      </c>
      <c r="GP40" s="2">
        <f t="shared" si="55"/>
        <v>0</v>
      </c>
      <c r="GQ40" s="2"/>
      <c r="GR40" s="2">
        <v>0</v>
      </c>
      <c r="GS40" s="2">
        <v>3</v>
      </c>
      <c r="GT40" s="2">
        <v>0</v>
      </c>
      <c r="GU40" s="2" t="s">
        <v>3</v>
      </c>
      <c r="GV40" s="2">
        <f t="shared" si="43"/>
        <v>0</v>
      </c>
      <c r="GW40" s="2">
        <v>1</v>
      </c>
      <c r="GX40" s="2">
        <f t="shared" si="44"/>
        <v>0</v>
      </c>
      <c r="GY40" s="2"/>
      <c r="GZ40" s="2"/>
      <c r="HA40" s="2">
        <v>0</v>
      </c>
      <c r="HB40" s="2">
        <v>0</v>
      </c>
      <c r="HC40" s="2">
        <f t="shared" si="45"/>
        <v>0</v>
      </c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30</v>
      </c>
      <c r="E41" t="s">
        <v>68</v>
      </c>
      <c r="F41" t="s">
        <v>69</v>
      </c>
      <c r="G41" t="s">
        <v>70</v>
      </c>
      <c r="H41" t="s">
        <v>71</v>
      </c>
      <c r="I41">
        <f>I39*J41</f>
        <v>102</v>
      </c>
      <c r="J41">
        <v>102</v>
      </c>
      <c r="O41">
        <f t="shared" si="14"/>
        <v>3520.38</v>
      </c>
      <c r="P41">
        <f t="shared" si="15"/>
        <v>3520.38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55106052</v>
      </c>
      <c r="AB41">
        <f t="shared" si="25"/>
        <v>5.19</v>
      </c>
      <c r="AC41">
        <f t="shared" si="46"/>
        <v>5.19</v>
      </c>
      <c r="AD41">
        <f t="shared" si="47"/>
        <v>0</v>
      </c>
      <c r="AE41">
        <f t="shared" si="48"/>
        <v>0</v>
      </c>
      <c r="AF41">
        <f t="shared" si="49"/>
        <v>0</v>
      </c>
      <c r="AG41">
        <f t="shared" si="27"/>
        <v>0</v>
      </c>
      <c r="AH41">
        <f t="shared" si="50"/>
        <v>0</v>
      </c>
      <c r="AI41">
        <f t="shared" si="51"/>
        <v>0</v>
      </c>
      <c r="AJ41">
        <f t="shared" si="29"/>
        <v>0</v>
      </c>
      <c r="AK41">
        <v>5.19</v>
      </c>
      <c r="AL41">
        <v>5.19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6.65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2</v>
      </c>
      <c r="BJ41" t="s">
        <v>72</v>
      </c>
      <c r="BM41">
        <v>1518</v>
      </c>
      <c r="BN41">
        <v>0</v>
      </c>
      <c r="BO41" t="s">
        <v>69</v>
      </c>
      <c r="BP41">
        <v>1</v>
      </c>
      <c r="BQ41">
        <v>40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0</v>
      </c>
      <c r="CA41">
        <v>0</v>
      </c>
      <c r="CE41">
        <v>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0"/>
        <v>3520.38</v>
      </c>
      <c r="CQ41">
        <f t="shared" si="31"/>
        <v>34.513500000000008</v>
      </c>
      <c r="CR41">
        <f t="shared" si="32"/>
        <v>0</v>
      </c>
      <c r="CS41">
        <f t="shared" si="33"/>
        <v>0</v>
      </c>
      <c r="CT41">
        <f t="shared" si="34"/>
        <v>0</v>
      </c>
      <c r="CU41">
        <f t="shared" si="35"/>
        <v>0</v>
      </c>
      <c r="CV41">
        <f t="shared" si="36"/>
        <v>0</v>
      </c>
      <c r="CW41">
        <f t="shared" si="37"/>
        <v>0</v>
      </c>
      <c r="CX41">
        <f t="shared" si="38"/>
        <v>0</v>
      </c>
      <c r="CY41">
        <f t="shared" si="39"/>
        <v>0</v>
      </c>
      <c r="CZ41">
        <f t="shared" si="40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114</v>
      </c>
      <c r="DO41">
        <v>67</v>
      </c>
      <c r="DP41">
        <v>1.0469999999999999</v>
      </c>
      <c r="DQ41">
        <v>1</v>
      </c>
      <c r="DU41">
        <v>1003</v>
      </c>
      <c r="DV41" t="s">
        <v>71</v>
      </c>
      <c r="DW41" t="s">
        <v>71</v>
      </c>
      <c r="DX41">
        <v>1</v>
      </c>
      <c r="EE41">
        <v>21988870</v>
      </c>
      <c r="EF41">
        <v>40</v>
      </c>
      <c r="EG41" t="s">
        <v>19</v>
      </c>
      <c r="EH41">
        <v>0</v>
      </c>
      <c r="EI41" t="s">
        <v>3</v>
      </c>
      <c r="EJ41">
        <v>2</v>
      </c>
      <c r="EK41">
        <v>1518</v>
      </c>
      <c r="EL41" t="s">
        <v>66</v>
      </c>
      <c r="EM41" t="s">
        <v>67</v>
      </c>
      <c r="EO41" t="s">
        <v>3</v>
      </c>
      <c r="EQ41">
        <v>0</v>
      </c>
      <c r="ER41">
        <v>5.19</v>
      </c>
      <c r="ES41">
        <v>5.19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1"/>
        <v>0</v>
      </c>
      <c r="FS41">
        <v>0</v>
      </c>
      <c r="FX41">
        <v>114</v>
      </c>
      <c r="FY41">
        <v>67</v>
      </c>
      <c r="GA41" t="s">
        <v>3</v>
      </c>
      <c r="GD41">
        <v>0</v>
      </c>
      <c r="GF41">
        <v>-1867355440</v>
      </c>
      <c r="GG41">
        <v>2</v>
      </c>
      <c r="GH41">
        <v>1</v>
      </c>
      <c r="GI41">
        <v>2</v>
      </c>
      <c r="GJ41">
        <v>0</v>
      </c>
      <c r="GK41">
        <f>ROUND(R41*(S12)/100,2)</f>
        <v>0</v>
      </c>
      <c r="GL41">
        <f t="shared" si="42"/>
        <v>0</v>
      </c>
      <c r="GM41">
        <f t="shared" si="52"/>
        <v>3520.38</v>
      </c>
      <c r="GN41">
        <f t="shared" si="53"/>
        <v>0</v>
      </c>
      <c r="GO41">
        <f t="shared" si="54"/>
        <v>3520.38</v>
      </c>
      <c r="GP41">
        <f t="shared" si="55"/>
        <v>0</v>
      </c>
      <c r="GR41">
        <v>0</v>
      </c>
      <c r="GS41">
        <v>3</v>
      </c>
      <c r="GT41">
        <v>0</v>
      </c>
      <c r="GU41" t="s">
        <v>3</v>
      </c>
      <c r="GV41">
        <f t="shared" si="43"/>
        <v>0</v>
      </c>
      <c r="GW41">
        <v>1</v>
      </c>
      <c r="GX41">
        <f t="shared" si="44"/>
        <v>0</v>
      </c>
      <c r="HA41">
        <v>0</v>
      </c>
      <c r="HB41">
        <v>0</v>
      </c>
      <c r="HC41">
        <f t="shared" si="45"/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28</v>
      </c>
      <c r="D42" s="2"/>
      <c r="E42" s="2" t="s">
        <v>73</v>
      </c>
      <c r="F42" s="2" t="s">
        <v>74</v>
      </c>
      <c r="G42" s="2" t="s">
        <v>75</v>
      </c>
      <c r="H42" s="2" t="s">
        <v>51</v>
      </c>
      <c r="I42" s="2">
        <f>I38*J42</f>
        <v>5</v>
      </c>
      <c r="J42" s="2">
        <v>5</v>
      </c>
      <c r="K42" s="2"/>
      <c r="L42" s="2"/>
      <c r="M42" s="2"/>
      <c r="N42" s="2"/>
      <c r="O42" s="2">
        <f t="shared" si="14"/>
        <v>130.94999999999999</v>
      </c>
      <c r="P42" s="2">
        <f t="shared" si="15"/>
        <v>130.94999999999999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55106055</v>
      </c>
      <c r="AB42" s="2">
        <f t="shared" si="25"/>
        <v>26.19</v>
      </c>
      <c r="AC42" s="2">
        <f t="shared" si="46"/>
        <v>26.19</v>
      </c>
      <c r="AD42" s="2">
        <f t="shared" si="47"/>
        <v>0</v>
      </c>
      <c r="AE42" s="2">
        <f t="shared" si="48"/>
        <v>0</v>
      </c>
      <c r="AF42" s="2">
        <f t="shared" si="49"/>
        <v>0</v>
      </c>
      <c r="AG42" s="2">
        <f t="shared" si="27"/>
        <v>0</v>
      </c>
      <c r="AH42" s="2">
        <f t="shared" si="50"/>
        <v>0</v>
      </c>
      <c r="AI42" s="2">
        <f t="shared" si="51"/>
        <v>0</v>
      </c>
      <c r="AJ42" s="2">
        <f t="shared" si="29"/>
        <v>0</v>
      </c>
      <c r="AK42" s="2">
        <v>26.19</v>
      </c>
      <c r="AL42" s="2">
        <v>26.19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3</v>
      </c>
      <c r="BI42" s="2">
        <v>2</v>
      </c>
      <c r="BJ42" s="2" t="s">
        <v>76</v>
      </c>
      <c r="BK42" s="2"/>
      <c r="BL42" s="2"/>
      <c r="BM42" s="2">
        <v>1518</v>
      </c>
      <c r="BN42" s="2">
        <v>0</v>
      </c>
      <c r="BO42" s="2" t="s">
        <v>3</v>
      </c>
      <c r="BP42" s="2">
        <v>0</v>
      </c>
      <c r="BQ42" s="2">
        <v>40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0</v>
      </c>
      <c r="CA42" s="2">
        <v>0</v>
      </c>
      <c r="CB42" s="2"/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30"/>
        <v>130.94999999999999</v>
      </c>
      <c r="CQ42" s="2">
        <f t="shared" si="31"/>
        <v>26.19</v>
      </c>
      <c r="CR42" s="2">
        <f t="shared" si="32"/>
        <v>0</v>
      </c>
      <c r="CS42" s="2">
        <f t="shared" si="33"/>
        <v>0</v>
      </c>
      <c r="CT42" s="2">
        <f t="shared" si="34"/>
        <v>0</v>
      </c>
      <c r="CU42" s="2">
        <f t="shared" si="35"/>
        <v>0</v>
      </c>
      <c r="CV42" s="2">
        <f t="shared" si="36"/>
        <v>0</v>
      </c>
      <c r="CW42" s="2">
        <f t="shared" si="37"/>
        <v>0</v>
      </c>
      <c r="CX42" s="2">
        <f t="shared" si="38"/>
        <v>0</v>
      </c>
      <c r="CY42" s="2">
        <f t="shared" si="39"/>
        <v>0</v>
      </c>
      <c r="CZ42" s="2">
        <f t="shared" si="40"/>
        <v>0</v>
      </c>
      <c r="DA42" s="2"/>
      <c r="DB42" s="2"/>
      <c r="DC42" s="2" t="s">
        <v>3</v>
      </c>
      <c r="DD42" s="2" t="s">
        <v>3</v>
      </c>
      <c r="DE42" s="2" t="s">
        <v>3</v>
      </c>
      <c r="DF42" s="2" t="s">
        <v>3</v>
      </c>
      <c r="DG42" s="2" t="s">
        <v>3</v>
      </c>
      <c r="DH42" s="2" t="s">
        <v>3</v>
      </c>
      <c r="DI42" s="2" t="s">
        <v>3</v>
      </c>
      <c r="DJ42" s="2" t="s">
        <v>3</v>
      </c>
      <c r="DK42" s="2" t="s">
        <v>3</v>
      </c>
      <c r="DL42" s="2" t="s">
        <v>3</v>
      </c>
      <c r="DM42" s="2" t="s">
        <v>3</v>
      </c>
      <c r="DN42" s="2">
        <v>114</v>
      </c>
      <c r="DO42" s="2">
        <v>67</v>
      </c>
      <c r="DP42" s="2">
        <v>1.0469999999999999</v>
      </c>
      <c r="DQ42" s="2">
        <v>1</v>
      </c>
      <c r="DR42" s="2"/>
      <c r="DS42" s="2"/>
      <c r="DT42" s="2"/>
      <c r="DU42" s="2">
        <v>1010</v>
      </c>
      <c r="DV42" s="2" t="s">
        <v>51</v>
      </c>
      <c r="DW42" s="2" t="s">
        <v>51</v>
      </c>
      <c r="DX42" s="2">
        <v>1</v>
      </c>
      <c r="DY42" s="2"/>
      <c r="DZ42" s="2"/>
      <c r="EA42" s="2"/>
      <c r="EB42" s="2"/>
      <c r="EC42" s="2"/>
      <c r="ED42" s="2"/>
      <c r="EE42" s="2">
        <v>21988870</v>
      </c>
      <c r="EF42" s="2">
        <v>40</v>
      </c>
      <c r="EG42" s="2" t="s">
        <v>19</v>
      </c>
      <c r="EH42" s="2">
        <v>0</v>
      </c>
      <c r="EI42" s="2" t="s">
        <v>3</v>
      </c>
      <c r="EJ42" s="2">
        <v>2</v>
      </c>
      <c r="EK42" s="2">
        <v>1518</v>
      </c>
      <c r="EL42" s="2" t="s">
        <v>66</v>
      </c>
      <c r="EM42" s="2" t="s">
        <v>67</v>
      </c>
      <c r="EN42" s="2"/>
      <c r="EO42" s="2" t="s">
        <v>3</v>
      </c>
      <c r="EP42" s="2"/>
      <c r="EQ42" s="2">
        <v>0</v>
      </c>
      <c r="ER42" s="2">
        <v>26.19</v>
      </c>
      <c r="ES42" s="2">
        <v>26.19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1"/>
        <v>0</v>
      </c>
      <c r="FS42" s="2">
        <v>0</v>
      </c>
      <c r="FT42" s="2"/>
      <c r="FU42" s="2"/>
      <c r="FV42" s="2"/>
      <c r="FW42" s="2"/>
      <c r="FX42" s="2">
        <v>114</v>
      </c>
      <c r="FY42" s="2">
        <v>67</v>
      </c>
      <c r="FZ42" s="2"/>
      <c r="GA42" s="2" t="s">
        <v>3</v>
      </c>
      <c r="GB42" s="2"/>
      <c r="GC42" s="2"/>
      <c r="GD42" s="2">
        <v>0</v>
      </c>
      <c r="GE42" s="2"/>
      <c r="GF42" s="2">
        <v>-838499012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2"/>
        <v>0</v>
      </c>
      <c r="GM42" s="2">
        <f t="shared" si="52"/>
        <v>130.94999999999999</v>
      </c>
      <c r="GN42" s="2">
        <f t="shared" si="53"/>
        <v>0</v>
      </c>
      <c r="GO42" s="2">
        <f t="shared" si="54"/>
        <v>130.94999999999999</v>
      </c>
      <c r="GP42" s="2">
        <f t="shared" si="55"/>
        <v>0</v>
      </c>
      <c r="GQ42" s="2"/>
      <c r="GR42" s="2">
        <v>0</v>
      </c>
      <c r="GS42" s="2">
        <v>3</v>
      </c>
      <c r="GT42" s="2">
        <v>0</v>
      </c>
      <c r="GU42" s="2" t="s">
        <v>3</v>
      </c>
      <c r="GV42" s="2">
        <f t="shared" si="43"/>
        <v>0</v>
      </c>
      <c r="GW42" s="2">
        <v>1</v>
      </c>
      <c r="GX42" s="2">
        <f t="shared" si="44"/>
        <v>0</v>
      </c>
      <c r="GY42" s="2"/>
      <c r="GZ42" s="2"/>
      <c r="HA42" s="2">
        <v>0</v>
      </c>
      <c r="HB42" s="2">
        <v>0</v>
      </c>
      <c r="HC42" s="2">
        <f t="shared" si="45"/>
        <v>0</v>
      </c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32</v>
      </c>
      <c r="E43" t="s">
        <v>73</v>
      </c>
      <c r="F43" t="s">
        <v>74</v>
      </c>
      <c r="G43" t="s">
        <v>75</v>
      </c>
      <c r="H43" t="s">
        <v>51</v>
      </c>
      <c r="I43">
        <f>I39*J43</f>
        <v>5</v>
      </c>
      <c r="J43">
        <v>5</v>
      </c>
      <c r="O43">
        <f t="shared" si="14"/>
        <v>125.71</v>
      </c>
      <c r="P43">
        <f t="shared" si="15"/>
        <v>125.71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55106052</v>
      </c>
      <c r="AB43">
        <f t="shared" si="25"/>
        <v>26.19</v>
      </c>
      <c r="AC43">
        <f t="shared" si="46"/>
        <v>26.19</v>
      </c>
      <c r="AD43">
        <f t="shared" si="47"/>
        <v>0</v>
      </c>
      <c r="AE43">
        <f t="shared" si="48"/>
        <v>0</v>
      </c>
      <c r="AF43">
        <f t="shared" si="49"/>
        <v>0</v>
      </c>
      <c r="AG43">
        <f t="shared" si="27"/>
        <v>0</v>
      </c>
      <c r="AH43">
        <f t="shared" si="50"/>
        <v>0</v>
      </c>
      <c r="AI43">
        <f t="shared" si="51"/>
        <v>0</v>
      </c>
      <c r="AJ43">
        <f t="shared" si="29"/>
        <v>0</v>
      </c>
      <c r="AK43">
        <v>26.19</v>
      </c>
      <c r="AL43">
        <v>26.19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1</v>
      </c>
      <c r="AW43">
        <v>1</v>
      </c>
      <c r="AZ43">
        <v>1</v>
      </c>
      <c r="BA43">
        <v>1</v>
      </c>
      <c r="BB43">
        <v>1</v>
      </c>
      <c r="BC43">
        <v>0.96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76</v>
      </c>
      <c r="BM43">
        <v>1518</v>
      </c>
      <c r="BN43">
        <v>0</v>
      </c>
      <c r="BO43" t="s">
        <v>74</v>
      </c>
      <c r="BP43">
        <v>1</v>
      </c>
      <c r="BQ43">
        <v>40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0</v>
      </c>
      <c r="CA43">
        <v>0</v>
      </c>
      <c r="CE43">
        <v>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0"/>
        <v>125.71</v>
      </c>
      <c r="CQ43">
        <f t="shared" si="31"/>
        <v>25.142399999999999</v>
      </c>
      <c r="CR43">
        <f t="shared" si="32"/>
        <v>0</v>
      </c>
      <c r="CS43">
        <f t="shared" si="33"/>
        <v>0</v>
      </c>
      <c r="CT43">
        <f t="shared" si="34"/>
        <v>0</v>
      </c>
      <c r="CU43">
        <f t="shared" si="35"/>
        <v>0</v>
      </c>
      <c r="CV43">
        <f t="shared" si="36"/>
        <v>0</v>
      </c>
      <c r="CW43">
        <f t="shared" si="37"/>
        <v>0</v>
      </c>
      <c r="CX43">
        <f t="shared" si="38"/>
        <v>0</v>
      </c>
      <c r="CY43">
        <f t="shared" si="39"/>
        <v>0</v>
      </c>
      <c r="CZ43">
        <f t="shared" si="40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114</v>
      </c>
      <c r="DO43">
        <v>67</v>
      </c>
      <c r="DP43">
        <v>1.0469999999999999</v>
      </c>
      <c r="DQ43">
        <v>1</v>
      </c>
      <c r="DU43">
        <v>1010</v>
      </c>
      <c r="DV43" t="s">
        <v>51</v>
      </c>
      <c r="DW43" t="s">
        <v>51</v>
      </c>
      <c r="DX43">
        <v>1</v>
      </c>
      <c r="EE43">
        <v>21988870</v>
      </c>
      <c r="EF43">
        <v>40</v>
      </c>
      <c r="EG43" t="s">
        <v>19</v>
      </c>
      <c r="EH43">
        <v>0</v>
      </c>
      <c r="EI43" t="s">
        <v>3</v>
      </c>
      <c r="EJ43">
        <v>2</v>
      </c>
      <c r="EK43">
        <v>1518</v>
      </c>
      <c r="EL43" t="s">
        <v>66</v>
      </c>
      <c r="EM43" t="s">
        <v>67</v>
      </c>
      <c r="EO43" t="s">
        <v>3</v>
      </c>
      <c r="EQ43">
        <v>0</v>
      </c>
      <c r="ER43">
        <v>26.19</v>
      </c>
      <c r="ES43">
        <v>26.19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1"/>
        <v>0</v>
      </c>
      <c r="FS43">
        <v>0</v>
      </c>
      <c r="FX43">
        <v>114</v>
      </c>
      <c r="FY43">
        <v>67</v>
      </c>
      <c r="GA43" t="s">
        <v>3</v>
      </c>
      <c r="GD43">
        <v>0</v>
      </c>
      <c r="GF43">
        <v>-838499012</v>
      </c>
      <c r="GG43">
        <v>2</v>
      </c>
      <c r="GH43">
        <v>1</v>
      </c>
      <c r="GI43">
        <v>2</v>
      </c>
      <c r="GJ43">
        <v>0</v>
      </c>
      <c r="GK43">
        <f>ROUND(R43*(S12)/100,2)</f>
        <v>0</v>
      </c>
      <c r="GL43">
        <f t="shared" si="42"/>
        <v>0</v>
      </c>
      <c r="GM43">
        <f t="shared" si="52"/>
        <v>125.71</v>
      </c>
      <c r="GN43">
        <f t="shared" si="53"/>
        <v>0</v>
      </c>
      <c r="GO43">
        <f t="shared" si="54"/>
        <v>125.71</v>
      </c>
      <c r="GP43">
        <f t="shared" si="55"/>
        <v>0</v>
      </c>
      <c r="GR43">
        <v>0</v>
      </c>
      <c r="GS43">
        <v>3</v>
      </c>
      <c r="GT43">
        <v>0</v>
      </c>
      <c r="GU43" t="s">
        <v>3</v>
      </c>
      <c r="GV43">
        <f t="shared" si="43"/>
        <v>0</v>
      </c>
      <c r="GW43">
        <v>1</v>
      </c>
      <c r="GX43">
        <f t="shared" si="44"/>
        <v>0</v>
      </c>
      <c r="HA43">
        <v>0</v>
      </c>
      <c r="HB43">
        <v>0</v>
      </c>
      <c r="HC43">
        <f t="shared" si="45"/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27</v>
      </c>
      <c r="D44" s="2"/>
      <c r="E44" s="2" t="s">
        <v>77</v>
      </c>
      <c r="F44" s="2" t="s">
        <v>78</v>
      </c>
      <c r="G44" s="2" t="s">
        <v>79</v>
      </c>
      <c r="H44" s="2" t="s">
        <v>80</v>
      </c>
      <c r="I44" s="2">
        <f>I38*J44</f>
        <v>0.91</v>
      </c>
      <c r="J44" s="2">
        <v>0.91</v>
      </c>
      <c r="K44" s="2"/>
      <c r="L44" s="2"/>
      <c r="M44" s="2"/>
      <c r="N44" s="2"/>
      <c r="O44" s="2">
        <f t="shared" si="14"/>
        <v>140.47999999999999</v>
      </c>
      <c r="P44" s="2">
        <f t="shared" si="15"/>
        <v>140.47999999999999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55106055</v>
      </c>
      <c r="AB44" s="2">
        <f t="shared" si="25"/>
        <v>154.37</v>
      </c>
      <c r="AC44" s="2">
        <f t="shared" si="46"/>
        <v>154.37</v>
      </c>
      <c r="AD44" s="2">
        <f t="shared" si="47"/>
        <v>0</v>
      </c>
      <c r="AE44" s="2">
        <f t="shared" si="48"/>
        <v>0</v>
      </c>
      <c r="AF44" s="2">
        <f t="shared" si="49"/>
        <v>0</v>
      </c>
      <c r="AG44" s="2">
        <f t="shared" si="27"/>
        <v>0</v>
      </c>
      <c r="AH44" s="2">
        <f t="shared" si="50"/>
        <v>0</v>
      </c>
      <c r="AI44" s="2">
        <f t="shared" si="51"/>
        <v>0</v>
      </c>
      <c r="AJ44" s="2">
        <f t="shared" si="29"/>
        <v>0</v>
      </c>
      <c r="AK44" s="2">
        <v>154.37</v>
      </c>
      <c r="AL44" s="2">
        <v>154.37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3</v>
      </c>
      <c r="BI44" s="2">
        <v>2</v>
      </c>
      <c r="BJ44" s="2" t="s">
        <v>81</v>
      </c>
      <c r="BK44" s="2"/>
      <c r="BL44" s="2"/>
      <c r="BM44" s="2">
        <v>1518</v>
      </c>
      <c r="BN44" s="2">
        <v>0</v>
      </c>
      <c r="BO44" s="2" t="s">
        <v>3</v>
      </c>
      <c r="BP44" s="2">
        <v>0</v>
      </c>
      <c r="BQ44" s="2">
        <v>40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0</v>
      </c>
      <c r="CA44" s="2">
        <v>0</v>
      </c>
      <c r="CB44" s="2"/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3</v>
      </c>
      <c r="CO44" s="2">
        <v>0</v>
      </c>
      <c r="CP44" s="2">
        <f t="shared" si="30"/>
        <v>140.47999999999999</v>
      </c>
      <c r="CQ44" s="2">
        <f t="shared" si="31"/>
        <v>154.37</v>
      </c>
      <c r="CR44" s="2">
        <f t="shared" si="32"/>
        <v>0</v>
      </c>
      <c r="CS44" s="2">
        <f t="shared" si="33"/>
        <v>0</v>
      </c>
      <c r="CT44" s="2">
        <f t="shared" si="34"/>
        <v>0</v>
      </c>
      <c r="CU44" s="2">
        <f t="shared" si="35"/>
        <v>0</v>
      </c>
      <c r="CV44" s="2">
        <f t="shared" si="36"/>
        <v>0</v>
      </c>
      <c r="CW44" s="2">
        <f t="shared" si="37"/>
        <v>0</v>
      </c>
      <c r="CX44" s="2">
        <f t="shared" si="38"/>
        <v>0</v>
      </c>
      <c r="CY44" s="2">
        <f t="shared" si="39"/>
        <v>0</v>
      </c>
      <c r="CZ44" s="2">
        <f t="shared" si="40"/>
        <v>0</v>
      </c>
      <c r="DA44" s="2"/>
      <c r="DB44" s="2"/>
      <c r="DC44" s="2" t="s">
        <v>3</v>
      </c>
      <c r="DD44" s="2" t="s">
        <v>3</v>
      </c>
      <c r="DE44" s="2" t="s">
        <v>3</v>
      </c>
      <c r="DF44" s="2" t="s">
        <v>3</v>
      </c>
      <c r="DG44" s="2" t="s">
        <v>3</v>
      </c>
      <c r="DH44" s="2" t="s">
        <v>3</v>
      </c>
      <c r="DI44" s="2" t="s">
        <v>3</v>
      </c>
      <c r="DJ44" s="2" t="s">
        <v>3</v>
      </c>
      <c r="DK44" s="2" t="s">
        <v>3</v>
      </c>
      <c r="DL44" s="2" t="s">
        <v>3</v>
      </c>
      <c r="DM44" s="2" t="s">
        <v>3</v>
      </c>
      <c r="DN44" s="2">
        <v>114</v>
      </c>
      <c r="DO44" s="2">
        <v>67</v>
      </c>
      <c r="DP44" s="2">
        <v>1.0469999999999999</v>
      </c>
      <c r="DQ44" s="2">
        <v>1</v>
      </c>
      <c r="DR44" s="2"/>
      <c r="DS44" s="2"/>
      <c r="DT44" s="2"/>
      <c r="DU44" s="2">
        <v>1010</v>
      </c>
      <c r="DV44" s="2" t="s">
        <v>80</v>
      </c>
      <c r="DW44" s="2" t="s">
        <v>80</v>
      </c>
      <c r="DX44" s="2">
        <v>100</v>
      </c>
      <c r="DY44" s="2"/>
      <c r="DZ44" s="2"/>
      <c r="EA44" s="2"/>
      <c r="EB44" s="2"/>
      <c r="EC44" s="2"/>
      <c r="ED44" s="2"/>
      <c r="EE44" s="2">
        <v>21988870</v>
      </c>
      <c r="EF44" s="2">
        <v>40</v>
      </c>
      <c r="EG44" s="2" t="s">
        <v>19</v>
      </c>
      <c r="EH44" s="2">
        <v>0</v>
      </c>
      <c r="EI44" s="2" t="s">
        <v>3</v>
      </c>
      <c r="EJ44" s="2">
        <v>2</v>
      </c>
      <c r="EK44" s="2">
        <v>1518</v>
      </c>
      <c r="EL44" s="2" t="s">
        <v>66</v>
      </c>
      <c r="EM44" s="2" t="s">
        <v>67</v>
      </c>
      <c r="EN44" s="2"/>
      <c r="EO44" s="2" t="s">
        <v>3</v>
      </c>
      <c r="EP44" s="2"/>
      <c r="EQ44" s="2">
        <v>0</v>
      </c>
      <c r="ER44" s="2">
        <v>154.37</v>
      </c>
      <c r="ES44" s="2">
        <v>154.37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1"/>
        <v>0</v>
      </c>
      <c r="FS44" s="2">
        <v>0</v>
      </c>
      <c r="FT44" s="2"/>
      <c r="FU44" s="2"/>
      <c r="FV44" s="2"/>
      <c r="FW44" s="2"/>
      <c r="FX44" s="2">
        <v>114</v>
      </c>
      <c r="FY44" s="2">
        <v>67</v>
      </c>
      <c r="FZ44" s="2"/>
      <c r="GA44" s="2" t="s">
        <v>3</v>
      </c>
      <c r="GB44" s="2"/>
      <c r="GC44" s="2"/>
      <c r="GD44" s="2">
        <v>0</v>
      </c>
      <c r="GE44" s="2"/>
      <c r="GF44" s="2">
        <v>1689615020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2"/>
        <v>0</v>
      </c>
      <c r="GM44" s="2">
        <f t="shared" si="52"/>
        <v>140.47999999999999</v>
      </c>
      <c r="GN44" s="2">
        <f t="shared" si="53"/>
        <v>0</v>
      </c>
      <c r="GO44" s="2">
        <f t="shared" si="54"/>
        <v>140.47999999999999</v>
      </c>
      <c r="GP44" s="2">
        <f t="shared" si="55"/>
        <v>0</v>
      </c>
      <c r="GQ44" s="2"/>
      <c r="GR44" s="2">
        <v>0</v>
      </c>
      <c r="GS44" s="2">
        <v>3</v>
      </c>
      <c r="GT44" s="2">
        <v>0</v>
      </c>
      <c r="GU44" s="2" t="s">
        <v>3</v>
      </c>
      <c r="GV44" s="2">
        <f t="shared" si="43"/>
        <v>0</v>
      </c>
      <c r="GW44" s="2">
        <v>1</v>
      </c>
      <c r="GX44" s="2">
        <f t="shared" si="44"/>
        <v>0</v>
      </c>
      <c r="GY44" s="2"/>
      <c r="GZ44" s="2"/>
      <c r="HA44" s="2">
        <v>0</v>
      </c>
      <c r="HB44" s="2">
        <v>0</v>
      </c>
      <c r="HC44" s="2">
        <f t="shared" si="45"/>
        <v>0</v>
      </c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31</v>
      </c>
      <c r="E45" t="s">
        <v>77</v>
      </c>
      <c r="F45" t="s">
        <v>78</v>
      </c>
      <c r="G45" t="s">
        <v>79</v>
      </c>
      <c r="H45" t="s">
        <v>80</v>
      </c>
      <c r="I45">
        <f>I39*J45</f>
        <v>0.91</v>
      </c>
      <c r="J45">
        <v>0.91</v>
      </c>
      <c r="O45">
        <f t="shared" si="14"/>
        <v>195.26</v>
      </c>
      <c r="P45">
        <f t="shared" si="15"/>
        <v>195.26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55106052</v>
      </c>
      <c r="AB45">
        <f t="shared" si="25"/>
        <v>154.37</v>
      </c>
      <c r="AC45">
        <f t="shared" si="46"/>
        <v>154.37</v>
      </c>
      <c r="AD45">
        <f t="shared" si="47"/>
        <v>0</v>
      </c>
      <c r="AE45">
        <f t="shared" si="48"/>
        <v>0</v>
      </c>
      <c r="AF45">
        <f t="shared" si="49"/>
        <v>0</v>
      </c>
      <c r="AG45">
        <f t="shared" si="27"/>
        <v>0</v>
      </c>
      <c r="AH45">
        <f t="shared" si="50"/>
        <v>0</v>
      </c>
      <c r="AI45">
        <f t="shared" si="51"/>
        <v>0</v>
      </c>
      <c r="AJ45">
        <f t="shared" si="29"/>
        <v>0</v>
      </c>
      <c r="AK45">
        <v>154.37</v>
      </c>
      <c r="AL45">
        <v>154.37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1</v>
      </c>
      <c r="AW45">
        <v>1</v>
      </c>
      <c r="AZ45">
        <v>1</v>
      </c>
      <c r="BA45">
        <v>1</v>
      </c>
      <c r="BB45">
        <v>1</v>
      </c>
      <c r="BC45">
        <v>1.39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2</v>
      </c>
      <c r="BJ45" t="s">
        <v>81</v>
      </c>
      <c r="BM45">
        <v>1518</v>
      </c>
      <c r="BN45">
        <v>0</v>
      </c>
      <c r="BO45" t="s">
        <v>78</v>
      </c>
      <c r="BP45">
        <v>1</v>
      </c>
      <c r="BQ45">
        <v>40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0</v>
      </c>
      <c r="CA45">
        <v>0</v>
      </c>
      <c r="CE45">
        <v>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0"/>
        <v>195.26</v>
      </c>
      <c r="CQ45">
        <f t="shared" si="31"/>
        <v>214.57429999999999</v>
      </c>
      <c r="CR45">
        <f t="shared" si="32"/>
        <v>0</v>
      </c>
      <c r="CS45">
        <f t="shared" si="33"/>
        <v>0</v>
      </c>
      <c r="CT45">
        <f t="shared" si="34"/>
        <v>0</v>
      </c>
      <c r="CU45">
        <f t="shared" si="35"/>
        <v>0</v>
      </c>
      <c r="CV45">
        <f t="shared" si="36"/>
        <v>0</v>
      </c>
      <c r="CW45">
        <f t="shared" si="37"/>
        <v>0</v>
      </c>
      <c r="CX45">
        <f t="shared" si="38"/>
        <v>0</v>
      </c>
      <c r="CY45">
        <f t="shared" si="39"/>
        <v>0</v>
      </c>
      <c r="CZ45">
        <f t="shared" si="40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114</v>
      </c>
      <c r="DO45">
        <v>67</v>
      </c>
      <c r="DP45">
        <v>1.0469999999999999</v>
      </c>
      <c r="DQ45">
        <v>1</v>
      </c>
      <c r="DU45">
        <v>1010</v>
      </c>
      <c r="DV45" t="s">
        <v>80</v>
      </c>
      <c r="DW45" t="s">
        <v>80</v>
      </c>
      <c r="DX45">
        <v>100</v>
      </c>
      <c r="EE45">
        <v>21988870</v>
      </c>
      <c r="EF45">
        <v>40</v>
      </c>
      <c r="EG45" t="s">
        <v>19</v>
      </c>
      <c r="EH45">
        <v>0</v>
      </c>
      <c r="EI45" t="s">
        <v>3</v>
      </c>
      <c r="EJ45">
        <v>2</v>
      </c>
      <c r="EK45">
        <v>1518</v>
      </c>
      <c r="EL45" t="s">
        <v>66</v>
      </c>
      <c r="EM45" t="s">
        <v>67</v>
      </c>
      <c r="EO45" t="s">
        <v>3</v>
      </c>
      <c r="EQ45">
        <v>0</v>
      </c>
      <c r="ER45">
        <v>154.37</v>
      </c>
      <c r="ES45">
        <v>154.37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1"/>
        <v>0</v>
      </c>
      <c r="FS45">
        <v>0</v>
      </c>
      <c r="FX45">
        <v>114</v>
      </c>
      <c r="FY45">
        <v>67</v>
      </c>
      <c r="GA45" t="s">
        <v>3</v>
      </c>
      <c r="GD45">
        <v>0</v>
      </c>
      <c r="GF45">
        <v>1689615020</v>
      </c>
      <c r="GG45">
        <v>2</v>
      </c>
      <c r="GH45">
        <v>1</v>
      </c>
      <c r="GI45">
        <v>2</v>
      </c>
      <c r="GJ45">
        <v>0</v>
      </c>
      <c r="GK45">
        <f>ROUND(R45*(S12)/100,2)</f>
        <v>0</v>
      </c>
      <c r="GL45">
        <f t="shared" si="42"/>
        <v>0</v>
      </c>
      <c r="GM45">
        <f t="shared" si="52"/>
        <v>195.26</v>
      </c>
      <c r="GN45">
        <f t="shared" si="53"/>
        <v>0</v>
      </c>
      <c r="GO45">
        <f t="shared" si="54"/>
        <v>195.26</v>
      </c>
      <c r="GP45">
        <f t="shared" si="55"/>
        <v>0</v>
      </c>
      <c r="GR45">
        <v>0</v>
      </c>
      <c r="GS45">
        <v>3</v>
      </c>
      <c r="GT45">
        <v>0</v>
      </c>
      <c r="GU45" t="s">
        <v>3</v>
      </c>
      <c r="GV45">
        <f t="shared" si="43"/>
        <v>0</v>
      </c>
      <c r="GW45">
        <v>1</v>
      </c>
      <c r="GX45">
        <f t="shared" si="44"/>
        <v>0</v>
      </c>
      <c r="HA45">
        <v>0</v>
      </c>
      <c r="HB45">
        <v>0</v>
      </c>
      <c r="HC45">
        <f t="shared" si="45"/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ROW(SmtRes!A37)</f>
        <v>37</v>
      </c>
      <c r="D46" s="2">
        <f>ROW(EtalonRes!A40)</f>
        <v>40</v>
      </c>
      <c r="E46" s="2" t="s">
        <v>82</v>
      </c>
      <c r="F46" s="2" t="s">
        <v>83</v>
      </c>
      <c r="G46" s="2" t="s">
        <v>84</v>
      </c>
      <c r="H46" s="2" t="s">
        <v>64</v>
      </c>
      <c r="I46" s="2">
        <v>0.5</v>
      </c>
      <c r="J46" s="2">
        <v>0</v>
      </c>
      <c r="K46" s="2"/>
      <c r="L46" s="2"/>
      <c r="M46" s="2"/>
      <c r="N46" s="2"/>
      <c r="O46" s="2">
        <f t="shared" si="14"/>
        <v>1182.72</v>
      </c>
      <c r="P46" s="2">
        <f t="shared" si="15"/>
        <v>922.3</v>
      </c>
      <c r="Q46" s="2">
        <f t="shared" si="16"/>
        <v>14.74</v>
      </c>
      <c r="R46" s="2">
        <f t="shared" si="17"/>
        <v>1.97</v>
      </c>
      <c r="S46" s="2">
        <f t="shared" si="18"/>
        <v>245.68</v>
      </c>
      <c r="T46" s="2">
        <f t="shared" si="19"/>
        <v>0</v>
      </c>
      <c r="U46" s="2">
        <f t="shared" si="20"/>
        <v>20.335000000000001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55106055</v>
      </c>
      <c r="AB46" s="2">
        <f t="shared" si="25"/>
        <v>2365.41</v>
      </c>
      <c r="AC46" s="2">
        <f t="shared" si="46"/>
        <v>1844.59</v>
      </c>
      <c r="AD46" s="2">
        <f t="shared" si="47"/>
        <v>29.47</v>
      </c>
      <c r="AE46" s="2">
        <f t="shared" si="48"/>
        <v>3.94</v>
      </c>
      <c r="AF46" s="2">
        <f t="shared" si="49"/>
        <v>491.35</v>
      </c>
      <c r="AG46" s="2">
        <f t="shared" si="27"/>
        <v>0</v>
      </c>
      <c r="AH46" s="2">
        <f t="shared" si="50"/>
        <v>40.67</v>
      </c>
      <c r="AI46" s="2">
        <f t="shared" si="51"/>
        <v>0</v>
      </c>
      <c r="AJ46" s="2">
        <f t="shared" si="29"/>
        <v>0</v>
      </c>
      <c r="AK46" s="2">
        <v>2365.41</v>
      </c>
      <c r="AL46" s="2">
        <v>1844.59</v>
      </c>
      <c r="AM46" s="2">
        <v>29.47</v>
      </c>
      <c r="AN46" s="2">
        <v>3.94</v>
      </c>
      <c r="AO46" s="2">
        <v>491.35</v>
      </c>
      <c r="AP46" s="2">
        <v>0</v>
      </c>
      <c r="AQ46" s="2">
        <v>40.67</v>
      </c>
      <c r="AR46" s="2">
        <v>0</v>
      </c>
      <c r="AS46" s="2">
        <v>0</v>
      </c>
      <c r="AT46" s="2">
        <v>0</v>
      </c>
      <c r="AU46" s="2">
        <v>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0</v>
      </c>
      <c r="BI46" s="2">
        <v>2</v>
      </c>
      <c r="BJ46" s="2" t="s">
        <v>85</v>
      </c>
      <c r="BK46" s="2"/>
      <c r="BL46" s="2"/>
      <c r="BM46" s="2">
        <v>335</v>
      </c>
      <c r="BN46" s="2">
        <v>0</v>
      </c>
      <c r="BO46" s="2" t="s">
        <v>3</v>
      </c>
      <c r="BP46" s="2">
        <v>0</v>
      </c>
      <c r="BQ46" s="2">
        <v>40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0</v>
      </c>
      <c r="CA46" s="2">
        <v>0</v>
      </c>
      <c r="CB46" s="2"/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30"/>
        <v>1182.72</v>
      </c>
      <c r="CQ46" s="2">
        <f t="shared" si="31"/>
        <v>1844.59</v>
      </c>
      <c r="CR46" s="2">
        <f t="shared" si="32"/>
        <v>29.47</v>
      </c>
      <c r="CS46" s="2">
        <f t="shared" si="33"/>
        <v>3.94</v>
      </c>
      <c r="CT46" s="2">
        <f t="shared" si="34"/>
        <v>491.35</v>
      </c>
      <c r="CU46" s="2">
        <f t="shared" si="35"/>
        <v>0</v>
      </c>
      <c r="CV46" s="2">
        <f t="shared" si="36"/>
        <v>40.67</v>
      </c>
      <c r="CW46" s="2">
        <f t="shared" si="37"/>
        <v>0</v>
      </c>
      <c r="CX46" s="2">
        <f t="shared" si="38"/>
        <v>0</v>
      </c>
      <c r="CY46" s="2">
        <f t="shared" si="39"/>
        <v>0</v>
      </c>
      <c r="CZ46" s="2">
        <f t="shared" si="40"/>
        <v>0</v>
      </c>
      <c r="DA46" s="2"/>
      <c r="DB46" s="2"/>
      <c r="DC46" s="2" t="s">
        <v>3</v>
      </c>
      <c r="DD46" s="2" t="s">
        <v>3</v>
      </c>
      <c r="DE46" s="2" t="s">
        <v>3</v>
      </c>
      <c r="DF46" s="2" t="s">
        <v>3</v>
      </c>
      <c r="DG46" s="2" t="s">
        <v>3</v>
      </c>
      <c r="DH46" s="2" t="s">
        <v>3</v>
      </c>
      <c r="DI46" s="2" t="s">
        <v>3</v>
      </c>
      <c r="DJ46" s="2" t="s">
        <v>3</v>
      </c>
      <c r="DK46" s="2" t="s">
        <v>3</v>
      </c>
      <c r="DL46" s="2" t="s">
        <v>3</v>
      </c>
      <c r="DM46" s="2" t="s">
        <v>3</v>
      </c>
      <c r="DN46" s="2">
        <v>114</v>
      </c>
      <c r="DO46" s="2">
        <v>67</v>
      </c>
      <c r="DP46" s="2">
        <v>1.0469999999999999</v>
      </c>
      <c r="DQ46" s="2">
        <v>1</v>
      </c>
      <c r="DR46" s="2"/>
      <c r="DS46" s="2"/>
      <c r="DT46" s="2"/>
      <c r="DU46" s="2">
        <v>1003</v>
      </c>
      <c r="DV46" s="2" t="s">
        <v>64</v>
      </c>
      <c r="DW46" s="2" t="s">
        <v>64</v>
      </c>
      <c r="DX46" s="2">
        <v>100</v>
      </c>
      <c r="DY46" s="2"/>
      <c r="DZ46" s="2"/>
      <c r="EA46" s="2"/>
      <c r="EB46" s="2"/>
      <c r="EC46" s="2"/>
      <c r="ED46" s="2"/>
      <c r="EE46" s="2">
        <v>21987687</v>
      </c>
      <c r="EF46" s="2">
        <v>40</v>
      </c>
      <c r="EG46" s="2" t="s">
        <v>19</v>
      </c>
      <c r="EH46" s="2">
        <v>0</v>
      </c>
      <c r="EI46" s="2" t="s">
        <v>3</v>
      </c>
      <c r="EJ46" s="2">
        <v>2</v>
      </c>
      <c r="EK46" s="2">
        <v>335</v>
      </c>
      <c r="EL46" s="2" t="s">
        <v>86</v>
      </c>
      <c r="EM46" s="2" t="s">
        <v>87</v>
      </c>
      <c r="EN46" s="2"/>
      <c r="EO46" s="2" t="s">
        <v>3</v>
      </c>
      <c r="EP46" s="2"/>
      <c r="EQ46" s="2">
        <v>131072</v>
      </c>
      <c r="ER46" s="2">
        <v>2365.41</v>
      </c>
      <c r="ES46" s="2">
        <v>1844.59</v>
      </c>
      <c r="ET46" s="2">
        <v>29.47</v>
      </c>
      <c r="EU46" s="2">
        <v>3.94</v>
      </c>
      <c r="EV46" s="2">
        <v>491.35</v>
      </c>
      <c r="EW46" s="2">
        <v>40.67</v>
      </c>
      <c r="EX46" s="2">
        <v>0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1"/>
        <v>0</v>
      </c>
      <c r="FS46" s="2">
        <v>0</v>
      </c>
      <c r="FT46" s="2"/>
      <c r="FU46" s="2"/>
      <c r="FV46" s="2"/>
      <c r="FW46" s="2"/>
      <c r="FX46" s="2">
        <v>114</v>
      </c>
      <c r="FY46" s="2">
        <v>67</v>
      </c>
      <c r="FZ46" s="2"/>
      <c r="GA46" s="2" t="s">
        <v>3</v>
      </c>
      <c r="GB46" s="2"/>
      <c r="GC46" s="2"/>
      <c r="GD46" s="2">
        <v>1</v>
      </c>
      <c r="GE46" s="2"/>
      <c r="GF46" s="2">
        <v>634789835</v>
      </c>
      <c r="GG46" s="2">
        <v>2</v>
      </c>
      <c r="GH46" s="2">
        <v>1</v>
      </c>
      <c r="GI46" s="2">
        <v>-2</v>
      </c>
      <c r="GJ46" s="2">
        <v>0</v>
      </c>
      <c r="GK46" s="2">
        <v>0</v>
      </c>
      <c r="GL46" s="2">
        <f t="shared" si="42"/>
        <v>0</v>
      </c>
      <c r="GM46" s="2">
        <f>ROUND(O46+X46+Y46,2)+GX46</f>
        <v>1182.72</v>
      </c>
      <c r="GN46" s="2">
        <f>IF(OR(BI46=0,BI46=1),ROUND(O46+X46+Y46,2),0)</f>
        <v>0</v>
      </c>
      <c r="GO46" s="2">
        <f>IF(BI46=2,ROUND(O46+X46+Y46,2),0)</f>
        <v>1182.72</v>
      </c>
      <c r="GP46" s="2">
        <f>IF(BI46=4,ROUND(O46+X46+Y46,2)+GX46,0)</f>
        <v>0</v>
      </c>
      <c r="GQ46" s="2"/>
      <c r="GR46" s="2">
        <v>0</v>
      </c>
      <c r="GS46" s="2">
        <v>3</v>
      </c>
      <c r="GT46" s="2">
        <v>0</v>
      </c>
      <c r="GU46" s="2" t="s">
        <v>3</v>
      </c>
      <c r="GV46" s="2">
        <f t="shared" si="43"/>
        <v>0</v>
      </c>
      <c r="GW46" s="2">
        <v>1</v>
      </c>
      <c r="GX46" s="2">
        <f t="shared" si="44"/>
        <v>0</v>
      </c>
      <c r="GY46" s="2"/>
      <c r="GZ46" s="2"/>
      <c r="HA46" s="2">
        <v>0</v>
      </c>
      <c r="HB46" s="2">
        <v>0</v>
      </c>
      <c r="HC46" s="2">
        <f t="shared" si="45"/>
        <v>0</v>
      </c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ROW(SmtRes!A42)</f>
        <v>42</v>
      </c>
      <c r="D47">
        <f>ROW(EtalonRes!A48)</f>
        <v>48</v>
      </c>
      <c r="E47" t="s">
        <v>82</v>
      </c>
      <c r="F47" t="s">
        <v>83</v>
      </c>
      <c r="G47" t="s">
        <v>84</v>
      </c>
      <c r="H47" t="s">
        <v>64</v>
      </c>
      <c r="I47">
        <v>0.5</v>
      </c>
      <c r="J47">
        <v>0</v>
      </c>
      <c r="O47">
        <f t="shared" si="14"/>
        <v>10427.94</v>
      </c>
      <c r="P47">
        <f t="shared" si="15"/>
        <v>4989.62</v>
      </c>
      <c r="Q47">
        <f t="shared" si="16"/>
        <v>109.63</v>
      </c>
      <c r="R47">
        <f t="shared" si="17"/>
        <v>42.73</v>
      </c>
      <c r="S47">
        <f t="shared" si="18"/>
        <v>5328.69</v>
      </c>
      <c r="T47">
        <f t="shared" si="19"/>
        <v>0</v>
      </c>
      <c r="U47">
        <f t="shared" si="20"/>
        <v>20.335000000000001</v>
      </c>
      <c r="V47">
        <f t="shared" si="21"/>
        <v>0</v>
      </c>
      <c r="W47">
        <f t="shared" si="22"/>
        <v>0</v>
      </c>
      <c r="X47">
        <f t="shared" si="23"/>
        <v>4103.09</v>
      </c>
      <c r="Y47">
        <f t="shared" si="24"/>
        <v>2184.7600000000002</v>
      </c>
      <c r="AA47">
        <v>55106052</v>
      </c>
      <c r="AB47">
        <f t="shared" si="25"/>
        <v>2365.41</v>
      </c>
      <c r="AC47">
        <f t="shared" si="46"/>
        <v>1844.59</v>
      </c>
      <c r="AD47">
        <f t="shared" si="47"/>
        <v>29.47</v>
      </c>
      <c r="AE47">
        <f t="shared" si="48"/>
        <v>3.94</v>
      </c>
      <c r="AF47">
        <f t="shared" si="49"/>
        <v>491.35</v>
      </c>
      <c r="AG47">
        <f t="shared" si="27"/>
        <v>0</v>
      </c>
      <c r="AH47">
        <f t="shared" si="50"/>
        <v>40.67</v>
      </c>
      <c r="AI47">
        <f t="shared" si="51"/>
        <v>0</v>
      </c>
      <c r="AJ47">
        <f t="shared" si="29"/>
        <v>0</v>
      </c>
      <c r="AK47">
        <v>2365.41</v>
      </c>
      <c r="AL47">
        <v>1844.59</v>
      </c>
      <c r="AM47">
        <v>29.47</v>
      </c>
      <c r="AN47">
        <v>3.94</v>
      </c>
      <c r="AO47">
        <v>491.35</v>
      </c>
      <c r="AP47">
        <v>0</v>
      </c>
      <c r="AQ47">
        <v>40.67</v>
      </c>
      <c r="AR47">
        <v>0</v>
      </c>
      <c r="AS47">
        <v>0</v>
      </c>
      <c r="AT47">
        <v>77</v>
      </c>
      <c r="AU47">
        <v>41</v>
      </c>
      <c r="AV47">
        <v>1</v>
      </c>
      <c r="AW47">
        <v>1</v>
      </c>
      <c r="AZ47">
        <v>1</v>
      </c>
      <c r="BA47">
        <v>21.69</v>
      </c>
      <c r="BB47">
        <v>7.44</v>
      </c>
      <c r="BC47">
        <v>5.41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2</v>
      </c>
      <c r="BJ47" t="s">
        <v>85</v>
      </c>
      <c r="BM47">
        <v>335</v>
      </c>
      <c r="BN47">
        <v>0</v>
      </c>
      <c r="BO47" t="s">
        <v>83</v>
      </c>
      <c r="BP47">
        <v>1</v>
      </c>
      <c r="BQ47">
        <v>40</v>
      </c>
      <c r="BR47">
        <v>0</v>
      </c>
      <c r="BS47">
        <v>21.69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77</v>
      </c>
      <c r="CA47">
        <v>41</v>
      </c>
      <c r="CE47">
        <v>0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0"/>
        <v>10427.939999999999</v>
      </c>
      <c r="CQ47">
        <f t="shared" si="31"/>
        <v>9979.2319000000007</v>
      </c>
      <c r="CR47">
        <f t="shared" si="32"/>
        <v>219.2568</v>
      </c>
      <c r="CS47">
        <f t="shared" si="33"/>
        <v>85.458600000000004</v>
      </c>
      <c r="CT47">
        <f t="shared" si="34"/>
        <v>10657.381500000001</v>
      </c>
      <c r="CU47">
        <f t="shared" si="35"/>
        <v>0</v>
      </c>
      <c r="CV47">
        <f t="shared" si="36"/>
        <v>40.67</v>
      </c>
      <c r="CW47">
        <f t="shared" si="37"/>
        <v>0</v>
      </c>
      <c r="CX47">
        <f t="shared" si="38"/>
        <v>0</v>
      </c>
      <c r="CY47">
        <f t="shared" si="39"/>
        <v>4103.0913</v>
      </c>
      <c r="CZ47">
        <f t="shared" si="40"/>
        <v>2184.7628999999997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114</v>
      </c>
      <c r="DO47">
        <v>67</v>
      </c>
      <c r="DP47">
        <v>1.0469999999999999</v>
      </c>
      <c r="DQ47">
        <v>1</v>
      </c>
      <c r="DU47">
        <v>1003</v>
      </c>
      <c r="DV47" t="s">
        <v>64</v>
      </c>
      <c r="DW47" t="s">
        <v>64</v>
      </c>
      <c r="DX47">
        <v>100</v>
      </c>
      <c r="EE47">
        <v>21987687</v>
      </c>
      <c r="EF47">
        <v>40</v>
      </c>
      <c r="EG47" t="s">
        <v>19</v>
      </c>
      <c r="EH47">
        <v>0</v>
      </c>
      <c r="EI47" t="s">
        <v>3</v>
      </c>
      <c r="EJ47">
        <v>2</v>
      </c>
      <c r="EK47">
        <v>335</v>
      </c>
      <c r="EL47" t="s">
        <v>86</v>
      </c>
      <c r="EM47" t="s">
        <v>87</v>
      </c>
      <c r="EO47" t="s">
        <v>3</v>
      </c>
      <c r="EQ47">
        <v>131072</v>
      </c>
      <c r="ER47">
        <v>2365.41</v>
      </c>
      <c r="ES47">
        <v>1844.59</v>
      </c>
      <c r="ET47">
        <v>29.47</v>
      </c>
      <c r="EU47">
        <v>3.94</v>
      </c>
      <c r="EV47">
        <v>491.35</v>
      </c>
      <c r="EW47">
        <v>40.67</v>
      </c>
      <c r="EX47">
        <v>0</v>
      </c>
      <c r="EY47">
        <v>0</v>
      </c>
      <c r="FQ47">
        <v>0</v>
      </c>
      <c r="FR47">
        <f t="shared" si="41"/>
        <v>0</v>
      </c>
      <c r="FS47">
        <v>0</v>
      </c>
      <c r="FX47">
        <v>114</v>
      </c>
      <c r="FY47">
        <v>67</v>
      </c>
      <c r="GA47" t="s">
        <v>3</v>
      </c>
      <c r="GD47">
        <v>0</v>
      </c>
      <c r="GF47">
        <v>634789835</v>
      </c>
      <c r="GG47">
        <v>2</v>
      </c>
      <c r="GH47">
        <v>1</v>
      </c>
      <c r="GI47">
        <v>2</v>
      </c>
      <c r="GJ47">
        <v>0</v>
      </c>
      <c r="GK47">
        <f>ROUND(R47*(S12)/100,2)</f>
        <v>67.09</v>
      </c>
      <c r="GL47">
        <f t="shared" si="42"/>
        <v>0</v>
      </c>
      <c r="GM47">
        <f t="shared" ref="GM47:GM59" si="56">ROUND(O47+X47+Y47+GK47,2)+GX47</f>
        <v>16782.88</v>
      </c>
      <c r="GN47">
        <f t="shared" ref="GN47:GN59" si="57">IF(OR(BI47=0,BI47=1),ROUND(O47+X47+Y47+GK47,2),0)</f>
        <v>0</v>
      </c>
      <c r="GO47">
        <f t="shared" ref="GO47:GO59" si="58">IF(BI47=2,ROUND(O47+X47+Y47+GK47,2),0)</f>
        <v>16782.88</v>
      </c>
      <c r="GP47">
        <f t="shared" ref="GP47:GP59" si="59">IF(BI47=4,ROUND(O47+X47+Y47+GK47,2)+GX47,0)</f>
        <v>0</v>
      </c>
      <c r="GR47">
        <v>0</v>
      </c>
      <c r="GS47">
        <v>3</v>
      </c>
      <c r="GT47">
        <v>0</v>
      </c>
      <c r="GU47" t="s">
        <v>3</v>
      </c>
      <c r="GV47">
        <f t="shared" si="43"/>
        <v>0</v>
      </c>
      <c r="GW47">
        <v>1</v>
      </c>
      <c r="GX47">
        <f t="shared" si="44"/>
        <v>0</v>
      </c>
      <c r="HA47">
        <v>0</v>
      </c>
      <c r="HB47">
        <v>0</v>
      </c>
      <c r="HC47">
        <f t="shared" si="45"/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34</v>
      </c>
      <c r="D48" s="2"/>
      <c r="E48" s="2" t="s">
        <v>88</v>
      </c>
      <c r="F48" s="2" t="s">
        <v>89</v>
      </c>
      <c r="G48" s="2" t="s">
        <v>90</v>
      </c>
      <c r="H48" s="2" t="s">
        <v>71</v>
      </c>
      <c r="I48" s="2">
        <f>I46*J48</f>
        <v>50</v>
      </c>
      <c r="J48" s="2">
        <v>100</v>
      </c>
      <c r="K48" s="2"/>
      <c r="L48" s="2"/>
      <c r="M48" s="2"/>
      <c r="N48" s="2"/>
      <c r="O48" s="2">
        <f t="shared" si="14"/>
        <v>364</v>
      </c>
      <c r="P48" s="2">
        <f t="shared" si="15"/>
        <v>364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55106055</v>
      </c>
      <c r="AB48" s="2">
        <f t="shared" si="25"/>
        <v>7.28</v>
      </c>
      <c r="AC48" s="2">
        <f t="shared" si="46"/>
        <v>7.28</v>
      </c>
      <c r="AD48" s="2">
        <f t="shared" si="47"/>
        <v>0</v>
      </c>
      <c r="AE48" s="2">
        <f t="shared" si="48"/>
        <v>0</v>
      </c>
      <c r="AF48" s="2">
        <f t="shared" si="49"/>
        <v>0</v>
      </c>
      <c r="AG48" s="2">
        <f t="shared" si="27"/>
        <v>0</v>
      </c>
      <c r="AH48" s="2">
        <f t="shared" si="50"/>
        <v>0</v>
      </c>
      <c r="AI48" s="2">
        <f t="shared" si="51"/>
        <v>0</v>
      </c>
      <c r="AJ48" s="2">
        <f t="shared" si="29"/>
        <v>0</v>
      </c>
      <c r="AK48" s="2">
        <v>7.28</v>
      </c>
      <c r="AL48" s="2">
        <v>7.28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3</v>
      </c>
      <c r="BI48" s="2">
        <v>2</v>
      </c>
      <c r="BJ48" s="2" t="s">
        <v>91</v>
      </c>
      <c r="BK48" s="2"/>
      <c r="BL48" s="2"/>
      <c r="BM48" s="2">
        <v>335</v>
      </c>
      <c r="BN48" s="2">
        <v>0</v>
      </c>
      <c r="BO48" s="2" t="s">
        <v>3</v>
      </c>
      <c r="BP48" s="2">
        <v>0</v>
      </c>
      <c r="BQ48" s="2">
        <v>40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0</v>
      </c>
      <c r="CA48" s="2">
        <v>0</v>
      </c>
      <c r="CB48" s="2"/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30"/>
        <v>364</v>
      </c>
      <c r="CQ48" s="2">
        <f t="shared" si="31"/>
        <v>7.28</v>
      </c>
      <c r="CR48" s="2">
        <f t="shared" si="32"/>
        <v>0</v>
      </c>
      <c r="CS48" s="2">
        <f t="shared" si="33"/>
        <v>0</v>
      </c>
      <c r="CT48" s="2">
        <f t="shared" si="34"/>
        <v>0</v>
      </c>
      <c r="CU48" s="2">
        <f t="shared" si="35"/>
        <v>0</v>
      </c>
      <c r="CV48" s="2">
        <f t="shared" si="36"/>
        <v>0</v>
      </c>
      <c r="CW48" s="2">
        <f t="shared" si="37"/>
        <v>0</v>
      </c>
      <c r="CX48" s="2">
        <f t="shared" si="38"/>
        <v>0</v>
      </c>
      <c r="CY48" s="2">
        <f t="shared" si="39"/>
        <v>0</v>
      </c>
      <c r="CZ48" s="2">
        <f t="shared" si="40"/>
        <v>0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114</v>
      </c>
      <c r="DO48" s="2">
        <v>67</v>
      </c>
      <c r="DP48" s="2">
        <v>1.0469999999999999</v>
      </c>
      <c r="DQ48" s="2">
        <v>1</v>
      </c>
      <c r="DR48" s="2"/>
      <c r="DS48" s="2"/>
      <c r="DT48" s="2"/>
      <c r="DU48" s="2">
        <v>1003</v>
      </c>
      <c r="DV48" s="2" t="s">
        <v>71</v>
      </c>
      <c r="DW48" s="2" t="s">
        <v>71</v>
      </c>
      <c r="DX48" s="2">
        <v>1</v>
      </c>
      <c r="DY48" s="2"/>
      <c r="DZ48" s="2"/>
      <c r="EA48" s="2"/>
      <c r="EB48" s="2"/>
      <c r="EC48" s="2"/>
      <c r="ED48" s="2"/>
      <c r="EE48" s="2">
        <v>21987687</v>
      </c>
      <c r="EF48" s="2">
        <v>40</v>
      </c>
      <c r="EG48" s="2" t="s">
        <v>19</v>
      </c>
      <c r="EH48" s="2">
        <v>0</v>
      </c>
      <c r="EI48" s="2" t="s">
        <v>3</v>
      </c>
      <c r="EJ48" s="2">
        <v>2</v>
      </c>
      <c r="EK48" s="2">
        <v>335</v>
      </c>
      <c r="EL48" s="2" t="s">
        <v>86</v>
      </c>
      <c r="EM48" s="2" t="s">
        <v>87</v>
      </c>
      <c r="EN48" s="2"/>
      <c r="EO48" s="2" t="s">
        <v>3</v>
      </c>
      <c r="EP48" s="2"/>
      <c r="EQ48" s="2">
        <v>0</v>
      </c>
      <c r="ER48" s="2">
        <v>7.28</v>
      </c>
      <c r="ES48" s="2">
        <v>7.28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1"/>
        <v>0</v>
      </c>
      <c r="FS48" s="2">
        <v>0</v>
      </c>
      <c r="FT48" s="2"/>
      <c r="FU48" s="2"/>
      <c r="FV48" s="2"/>
      <c r="FW48" s="2"/>
      <c r="FX48" s="2">
        <v>114</v>
      </c>
      <c r="FY48" s="2">
        <v>67</v>
      </c>
      <c r="FZ48" s="2"/>
      <c r="GA48" s="2" t="s">
        <v>3</v>
      </c>
      <c r="GB48" s="2"/>
      <c r="GC48" s="2"/>
      <c r="GD48" s="2">
        <v>0</v>
      </c>
      <c r="GE48" s="2"/>
      <c r="GF48" s="2">
        <v>-1211388013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2"/>
        <v>0</v>
      </c>
      <c r="GM48" s="2">
        <f t="shared" si="56"/>
        <v>364</v>
      </c>
      <c r="GN48" s="2">
        <f t="shared" si="57"/>
        <v>0</v>
      </c>
      <c r="GO48" s="2">
        <f t="shared" si="58"/>
        <v>364</v>
      </c>
      <c r="GP48" s="2">
        <f t="shared" si="59"/>
        <v>0</v>
      </c>
      <c r="GQ48" s="2"/>
      <c r="GR48" s="2">
        <v>0</v>
      </c>
      <c r="GS48" s="2">
        <v>3</v>
      </c>
      <c r="GT48" s="2">
        <v>0</v>
      </c>
      <c r="GU48" s="2" t="s">
        <v>3</v>
      </c>
      <c r="GV48" s="2">
        <f t="shared" si="43"/>
        <v>0</v>
      </c>
      <c r="GW48" s="2">
        <v>1</v>
      </c>
      <c r="GX48" s="2">
        <f t="shared" si="44"/>
        <v>0</v>
      </c>
      <c r="GY48" s="2"/>
      <c r="GZ48" s="2"/>
      <c r="HA48" s="2">
        <v>0</v>
      </c>
      <c r="HB48" s="2">
        <v>0</v>
      </c>
      <c r="HC48" s="2">
        <f t="shared" si="45"/>
        <v>0</v>
      </c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39</v>
      </c>
      <c r="E49" t="s">
        <v>88</v>
      </c>
      <c r="F49" t="s">
        <v>89</v>
      </c>
      <c r="G49" t="s">
        <v>90</v>
      </c>
      <c r="H49" t="s">
        <v>71</v>
      </c>
      <c r="I49">
        <f>I47*J49</f>
        <v>50</v>
      </c>
      <c r="J49">
        <v>100</v>
      </c>
      <c r="O49">
        <f t="shared" si="14"/>
        <v>673.4</v>
      </c>
      <c r="P49">
        <f t="shared" si="15"/>
        <v>673.4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55106052</v>
      </c>
      <c r="AB49">
        <f t="shared" si="25"/>
        <v>7.28</v>
      </c>
      <c r="AC49">
        <f t="shared" si="46"/>
        <v>7.28</v>
      </c>
      <c r="AD49">
        <f t="shared" si="47"/>
        <v>0</v>
      </c>
      <c r="AE49">
        <f t="shared" si="48"/>
        <v>0</v>
      </c>
      <c r="AF49">
        <f t="shared" si="49"/>
        <v>0</v>
      </c>
      <c r="AG49">
        <f t="shared" si="27"/>
        <v>0</v>
      </c>
      <c r="AH49">
        <f t="shared" si="50"/>
        <v>0</v>
      </c>
      <c r="AI49">
        <f t="shared" si="51"/>
        <v>0</v>
      </c>
      <c r="AJ49">
        <f t="shared" si="29"/>
        <v>0</v>
      </c>
      <c r="AK49">
        <v>7.28</v>
      </c>
      <c r="AL49">
        <v>7.28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</v>
      </c>
      <c r="AW49">
        <v>1</v>
      </c>
      <c r="AZ49">
        <v>1</v>
      </c>
      <c r="BA49">
        <v>1</v>
      </c>
      <c r="BB49">
        <v>1</v>
      </c>
      <c r="BC49">
        <v>1.85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91</v>
      </c>
      <c r="BM49">
        <v>335</v>
      </c>
      <c r="BN49">
        <v>0</v>
      </c>
      <c r="BO49" t="s">
        <v>89</v>
      </c>
      <c r="BP49">
        <v>1</v>
      </c>
      <c r="BQ49">
        <v>40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0</v>
      </c>
      <c r="CA49">
        <v>0</v>
      </c>
      <c r="CE49">
        <v>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0"/>
        <v>673.4</v>
      </c>
      <c r="CQ49">
        <f t="shared" si="31"/>
        <v>13.468000000000002</v>
      </c>
      <c r="CR49">
        <f t="shared" si="32"/>
        <v>0</v>
      </c>
      <c r="CS49">
        <f t="shared" si="33"/>
        <v>0</v>
      </c>
      <c r="CT49">
        <f t="shared" si="34"/>
        <v>0</v>
      </c>
      <c r="CU49">
        <f t="shared" si="35"/>
        <v>0</v>
      </c>
      <c r="CV49">
        <f t="shared" si="36"/>
        <v>0</v>
      </c>
      <c r="CW49">
        <f t="shared" si="37"/>
        <v>0</v>
      </c>
      <c r="CX49">
        <f t="shared" si="38"/>
        <v>0</v>
      </c>
      <c r="CY49">
        <f t="shared" si="39"/>
        <v>0</v>
      </c>
      <c r="CZ49">
        <f t="shared" si="40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114</v>
      </c>
      <c r="DO49">
        <v>67</v>
      </c>
      <c r="DP49">
        <v>1.0469999999999999</v>
      </c>
      <c r="DQ49">
        <v>1</v>
      </c>
      <c r="DU49">
        <v>1003</v>
      </c>
      <c r="DV49" t="s">
        <v>71</v>
      </c>
      <c r="DW49" t="s">
        <v>71</v>
      </c>
      <c r="DX49">
        <v>1</v>
      </c>
      <c r="EE49">
        <v>21987687</v>
      </c>
      <c r="EF49">
        <v>40</v>
      </c>
      <c r="EG49" t="s">
        <v>19</v>
      </c>
      <c r="EH49">
        <v>0</v>
      </c>
      <c r="EI49" t="s">
        <v>3</v>
      </c>
      <c r="EJ49">
        <v>2</v>
      </c>
      <c r="EK49">
        <v>335</v>
      </c>
      <c r="EL49" t="s">
        <v>86</v>
      </c>
      <c r="EM49" t="s">
        <v>87</v>
      </c>
      <c r="EO49" t="s">
        <v>3</v>
      </c>
      <c r="EQ49">
        <v>0</v>
      </c>
      <c r="ER49">
        <v>7.28</v>
      </c>
      <c r="ES49">
        <v>7.28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1"/>
        <v>0</v>
      </c>
      <c r="FS49">
        <v>0</v>
      </c>
      <c r="FX49">
        <v>114</v>
      </c>
      <c r="FY49">
        <v>67</v>
      </c>
      <c r="GA49" t="s">
        <v>3</v>
      </c>
      <c r="GD49">
        <v>0</v>
      </c>
      <c r="GF49">
        <v>-1211388013</v>
      </c>
      <c r="GG49">
        <v>2</v>
      </c>
      <c r="GH49">
        <v>1</v>
      </c>
      <c r="GI49">
        <v>2</v>
      </c>
      <c r="GJ49">
        <v>0</v>
      </c>
      <c r="GK49">
        <f>ROUND(R49*(S12)/100,2)</f>
        <v>0</v>
      </c>
      <c r="GL49">
        <f t="shared" si="42"/>
        <v>0</v>
      </c>
      <c r="GM49">
        <f t="shared" si="56"/>
        <v>673.4</v>
      </c>
      <c r="GN49">
        <f t="shared" si="57"/>
        <v>0</v>
      </c>
      <c r="GO49">
        <f t="shared" si="58"/>
        <v>673.4</v>
      </c>
      <c r="GP49">
        <f t="shared" si="59"/>
        <v>0</v>
      </c>
      <c r="GR49">
        <v>0</v>
      </c>
      <c r="GS49">
        <v>3</v>
      </c>
      <c r="GT49">
        <v>0</v>
      </c>
      <c r="GU49" t="s">
        <v>3</v>
      </c>
      <c r="GV49">
        <f t="shared" si="43"/>
        <v>0</v>
      </c>
      <c r="GW49">
        <v>1</v>
      </c>
      <c r="GX49">
        <f t="shared" si="44"/>
        <v>0</v>
      </c>
      <c r="HA49">
        <v>0</v>
      </c>
      <c r="HB49">
        <v>0</v>
      </c>
      <c r="HC49">
        <f t="shared" si="45"/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36</v>
      </c>
      <c r="D50" s="2"/>
      <c r="E50" s="2" t="s">
        <v>92</v>
      </c>
      <c r="F50" s="2" t="s">
        <v>93</v>
      </c>
      <c r="G50" s="2" t="s">
        <v>94</v>
      </c>
      <c r="H50" s="2" t="s">
        <v>95</v>
      </c>
      <c r="I50" s="2">
        <f>I46*J50</f>
        <v>0.01</v>
      </c>
      <c r="J50" s="2">
        <v>0.02</v>
      </c>
      <c r="K50" s="2"/>
      <c r="L50" s="2"/>
      <c r="M50" s="2"/>
      <c r="N50" s="2"/>
      <c r="O50" s="2">
        <f t="shared" si="14"/>
        <v>111.4</v>
      </c>
      <c r="P50" s="2">
        <f t="shared" si="15"/>
        <v>111.4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55106055</v>
      </c>
      <c r="AB50" s="2">
        <f t="shared" si="25"/>
        <v>11139.68</v>
      </c>
      <c r="AC50" s="2">
        <f t="shared" si="46"/>
        <v>11139.68</v>
      </c>
      <c r="AD50" s="2">
        <f t="shared" si="47"/>
        <v>0</v>
      </c>
      <c r="AE50" s="2">
        <f t="shared" si="48"/>
        <v>0</v>
      </c>
      <c r="AF50" s="2">
        <f t="shared" si="49"/>
        <v>0</v>
      </c>
      <c r="AG50" s="2">
        <f t="shared" si="27"/>
        <v>0</v>
      </c>
      <c r="AH50" s="2">
        <f t="shared" si="50"/>
        <v>0</v>
      </c>
      <c r="AI50" s="2">
        <f t="shared" si="51"/>
        <v>0</v>
      </c>
      <c r="AJ50" s="2">
        <f t="shared" si="29"/>
        <v>0</v>
      </c>
      <c r="AK50" s="2">
        <v>11139.68</v>
      </c>
      <c r="AL50" s="2">
        <v>11139.68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3</v>
      </c>
      <c r="BI50" s="2">
        <v>2</v>
      </c>
      <c r="BJ50" s="2" t="s">
        <v>96</v>
      </c>
      <c r="BK50" s="2"/>
      <c r="BL50" s="2"/>
      <c r="BM50" s="2">
        <v>335</v>
      </c>
      <c r="BN50" s="2">
        <v>0</v>
      </c>
      <c r="BO50" s="2" t="s">
        <v>3</v>
      </c>
      <c r="BP50" s="2">
        <v>0</v>
      </c>
      <c r="BQ50" s="2">
        <v>40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0</v>
      </c>
      <c r="CA50" s="2">
        <v>0</v>
      </c>
      <c r="CB50" s="2"/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3</v>
      </c>
      <c r="CO50" s="2">
        <v>0</v>
      </c>
      <c r="CP50" s="2">
        <f t="shared" si="30"/>
        <v>111.4</v>
      </c>
      <c r="CQ50" s="2">
        <f t="shared" si="31"/>
        <v>11139.68</v>
      </c>
      <c r="CR50" s="2">
        <f t="shared" si="32"/>
        <v>0</v>
      </c>
      <c r="CS50" s="2">
        <f t="shared" si="33"/>
        <v>0</v>
      </c>
      <c r="CT50" s="2">
        <f t="shared" si="34"/>
        <v>0</v>
      </c>
      <c r="CU50" s="2">
        <f t="shared" si="35"/>
        <v>0</v>
      </c>
      <c r="CV50" s="2">
        <f t="shared" si="36"/>
        <v>0</v>
      </c>
      <c r="CW50" s="2">
        <f t="shared" si="37"/>
        <v>0</v>
      </c>
      <c r="CX50" s="2">
        <f t="shared" si="38"/>
        <v>0</v>
      </c>
      <c r="CY50" s="2">
        <f t="shared" si="39"/>
        <v>0</v>
      </c>
      <c r="CZ50" s="2">
        <f t="shared" si="40"/>
        <v>0</v>
      </c>
      <c r="DA50" s="2"/>
      <c r="DB50" s="2"/>
      <c r="DC50" s="2" t="s">
        <v>3</v>
      </c>
      <c r="DD50" s="2" t="s">
        <v>3</v>
      </c>
      <c r="DE50" s="2" t="s">
        <v>3</v>
      </c>
      <c r="DF50" s="2" t="s">
        <v>3</v>
      </c>
      <c r="DG50" s="2" t="s">
        <v>3</v>
      </c>
      <c r="DH50" s="2" t="s">
        <v>3</v>
      </c>
      <c r="DI50" s="2" t="s">
        <v>3</v>
      </c>
      <c r="DJ50" s="2" t="s">
        <v>3</v>
      </c>
      <c r="DK50" s="2" t="s">
        <v>3</v>
      </c>
      <c r="DL50" s="2" t="s">
        <v>3</v>
      </c>
      <c r="DM50" s="2" t="s">
        <v>3</v>
      </c>
      <c r="DN50" s="2">
        <v>114</v>
      </c>
      <c r="DO50" s="2">
        <v>67</v>
      </c>
      <c r="DP50" s="2">
        <v>1.0469999999999999</v>
      </c>
      <c r="DQ50" s="2">
        <v>1</v>
      </c>
      <c r="DR50" s="2"/>
      <c r="DS50" s="2"/>
      <c r="DT50" s="2"/>
      <c r="DU50" s="2">
        <v>1010</v>
      </c>
      <c r="DV50" s="2" t="s">
        <v>95</v>
      </c>
      <c r="DW50" s="2" t="s">
        <v>95</v>
      </c>
      <c r="DX50" s="2">
        <v>1000</v>
      </c>
      <c r="DY50" s="2"/>
      <c r="DZ50" s="2"/>
      <c r="EA50" s="2"/>
      <c r="EB50" s="2"/>
      <c r="EC50" s="2"/>
      <c r="ED50" s="2"/>
      <c r="EE50" s="2">
        <v>21987687</v>
      </c>
      <c r="EF50" s="2">
        <v>40</v>
      </c>
      <c r="EG50" s="2" t="s">
        <v>19</v>
      </c>
      <c r="EH50" s="2">
        <v>0</v>
      </c>
      <c r="EI50" s="2" t="s">
        <v>3</v>
      </c>
      <c r="EJ50" s="2">
        <v>2</v>
      </c>
      <c r="EK50" s="2">
        <v>335</v>
      </c>
      <c r="EL50" s="2" t="s">
        <v>86</v>
      </c>
      <c r="EM50" s="2" t="s">
        <v>87</v>
      </c>
      <c r="EN50" s="2"/>
      <c r="EO50" s="2" t="s">
        <v>3</v>
      </c>
      <c r="EP50" s="2"/>
      <c r="EQ50" s="2">
        <v>0</v>
      </c>
      <c r="ER50" s="2">
        <v>11139.68</v>
      </c>
      <c r="ES50" s="2">
        <v>11139.68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1"/>
        <v>0</v>
      </c>
      <c r="FS50" s="2">
        <v>0</v>
      </c>
      <c r="FT50" s="2"/>
      <c r="FU50" s="2"/>
      <c r="FV50" s="2"/>
      <c r="FW50" s="2"/>
      <c r="FX50" s="2">
        <v>114</v>
      </c>
      <c r="FY50" s="2">
        <v>67</v>
      </c>
      <c r="FZ50" s="2"/>
      <c r="GA50" s="2" t="s">
        <v>3</v>
      </c>
      <c r="GB50" s="2"/>
      <c r="GC50" s="2"/>
      <c r="GD50" s="2">
        <v>0</v>
      </c>
      <c r="GE50" s="2"/>
      <c r="GF50" s="2">
        <v>2143346931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2"/>
        <v>0</v>
      </c>
      <c r="GM50" s="2">
        <f t="shared" si="56"/>
        <v>111.4</v>
      </c>
      <c r="GN50" s="2">
        <f t="shared" si="57"/>
        <v>0</v>
      </c>
      <c r="GO50" s="2">
        <f t="shared" si="58"/>
        <v>111.4</v>
      </c>
      <c r="GP50" s="2">
        <f t="shared" si="59"/>
        <v>0</v>
      </c>
      <c r="GQ50" s="2"/>
      <c r="GR50" s="2">
        <v>0</v>
      </c>
      <c r="GS50" s="2">
        <v>3</v>
      </c>
      <c r="GT50" s="2">
        <v>0</v>
      </c>
      <c r="GU50" s="2" t="s">
        <v>3</v>
      </c>
      <c r="GV50" s="2">
        <f t="shared" si="43"/>
        <v>0</v>
      </c>
      <c r="GW50" s="2">
        <v>1</v>
      </c>
      <c r="GX50" s="2">
        <f t="shared" si="44"/>
        <v>0</v>
      </c>
      <c r="GY50" s="2"/>
      <c r="GZ50" s="2"/>
      <c r="HA50" s="2">
        <v>0</v>
      </c>
      <c r="HB50" s="2">
        <v>0</v>
      </c>
      <c r="HC50" s="2">
        <f t="shared" si="45"/>
        <v>0</v>
      </c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41</v>
      </c>
      <c r="E51" t="s">
        <v>92</v>
      </c>
      <c r="F51" t="s">
        <v>93</v>
      </c>
      <c r="G51" t="s">
        <v>94</v>
      </c>
      <c r="H51" t="s">
        <v>95</v>
      </c>
      <c r="I51">
        <f>I47*J51</f>
        <v>0.01</v>
      </c>
      <c r="J51">
        <v>0.02</v>
      </c>
      <c r="O51">
        <f t="shared" si="14"/>
        <v>126.99</v>
      </c>
      <c r="P51">
        <f t="shared" si="15"/>
        <v>126.99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55106052</v>
      </c>
      <c r="AB51">
        <f t="shared" si="25"/>
        <v>11139.68</v>
      </c>
      <c r="AC51">
        <f t="shared" si="46"/>
        <v>11139.68</v>
      </c>
      <c r="AD51">
        <f t="shared" si="47"/>
        <v>0</v>
      </c>
      <c r="AE51">
        <f t="shared" si="48"/>
        <v>0</v>
      </c>
      <c r="AF51">
        <f t="shared" si="49"/>
        <v>0</v>
      </c>
      <c r="AG51">
        <f t="shared" si="27"/>
        <v>0</v>
      </c>
      <c r="AH51">
        <f t="shared" si="50"/>
        <v>0</v>
      </c>
      <c r="AI51">
        <f t="shared" si="51"/>
        <v>0</v>
      </c>
      <c r="AJ51">
        <f t="shared" si="29"/>
        <v>0</v>
      </c>
      <c r="AK51">
        <v>11139.68</v>
      </c>
      <c r="AL51">
        <v>11139.68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1</v>
      </c>
      <c r="AW51">
        <v>1</v>
      </c>
      <c r="AZ51">
        <v>1</v>
      </c>
      <c r="BA51">
        <v>1</v>
      </c>
      <c r="BB51">
        <v>1</v>
      </c>
      <c r="BC51">
        <v>1.1399999999999999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2</v>
      </c>
      <c r="BJ51" t="s">
        <v>96</v>
      </c>
      <c r="BM51">
        <v>335</v>
      </c>
      <c r="BN51">
        <v>0</v>
      </c>
      <c r="BO51" t="s">
        <v>93</v>
      </c>
      <c r="BP51">
        <v>1</v>
      </c>
      <c r="BQ51">
        <v>40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0</v>
      </c>
      <c r="CA51">
        <v>0</v>
      </c>
      <c r="CE51">
        <v>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0"/>
        <v>126.99</v>
      </c>
      <c r="CQ51">
        <f t="shared" si="31"/>
        <v>12699.235199999999</v>
      </c>
      <c r="CR51">
        <f t="shared" si="32"/>
        <v>0</v>
      </c>
      <c r="CS51">
        <f t="shared" si="33"/>
        <v>0</v>
      </c>
      <c r="CT51">
        <f t="shared" si="34"/>
        <v>0</v>
      </c>
      <c r="CU51">
        <f t="shared" si="35"/>
        <v>0</v>
      </c>
      <c r="CV51">
        <f t="shared" si="36"/>
        <v>0</v>
      </c>
      <c r="CW51">
        <f t="shared" si="37"/>
        <v>0</v>
      </c>
      <c r="CX51">
        <f t="shared" si="38"/>
        <v>0</v>
      </c>
      <c r="CY51">
        <f t="shared" si="39"/>
        <v>0</v>
      </c>
      <c r="CZ51">
        <f t="shared" si="40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114</v>
      </c>
      <c r="DO51">
        <v>67</v>
      </c>
      <c r="DP51">
        <v>1.0469999999999999</v>
      </c>
      <c r="DQ51">
        <v>1</v>
      </c>
      <c r="DU51">
        <v>1010</v>
      </c>
      <c r="DV51" t="s">
        <v>95</v>
      </c>
      <c r="DW51" t="s">
        <v>95</v>
      </c>
      <c r="DX51">
        <v>1000</v>
      </c>
      <c r="EE51">
        <v>21987687</v>
      </c>
      <c r="EF51">
        <v>40</v>
      </c>
      <c r="EG51" t="s">
        <v>19</v>
      </c>
      <c r="EH51">
        <v>0</v>
      </c>
      <c r="EI51" t="s">
        <v>3</v>
      </c>
      <c r="EJ51">
        <v>2</v>
      </c>
      <c r="EK51">
        <v>335</v>
      </c>
      <c r="EL51" t="s">
        <v>86</v>
      </c>
      <c r="EM51" t="s">
        <v>87</v>
      </c>
      <c r="EO51" t="s">
        <v>3</v>
      </c>
      <c r="EQ51">
        <v>0</v>
      </c>
      <c r="ER51">
        <v>11139.68</v>
      </c>
      <c r="ES51">
        <v>11139.68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1"/>
        <v>0</v>
      </c>
      <c r="FS51">
        <v>0</v>
      </c>
      <c r="FX51">
        <v>114</v>
      </c>
      <c r="FY51">
        <v>67</v>
      </c>
      <c r="GA51" t="s">
        <v>3</v>
      </c>
      <c r="GD51">
        <v>0</v>
      </c>
      <c r="GF51">
        <v>2143346931</v>
      </c>
      <c r="GG51">
        <v>2</v>
      </c>
      <c r="GH51">
        <v>1</v>
      </c>
      <c r="GI51">
        <v>2</v>
      </c>
      <c r="GJ51">
        <v>0</v>
      </c>
      <c r="GK51">
        <f>ROUND(R51*(S12)/100,2)</f>
        <v>0</v>
      </c>
      <c r="GL51">
        <f t="shared" si="42"/>
        <v>0</v>
      </c>
      <c r="GM51">
        <f t="shared" si="56"/>
        <v>126.99</v>
      </c>
      <c r="GN51">
        <f t="shared" si="57"/>
        <v>0</v>
      </c>
      <c r="GO51">
        <f t="shared" si="58"/>
        <v>126.99</v>
      </c>
      <c r="GP51">
        <f t="shared" si="59"/>
        <v>0</v>
      </c>
      <c r="GR51">
        <v>0</v>
      </c>
      <c r="GS51">
        <v>3</v>
      </c>
      <c r="GT51">
        <v>0</v>
      </c>
      <c r="GU51" t="s">
        <v>3</v>
      </c>
      <c r="GV51">
        <f t="shared" si="43"/>
        <v>0</v>
      </c>
      <c r="GW51">
        <v>1</v>
      </c>
      <c r="GX51">
        <f t="shared" si="44"/>
        <v>0</v>
      </c>
      <c r="HA51">
        <v>0</v>
      </c>
      <c r="HB51">
        <v>0</v>
      </c>
      <c r="HC51">
        <f t="shared" si="45"/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37</v>
      </c>
      <c r="D52" s="2"/>
      <c r="E52" s="2" t="s">
        <v>97</v>
      </c>
      <c r="F52" s="2" t="s">
        <v>98</v>
      </c>
      <c r="G52" s="2" t="s">
        <v>99</v>
      </c>
      <c r="H52" s="2" t="s">
        <v>95</v>
      </c>
      <c r="I52" s="2">
        <f>I46*J52</f>
        <v>3.0000000000000001E-3</v>
      </c>
      <c r="J52" s="2">
        <v>6.0000000000000001E-3</v>
      </c>
      <c r="K52" s="2"/>
      <c r="L52" s="2"/>
      <c r="M52" s="2"/>
      <c r="N52" s="2"/>
      <c r="O52" s="2">
        <f t="shared" si="14"/>
        <v>16.34</v>
      </c>
      <c r="P52" s="2">
        <f t="shared" si="15"/>
        <v>16.34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55106055</v>
      </c>
      <c r="AB52" s="2">
        <f t="shared" si="25"/>
        <v>5447.7</v>
      </c>
      <c r="AC52" s="2">
        <f t="shared" si="46"/>
        <v>5447.7</v>
      </c>
      <c r="AD52" s="2">
        <f t="shared" si="47"/>
        <v>0</v>
      </c>
      <c r="AE52" s="2">
        <f t="shared" si="48"/>
        <v>0</v>
      </c>
      <c r="AF52" s="2">
        <f t="shared" si="49"/>
        <v>0</v>
      </c>
      <c r="AG52" s="2">
        <f t="shared" si="27"/>
        <v>0</v>
      </c>
      <c r="AH52" s="2">
        <f t="shared" si="50"/>
        <v>0</v>
      </c>
      <c r="AI52" s="2">
        <f t="shared" si="51"/>
        <v>0</v>
      </c>
      <c r="AJ52" s="2">
        <f t="shared" si="29"/>
        <v>0</v>
      </c>
      <c r="AK52" s="2">
        <v>5447.7</v>
      </c>
      <c r="AL52" s="2">
        <v>5447.7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3</v>
      </c>
      <c r="BI52" s="2">
        <v>2</v>
      </c>
      <c r="BJ52" s="2" t="s">
        <v>100</v>
      </c>
      <c r="BK52" s="2"/>
      <c r="BL52" s="2"/>
      <c r="BM52" s="2">
        <v>335</v>
      </c>
      <c r="BN52" s="2">
        <v>0</v>
      </c>
      <c r="BO52" s="2" t="s">
        <v>3</v>
      </c>
      <c r="BP52" s="2">
        <v>0</v>
      </c>
      <c r="BQ52" s="2">
        <v>40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0</v>
      </c>
      <c r="CA52" s="2">
        <v>0</v>
      </c>
      <c r="CB52" s="2"/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</v>
      </c>
      <c r="CO52" s="2">
        <v>0</v>
      </c>
      <c r="CP52" s="2">
        <f t="shared" si="30"/>
        <v>16.34</v>
      </c>
      <c r="CQ52" s="2">
        <f t="shared" si="31"/>
        <v>5447.7</v>
      </c>
      <c r="CR52" s="2">
        <f t="shared" si="32"/>
        <v>0</v>
      </c>
      <c r="CS52" s="2">
        <f t="shared" si="33"/>
        <v>0</v>
      </c>
      <c r="CT52" s="2">
        <f t="shared" si="34"/>
        <v>0</v>
      </c>
      <c r="CU52" s="2">
        <f t="shared" si="35"/>
        <v>0</v>
      </c>
      <c r="CV52" s="2">
        <f t="shared" si="36"/>
        <v>0</v>
      </c>
      <c r="CW52" s="2">
        <f t="shared" si="37"/>
        <v>0</v>
      </c>
      <c r="CX52" s="2">
        <f t="shared" si="38"/>
        <v>0</v>
      </c>
      <c r="CY52" s="2">
        <f t="shared" si="39"/>
        <v>0</v>
      </c>
      <c r="CZ52" s="2">
        <f t="shared" si="40"/>
        <v>0</v>
      </c>
      <c r="DA52" s="2"/>
      <c r="DB52" s="2"/>
      <c r="DC52" s="2" t="s">
        <v>3</v>
      </c>
      <c r="DD52" s="2" t="s">
        <v>3</v>
      </c>
      <c r="DE52" s="2" t="s">
        <v>3</v>
      </c>
      <c r="DF52" s="2" t="s">
        <v>3</v>
      </c>
      <c r="DG52" s="2" t="s">
        <v>3</v>
      </c>
      <c r="DH52" s="2" t="s">
        <v>3</v>
      </c>
      <c r="DI52" s="2" t="s">
        <v>3</v>
      </c>
      <c r="DJ52" s="2" t="s">
        <v>3</v>
      </c>
      <c r="DK52" s="2" t="s">
        <v>3</v>
      </c>
      <c r="DL52" s="2" t="s">
        <v>3</v>
      </c>
      <c r="DM52" s="2" t="s">
        <v>3</v>
      </c>
      <c r="DN52" s="2">
        <v>114</v>
      </c>
      <c r="DO52" s="2">
        <v>67</v>
      </c>
      <c r="DP52" s="2">
        <v>1.0469999999999999</v>
      </c>
      <c r="DQ52" s="2">
        <v>1</v>
      </c>
      <c r="DR52" s="2"/>
      <c r="DS52" s="2"/>
      <c r="DT52" s="2"/>
      <c r="DU52" s="2">
        <v>1010</v>
      </c>
      <c r="DV52" s="2" t="s">
        <v>95</v>
      </c>
      <c r="DW52" s="2" t="s">
        <v>95</v>
      </c>
      <c r="DX52" s="2">
        <v>1000</v>
      </c>
      <c r="DY52" s="2"/>
      <c r="DZ52" s="2"/>
      <c r="EA52" s="2"/>
      <c r="EB52" s="2"/>
      <c r="EC52" s="2"/>
      <c r="ED52" s="2"/>
      <c r="EE52" s="2">
        <v>21987687</v>
      </c>
      <c r="EF52" s="2">
        <v>40</v>
      </c>
      <c r="EG52" s="2" t="s">
        <v>19</v>
      </c>
      <c r="EH52" s="2">
        <v>0</v>
      </c>
      <c r="EI52" s="2" t="s">
        <v>3</v>
      </c>
      <c r="EJ52" s="2">
        <v>2</v>
      </c>
      <c r="EK52" s="2">
        <v>335</v>
      </c>
      <c r="EL52" s="2" t="s">
        <v>86</v>
      </c>
      <c r="EM52" s="2" t="s">
        <v>87</v>
      </c>
      <c r="EN52" s="2"/>
      <c r="EO52" s="2" t="s">
        <v>3</v>
      </c>
      <c r="EP52" s="2"/>
      <c r="EQ52" s="2">
        <v>0</v>
      </c>
      <c r="ER52" s="2">
        <v>5447.7</v>
      </c>
      <c r="ES52" s="2">
        <v>5447.7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1"/>
        <v>0</v>
      </c>
      <c r="FS52" s="2">
        <v>0</v>
      </c>
      <c r="FT52" s="2"/>
      <c r="FU52" s="2"/>
      <c r="FV52" s="2"/>
      <c r="FW52" s="2"/>
      <c r="FX52" s="2">
        <v>114</v>
      </c>
      <c r="FY52" s="2">
        <v>67</v>
      </c>
      <c r="FZ52" s="2"/>
      <c r="GA52" s="2" t="s">
        <v>3</v>
      </c>
      <c r="GB52" s="2"/>
      <c r="GC52" s="2"/>
      <c r="GD52" s="2">
        <v>0</v>
      </c>
      <c r="GE52" s="2"/>
      <c r="GF52" s="2">
        <v>1934155101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2"/>
        <v>0</v>
      </c>
      <c r="GM52" s="2">
        <f t="shared" si="56"/>
        <v>16.34</v>
      </c>
      <c r="GN52" s="2">
        <f t="shared" si="57"/>
        <v>0</v>
      </c>
      <c r="GO52" s="2">
        <f t="shared" si="58"/>
        <v>16.34</v>
      </c>
      <c r="GP52" s="2">
        <f t="shared" si="59"/>
        <v>0</v>
      </c>
      <c r="GQ52" s="2"/>
      <c r="GR52" s="2">
        <v>0</v>
      </c>
      <c r="GS52" s="2">
        <v>3</v>
      </c>
      <c r="GT52" s="2">
        <v>0</v>
      </c>
      <c r="GU52" s="2" t="s">
        <v>3</v>
      </c>
      <c r="GV52" s="2">
        <f t="shared" si="43"/>
        <v>0</v>
      </c>
      <c r="GW52" s="2">
        <v>1</v>
      </c>
      <c r="GX52" s="2">
        <f t="shared" si="44"/>
        <v>0</v>
      </c>
      <c r="GY52" s="2"/>
      <c r="GZ52" s="2"/>
      <c r="HA52" s="2">
        <v>0</v>
      </c>
      <c r="HB52" s="2">
        <v>0</v>
      </c>
      <c r="HC52" s="2">
        <f t="shared" si="45"/>
        <v>0</v>
      </c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42</v>
      </c>
      <c r="E53" t="s">
        <v>97</v>
      </c>
      <c r="F53" t="s">
        <v>98</v>
      </c>
      <c r="G53" t="s">
        <v>99</v>
      </c>
      <c r="H53" t="s">
        <v>95</v>
      </c>
      <c r="I53">
        <f>I47*J53</f>
        <v>3.0000000000000001E-3</v>
      </c>
      <c r="J53">
        <v>6.0000000000000001E-3</v>
      </c>
      <c r="O53">
        <f t="shared" si="14"/>
        <v>29.42</v>
      </c>
      <c r="P53">
        <f t="shared" si="15"/>
        <v>29.42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55106052</v>
      </c>
      <c r="AB53">
        <f t="shared" si="25"/>
        <v>5447.7</v>
      </c>
      <c r="AC53">
        <f t="shared" si="46"/>
        <v>5447.7</v>
      </c>
      <c r="AD53">
        <f t="shared" si="47"/>
        <v>0</v>
      </c>
      <c r="AE53">
        <f t="shared" si="48"/>
        <v>0</v>
      </c>
      <c r="AF53">
        <f t="shared" si="49"/>
        <v>0</v>
      </c>
      <c r="AG53">
        <f t="shared" si="27"/>
        <v>0</v>
      </c>
      <c r="AH53">
        <f t="shared" si="50"/>
        <v>0</v>
      </c>
      <c r="AI53">
        <f t="shared" si="51"/>
        <v>0</v>
      </c>
      <c r="AJ53">
        <f t="shared" si="29"/>
        <v>0</v>
      </c>
      <c r="AK53">
        <v>5447.7</v>
      </c>
      <c r="AL53">
        <v>5447.7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1</v>
      </c>
      <c r="AW53">
        <v>1</v>
      </c>
      <c r="AZ53">
        <v>1</v>
      </c>
      <c r="BA53">
        <v>1</v>
      </c>
      <c r="BB53">
        <v>1</v>
      </c>
      <c r="BC53">
        <v>1.8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2</v>
      </c>
      <c r="BJ53" t="s">
        <v>100</v>
      </c>
      <c r="BM53">
        <v>335</v>
      </c>
      <c r="BN53">
        <v>0</v>
      </c>
      <c r="BO53" t="s">
        <v>98</v>
      </c>
      <c r="BP53">
        <v>1</v>
      </c>
      <c r="BQ53">
        <v>40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0</v>
      </c>
      <c r="CA53">
        <v>0</v>
      </c>
      <c r="CE53">
        <v>0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0"/>
        <v>29.42</v>
      </c>
      <c r="CQ53">
        <f t="shared" si="31"/>
        <v>9805.86</v>
      </c>
      <c r="CR53">
        <f t="shared" si="32"/>
        <v>0</v>
      </c>
      <c r="CS53">
        <f t="shared" si="33"/>
        <v>0</v>
      </c>
      <c r="CT53">
        <f t="shared" si="34"/>
        <v>0</v>
      </c>
      <c r="CU53">
        <f t="shared" si="35"/>
        <v>0</v>
      </c>
      <c r="CV53">
        <f t="shared" si="36"/>
        <v>0</v>
      </c>
      <c r="CW53">
        <f t="shared" si="37"/>
        <v>0</v>
      </c>
      <c r="CX53">
        <f t="shared" si="38"/>
        <v>0</v>
      </c>
      <c r="CY53">
        <f t="shared" si="39"/>
        <v>0</v>
      </c>
      <c r="CZ53">
        <f t="shared" si="40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114</v>
      </c>
      <c r="DO53">
        <v>67</v>
      </c>
      <c r="DP53">
        <v>1.0469999999999999</v>
      </c>
      <c r="DQ53">
        <v>1</v>
      </c>
      <c r="DU53">
        <v>1010</v>
      </c>
      <c r="DV53" t="s">
        <v>95</v>
      </c>
      <c r="DW53" t="s">
        <v>95</v>
      </c>
      <c r="DX53">
        <v>1000</v>
      </c>
      <c r="EE53">
        <v>21987687</v>
      </c>
      <c r="EF53">
        <v>40</v>
      </c>
      <c r="EG53" t="s">
        <v>19</v>
      </c>
      <c r="EH53">
        <v>0</v>
      </c>
      <c r="EI53" t="s">
        <v>3</v>
      </c>
      <c r="EJ53">
        <v>2</v>
      </c>
      <c r="EK53">
        <v>335</v>
      </c>
      <c r="EL53" t="s">
        <v>86</v>
      </c>
      <c r="EM53" t="s">
        <v>87</v>
      </c>
      <c r="EO53" t="s">
        <v>3</v>
      </c>
      <c r="EQ53">
        <v>0</v>
      </c>
      <c r="ER53">
        <v>5447.7</v>
      </c>
      <c r="ES53">
        <v>5447.7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1"/>
        <v>0</v>
      </c>
      <c r="FS53">
        <v>0</v>
      </c>
      <c r="FX53">
        <v>114</v>
      </c>
      <c r="FY53">
        <v>67</v>
      </c>
      <c r="GA53" t="s">
        <v>3</v>
      </c>
      <c r="GD53">
        <v>0</v>
      </c>
      <c r="GF53">
        <v>1934155101</v>
      </c>
      <c r="GG53">
        <v>2</v>
      </c>
      <c r="GH53">
        <v>1</v>
      </c>
      <c r="GI53">
        <v>2</v>
      </c>
      <c r="GJ53">
        <v>0</v>
      </c>
      <c r="GK53">
        <f>ROUND(R53*(S12)/100,2)</f>
        <v>0</v>
      </c>
      <c r="GL53">
        <f t="shared" si="42"/>
        <v>0</v>
      </c>
      <c r="GM53">
        <f t="shared" si="56"/>
        <v>29.42</v>
      </c>
      <c r="GN53">
        <f t="shared" si="57"/>
        <v>0</v>
      </c>
      <c r="GO53">
        <f t="shared" si="58"/>
        <v>29.42</v>
      </c>
      <c r="GP53">
        <f t="shared" si="59"/>
        <v>0</v>
      </c>
      <c r="GR53">
        <v>0</v>
      </c>
      <c r="GS53">
        <v>3</v>
      </c>
      <c r="GT53">
        <v>0</v>
      </c>
      <c r="GU53" t="s">
        <v>3</v>
      </c>
      <c r="GV53">
        <f t="shared" si="43"/>
        <v>0</v>
      </c>
      <c r="GW53">
        <v>1</v>
      </c>
      <c r="GX53">
        <f t="shared" si="44"/>
        <v>0</v>
      </c>
      <c r="HA53">
        <v>0</v>
      </c>
      <c r="HB53">
        <v>0</v>
      </c>
      <c r="HC53">
        <f t="shared" si="45"/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35</v>
      </c>
      <c r="D54" s="2"/>
      <c r="E54" s="2" t="s">
        <v>101</v>
      </c>
      <c r="F54" s="2" t="s">
        <v>102</v>
      </c>
      <c r="G54" s="2" t="s">
        <v>103</v>
      </c>
      <c r="H54" s="2" t="s">
        <v>95</v>
      </c>
      <c r="I54" s="2">
        <f>I46*J54</f>
        <v>7.0000000000000001E-3</v>
      </c>
      <c r="J54" s="2">
        <v>1.4E-2</v>
      </c>
      <c r="K54" s="2"/>
      <c r="L54" s="2"/>
      <c r="M54" s="2"/>
      <c r="N54" s="2"/>
      <c r="O54" s="2">
        <f t="shared" si="14"/>
        <v>62.13</v>
      </c>
      <c r="P54" s="2">
        <f t="shared" si="15"/>
        <v>62.13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55106055</v>
      </c>
      <c r="AB54" s="2">
        <f t="shared" si="25"/>
        <v>8875.18</v>
      </c>
      <c r="AC54" s="2">
        <f t="shared" si="46"/>
        <v>8875.18</v>
      </c>
      <c r="AD54" s="2">
        <f t="shared" si="47"/>
        <v>0</v>
      </c>
      <c r="AE54" s="2">
        <f t="shared" si="48"/>
        <v>0</v>
      </c>
      <c r="AF54" s="2">
        <f t="shared" si="49"/>
        <v>0</v>
      </c>
      <c r="AG54" s="2">
        <f t="shared" si="27"/>
        <v>0</v>
      </c>
      <c r="AH54" s="2">
        <f t="shared" si="50"/>
        <v>0</v>
      </c>
      <c r="AI54" s="2">
        <f t="shared" si="51"/>
        <v>0</v>
      </c>
      <c r="AJ54" s="2">
        <f t="shared" si="29"/>
        <v>0</v>
      </c>
      <c r="AK54" s="2">
        <v>8875.18</v>
      </c>
      <c r="AL54" s="2">
        <v>8875.18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3</v>
      </c>
      <c r="BI54" s="2">
        <v>2</v>
      </c>
      <c r="BJ54" s="2" t="s">
        <v>104</v>
      </c>
      <c r="BK54" s="2"/>
      <c r="BL54" s="2"/>
      <c r="BM54" s="2">
        <v>335</v>
      </c>
      <c r="BN54" s="2">
        <v>0</v>
      </c>
      <c r="BO54" s="2" t="s">
        <v>3</v>
      </c>
      <c r="BP54" s="2">
        <v>0</v>
      </c>
      <c r="BQ54" s="2">
        <v>40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0</v>
      </c>
      <c r="CA54" s="2">
        <v>0</v>
      </c>
      <c r="CB54" s="2"/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</v>
      </c>
      <c r="CO54" s="2">
        <v>0</v>
      </c>
      <c r="CP54" s="2">
        <f t="shared" si="30"/>
        <v>62.13</v>
      </c>
      <c r="CQ54" s="2">
        <f t="shared" si="31"/>
        <v>8875.18</v>
      </c>
      <c r="CR54" s="2">
        <f t="shared" si="32"/>
        <v>0</v>
      </c>
      <c r="CS54" s="2">
        <f t="shared" si="33"/>
        <v>0</v>
      </c>
      <c r="CT54" s="2">
        <f t="shared" si="34"/>
        <v>0</v>
      </c>
      <c r="CU54" s="2">
        <f t="shared" si="35"/>
        <v>0</v>
      </c>
      <c r="CV54" s="2">
        <f t="shared" si="36"/>
        <v>0</v>
      </c>
      <c r="CW54" s="2">
        <f t="shared" si="37"/>
        <v>0</v>
      </c>
      <c r="CX54" s="2">
        <f t="shared" si="38"/>
        <v>0</v>
      </c>
      <c r="CY54" s="2">
        <f t="shared" si="39"/>
        <v>0</v>
      </c>
      <c r="CZ54" s="2">
        <f t="shared" si="40"/>
        <v>0</v>
      </c>
      <c r="DA54" s="2"/>
      <c r="DB54" s="2"/>
      <c r="DC54" s="2" t="s">
        <v>3</v>
      </c>
      <c r="DD54" s="2" t="s">
        <v>3</v>
      </c>
      <c r="DE54" s="2" t="s">
        <v>3</v>
      </c>
      <c r="DF54" s="2" t="s">
        <v>3</v>
      </c>
      <c r="DG54" s="2" t="s">
        <v>3</v>
      </c>
      <c r="DH54" s="2" t="s">
        <v>3</v>
      </c>
      <c r="DI54" s="2" t="s">
        <v>3</v>
      </c>
      <c r="DJ54" s="2" t="s">
        <v>3</v>
      </c>
      <c r="DK54" s="2" t="s">
        <v>3</v>
      </c>
      <c r="DL54" s="2" t="s">
        <v>3</v>
      </c>
      <c r="DM54" s="2" t="s">
        <v>3</v>
      </c>
      <c r="DN54" s="2">
        <v>114</v>
      </c>
      <c r="DO54" s="2">
        <v>67</v>
      </c>
      <c r="DP54" s="2">
        <v>1.0469999999999999</v>
      </c>
      <c r="DQ54" s="2">
        <v>1</v>
      </c>
      <c r="DR54" s="2"/>
      <c r="DS54" s="2"/>
      <c r="DT54" s="2"/>
      <c r="DU54" s="2">
        <v>1010</v>
      </c>
      <c r="DV54" s="2" t="s">
        <v>95</v>
      </c>
      <c r="DW54" s="2" t="s">
        <v>95</v>
      </c>
      <c r="DX54" s="2">
        <v>1000</v>
      </c>
      <c r="DY54" s="2"/>
      <c r="DZ54" s="2"/>
      <c r="EA54" s="2"/>
      <c r="EB54" s="2"/>
      <c r="EC54" s="2"/>
      <c r="ED54" s="2"/>
      <c r="EE54" s="2">
        <v>21987687</v>
      </c>
      <c r="EF54" s="2">
        <v>40</v>
      </c>
      <c r="EG54" s="2" t="s">
        <v>19</v>
      </c>
      <c r="EH54" s="2">
        <v>0</v>
      </c>
      <c r="EI54" s="2" t="s">
        <v>3</v>
      </c>
      <c r="EJ54" s="2">
        <v>2</v>
      </c>
      <c r="EK54" s="2">
        <v>335</v>
      </c>
      <c r="EL54" s="2" t="s">
        <v>86</v>
      </c>
      <c r="EM54" s="2" t="s">
        <v>87</v>
      </c>
      <c r="EN54" s="2"/>
      <c r="EO54" s="2" t="s">
        <v>3</v>
      </c>
      <c r="EP54" s="2"/>
      <c r="EQ54" s="2">
        <v>0</v>
      </c>
      <c r="ER54" s="2">
        <v>8875.18</v>
      </c>
      <c r="ES54" s="2">
        <v>8875.18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1"/>
        <v>0</v>
      </c>
      <c r="FS54" s="2">
        <v>0</v>
      </c>
      <c r="FT54" s="2"/>
      <c r="FU54" s="2"/>
      <c r="FV54" s="2"/>
      <c r="FW54" s="2"/>
      <c r="FX54" s="2">
        <v>114</v>
      </c>
      <c r="FY54" s="2">
        <v>67</v>
      </c>
      <c r="FZ54" s="2"/>
      <c r="GA54" s="2" t="s">
        <v>3</v>
      </c>
      <c r="GB54" s="2"/>
      <c r="GC54" s="2"/>
      <c r="GD54" s="2">
        <v>0</v>
      </c>
      <c r="GE54" s="2"/>
      <c r="GF54" s="2">
        <v>2124294238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2"/>
        <v>0</v>
      </c>
      <c r="GM54" s="2">
        <f t="shared" si="56"/>
        <v>62.13</v>
      </c>
      <c r="GN54" s="2">
        <f t="shared" si="57"/>
        <v>0</v>
      </c>
      <c r="GO54" s="2">
        <f t="shared" si="58"/>
        <v>62.13</v>
      </c>
      <c r="GP54" s="2">
        <f t="shared" si="59"/>
        <v>0</v>
      </c>
      <c r="GQ54" s="2"/>
      <c r="GR54" s="2">
        <v>0</v>
      </c>
      <c r="GS54" s="2">
        <v>3</v>
      </c>
      <c r="GT54" s="2">
        <v>0</v>
      </c>
      <c r="GU54" s="2" t="s">
        <v>3</v>
      </c>
      <c r="GV54" s="2">
        <f t="shared" si="43"/>
        <v>0</v>
      </c>
      <c r="GW54" s="2">
        <v>1</v>
      </c>
      <c r="GX54" s="2">
        <f t="shared" si="44"/>
        <v>0</v>
      </c>
      <c r="GY54" s="2"/>
      <c r="GZ54" s="2"/>
      <c r="HA54" s="2">
        <v>0</v>
      </c>
      <c r="HB54" s="2">
        <v>0</v>
      </c>
      <c r="HC54" s="2">
        <f t="shared" si="45"/>
        <v>0</v>
      </c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40</v>
      </c>
      <c r="E55" t="s">
        <v>101</v>
      </c>
      <c r="F55" t="s">
        <v>102</v>
      </c>
      <c r="G55" t="s">
        <v>103</v>
      </c>
      <c r="H55" t="s">
        <v>95</v>
      </c>
      <c r="I55">
        <f>I47*J55</f>
        <v>7.0000000000000001E-3</v>
      </c>
      <c r="J55">
        <v>1.4E-2</v>
      </c>
      <c r="O55">
        <f t="shared" si="14"/>
        <v>89.46</v>
      </c>
      <c r="P55">
        <f t="shared" si="15"/>
        <v>89.46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55106052</v>
      </c>
      <c r="AB55">
        <f t="shared" si="25"/>
        <v>8875.18</v>
      </c>
      <c r="AC55">
        <f t="shared" si="46"/>
        <v>8875.18</v>
      </c>
      <c r="AD55">
        <f t="shared" si="47"/>
        <v>0</v>
      </c>
      <c r="AE55">
        <f t="shared" si="48"/>
        <v>0</v>
      </c>
      <c r="AF55">
        <f t="shared" si="49"/>
        <v>0</v>
      </c>
      <c r="AG55">
        <f t="shared" si="27"/>
        <v>0</v>
      </c>
      <c r="AH55">
        <f t="shared" si="50"/>
        <v>0</v>
      </c>
      <c r="AI55">
        <f t="shared" si="51"/>
        <v>0</v>
      </c>
      <c r="AJ55">
        <f t="shared" si="29"/>
        <v>0</v>
      </c>
      <c r="AK55">
        <v>8875.18</v>
      </c>
      <c r="AL55">
        <v>8875.18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1</v>
      </c>
      <c r="AW55">
        <v>1</v>
      </c>
      <c r="AZ55">
        <v>1</v>
      </c>
      <c r="BA55">
        <v>1</v>
      </c>
      <c r="BB55">
        <v>1</v>
      </c>
      <c r="BC55">
        <v>1.44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2</v>
      </c>
      <c r="BJ55" t="s">
        <v>104</v>
      </c>
      <c r="BM55">
        <v>335</v>
      </c>
      <c r="BN55">
        <v>0</v>
      </c>
      <c r="BO55" t="s">
        <v>102</v>
      </c>
      <c r="BP55">
        <v>1</v>
      </c>
      <c r="BQ55">
        <v>40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0</v>
      </c>
      <c r="CA55">
        <v>0</v>
      </c>
      <c r="CE55">
        <v>0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0"/>
        <v>89.46</v>
      </c>
      <c r="CQ55">
        <f t="shared" si="31"/>
        <v>12780.2592</v>
      </c>
      <c r="CR55">
        <f t="shared" si="32"/>
        <v>0</v>
      </c>
      <c r="CS55">
        <f t="shared" si="33"/>
        <v>0</v>
      </c>
      <c r="CT55">
        <f t="shared" si="34"/>
        <v>0</v>
      </c>
      <c r="CU55">
        <f t="shared" si="35"/>
        <v>0</v>
      </c>
      <c r="CV55">
        <f t="shared" si="36"/>
        <v>0</v>
      </c>
      <c r="CW55">
        <f t="shared" si="37"/>
        <v>0</v>
      </c>
      <c r="CX55">
        <f t="shared" si="38"/>
        <v>0</v>
      </c>
      <c r="CY55">
        <f t="shared" si="39"/>
        <v>0</v>
      </c>
      <c r="CZ55">
        <f t="shared" si="40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114</v>
      </c>
      <c r="DO55">
        <v>67</v>
      </c>
      <c r="DP55">
        <v>1.0469999999999999</v>
      </c>
      <c r="DQ55">
        <v>1</v>
      </c>
      <c r="DU55">
        <v>1010</v>
      </c>
      <c r="DV55" t="s">
        <v>95</v>
      </c>
      <c r="DW55" t="s">
        <v>95</v>
      </c>
      <c r="DX55">
        <v>1000</v>
      </c>
      <c r="EE55">
        <v>21987687</v>
      </c>
      <c r="EF55">
        <v>40</v>
      </c>
      <c r="EG55" t="s">
        <v>19</v>
      </c>
      <c r="EH55">
        <v>0</v>
      </c>
      <c r="EI55" t="s">
        <v>3</v>
      </c>
      <c r="EJ55">
        <v>2</v>
      </c>
      <c r="EK55">
        <v>335</v>
      </c>
      <c r="EL55" t="s">
        <v>86</v>
      </c>
      <c r="EM55" t="s">
        <v>87</v>
      </c>
      <c r="EO55" t="s">
        <v>3</v>
      </c>
      <c r="EQ55">
        <v>0</v>
      </c>
      <c r="ER55">
        <v>8875.18</v>
      </c>
      <c r="ES55">
        <v>8875.18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1"/>
        <v>0</v>
      </c>
      <c r="FS55">
        <v>0</v>
      </c>
      <c r="FX55">
        <v>114</v>
      </c>
      <c r="FY55">
        <v>67</v>
      </c>
      <c r="GA55" t="s">
        <v>3</v>
      </c>
      <c r="GD55">
        <v>0</v>
      </c>
      <c r="GF55">
        <v>2124294238</v>
      </c>
      <c r="GG55">
        <v>2</v>
      </c>
      <c r="GH55">
        <v>1</v>
      </c>
      <c r="GI55">
        <v>2</v>
      </c>
      <c r="GJ55">
        <v>0</v>
      </c>
      <c r="GK55">
        <f>ROUND(R55*(S12)/100,2)</f>
        <v>0</v>
      </c>
      <c r="GL55">
        <f t="shared" si="42"/>
        <v>0</v>
      </c>
      <c r="GM55">
        <f t="shared" si="56"/>
        <v>89.46</v>
      </c>
      <c r="GN55">
        <f t="shared" si="57"/>
        <v>0</v>
      </c>
      <c r="GO55">
        <f t="shared" si="58"/>
        <v>89.46</v>
      </c>
      <c r="GP55">
        <f t="shared" si="59"/>
        <v>0</v>
      </c>
      <c r="GR55">
        <v>0</v>
      </c>
      <c r="GS55">
        <v>3</v>
      </c>
      <c r="GT55">
        <v>0</v>
      </c>
      <c r="GU55" t="s">
        <v>3</v>
      </c>
      <c r="GV55">
        <f t="shared" si="43"/>
        <v>0</v>
      </c>
      <c r="GW55">
        <v>1</v>
      </c>
      <c r="GX55">
        <f t="shared" si="44"/>
        <v>0</v>
      </c>
      <c r="HA55">
        <v>0</v>
      </c>
      <c r="HB55">
        <v>0</v>
      </c>
      <c r="HC55">
        <f t="shared" si="45"/>
        <v>0</v>
      </c>
      <c r="IK55">
        <v>0</v>
      </c>
    </row>
    <row r="56" spans="1:255" x14ac:dyDescent="0.2">
      <c r="A56" s="2">
        <v>17</v>
      </c>
      <c r="B56" s="2">
        <v>1</v>
      </c>
      <c r="C56" s="2"/>
      <c r="D56" s="2"/>
      <c r="E56" s="2" t="s">
        <v>105</v>
      </c>
      <c r="F56" s="2" t="s">
        <v>106</v>
      </c>
      <c r="G56" s="2" t="s">
        <v>107</v>
      </c>
      <c r="H56" s="2" t="s">
        <v>71</v>
      </c>
      <c r="I56" s="2">
        <f>ROUND(50*0,9)</f>
        <v>0</v>
      </c>
      <c r="J56" s="2">
        <v>0</v>
      </c>
      <c r="K56" s="2"/>
      <c r="L56" s="2"/>
      <c r="M56" s="2"/>
      <c r="N56" s="2"/>
      <c r="O56" s="2">
        <f t="shared" ref="O56:O79" si="60">ROUND(CP56,2)</f>
        <v>0</v>
      </c>
      <c r="P56" s="2">
        <f t="shared" ref="P56:P79" si="61">ROUND(CQ56*I56,2)</f>
        <v>0</v>
      </c>
      <c r="Q56" s="2">
        <f t="shared" ref="Q56:Q79" si="62">ROUND(CR56*I56,2)</f>
        <v>0</v>
      </c>
      <c r="R56" s="2">
        <f t="shared" ref="R56:R79" si="63">ROUND(CS56*I56,2)</f>
        <v>0</v>
      </c>
      <c r="S56" s="2">
        <f t="shared" ref="S56:S79" si="64">ROUND(CT56*I56,2)</f>
        <v>0</v>
      </c>
      <c r="T56" s="2">
        <f t="shared" ref="T56:T79" si="65">ROUND(CU56*I56,2)</f>
        <v>0</v>
      </c>
      <c r="U56" s="2">
        <f t="shared" ref="U56:U79" si="66">CV56*I56</f>
        <v>0</v>
      </c>
      <c r="V56" s="2">
        <f t="shared" ref="V56:V79" si="67">CW56*I56</f>
        <v>0</v>
      </c>
      <c r="W56" s="2">
        <f t="shared" ref="W56:W79" si="68">ROUND(CX56*I56,2)</f>
        <v>0</v>
      </c>
      <c r="X56" s="2">
        <f t="shared" ref="X56:X79" si="69">ROUND(CY56,2)</f>
        <v>0</v>
      </c>
      <c r="Y56" s="2">
        <f t="shared" ref="Y56:Y79" si="70">ROUND(CZ56,2)</f>
        <v>0</v>
      </c>
      <c r="Z56" s="2"/>
      <c r="AA56" s="2">
        <v>55106055</v>
      </c>
      <c r="AB56" s="2">
        <f t="shared" ref="AB56:AB79" si="71">ROUND((AC56+AD56+AF56),6)</f>
        <v>50.14</v>
      </c>
      <c r="AC56" s="2">
        <f t="shared" si="46"/>
        <v>50.14</v>
      </c>
      <c r="AD56" s="2">
        <f t="shared" si="47"/>
        <v>0</v>
      </c>
      <c r="AE56" s="2">
        <f t="shared" si="48"/>
        <v>0</v>
      </c>
      <c r="AF56" s="2">
        <f t="shared" si="49"/>
        <v>0</v>
      </c>
      <c r="AG56" s="2">
        <f t="shared" ref="AG56:AG79" si="72">ROUND((AP56),6)</f>
        <v>0</v>
      </c>
      <c r="AH56" s="2">
        <f t="shared" si="50"/>
        <v>0</v>
      </c>
      <c r="AI56" s="2">
        <f t="shared" si="51"/>
        <v>0</v>
      </c>
      <c r="AJ56" s="2">
        <f t="shared" ref="AJ56:AJ79" si="73">(AS56)</f>
        <v>0</v>
      </c>
      <c r="AK56" s="2">
        <v>50.14</v>
      </c>
      <c r="AL56" s="2">
        <v>50.14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3</v>
      </c>
      <c r="BI56" s="2">
        <v>2</v>
      </c>
      <c r="BJ56" s="2" t="s">
        <v>108</v>
      </c>
      <c r="BK56" s="2"/>
      <c r="BL56" s="2"/>
      <c r="BM56" s="2">
        <v>1618</v>
      </c>
      <c r="BN56" s="2">
        <v>0</v>
      </c>
      <c r="BO56" s="2" t="s">
        <v>3</v>
      </c>
      <c r="BP56" s="2">
        <v>0</v>
      </c>
      <c r="BQ56" s="2">
        <v>201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0</v>
      </c>
      <c r="CA56" s="2">
        <v>0</v>
      </c>
      <c r="CB56" s="2"/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ref="CP56:CP79" si="74">(P56+Q56+S56)</f>
        <v>0</v>
      </c>
      <c r="CQ56" s="2">
        <f t="shared" ref="CQ56:CQ77" si="75">(AC56*BC56*AW56)</f>
        <v>50.14</v>
      </c>
      <c r="CR56" s="2">
        <f t="shared" ref="CR56:CR77" si="76">(AD56*BB56*AV56)</f>
        <v>0</v>
      </c>
      <c r="CS56" s="2">
        <f t="shared" ref="CS56:CS77" si="77">(AE56*BS56*AV56)</f>
        <v>0</v>
      </c>
      <c r="CT56" s="2">
        <f t="shared" ref="CT56:CT77" si="78">(AF56*BA56*AV56)</f>
        <v>0</v>
      </c>
      <c r="CU56" s="2">
        <f t="shared" ref="CU56:CU79" si="79">AG56</f>
        <v>0</v>
      </c>
      <c r="CV56" s="2">
        <f t="shared" ref="CV56:CV77" si="80">(AH56*AV56)</f>
        <v>0</v>
      </c>
      <c r="CW56" s="2">
        <f t="shared" ref="CW56:CW79" si="81">AI56</f>
        <v>0</v>
      </c>
      <c r="CX56" s="2">
        <f t="shared" ref="CX56:CX79" si="82">AJ56</f>
        <v>0</v>
      </c>
      <c r="CY56" s="2">
        <f t="shared" ref="CY56:CY79" si="83">S56*(BZ56/100)</f>
        <v>0</v>
      </c>
      <c r="CZ56" s="2">
        <f t="shared" ref="CZ56:CZ79" si="84">S56*(CA56/100)</f>
        <v>0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1003</v>
      </c>
      <c r="DV56" s="2" t="s">
        <v>71</v>
      </c>
      <c r="DW56" s="2" t="s">
        <v>71</v>
      </c>
      <c r="DX56" s="2">
        <v>1</v>
      </c>
      <c r="DY56" s="2"/>
      <c r="DZ56" s="2"/>
      <c r="EA56" s="2"/>
      <c r="EB56" s="2"/>
      <c r="EC56" s="2"/>
      <c r="ED56" s="2"/>
      <c r="EE56" s="2">
        <v>21988970</v>
      </c>
      <c r="EF56" s="2">
        <v>201</v>
      </c>
      <c r="EG56" s="2" t="s">
        <v>109</v>
      </c>
      <c r="EH56" s="2">
        <v>0</v>
      </c>
      <c r="EI56" s="2" t="s">
        <v>3</v>
      </c>
      <c r="EJ56" s="2">
        <v>2</v>
      </c>
      <c r="EK56" s="2">
        <v>1618</v>
      </c>
      <c r="EL56" s="2" t="s">
        <v>110</v>
      </c>
      <c r="EM56" s="2" t="s">
        <v>111</v>
      </c>
      <c r="EN56" s="2"/>
      <c r="EO56" s="2" t="s">
        <v>3</v>
      </c>
      <c r="EP56" s="2"/>
      <c r="EQ56" s="2">
        <v>131072</v>
      </c>
      <c r="ER56" s="2">
        <v>50.14</v>
      </c>
      <c r="ES56" s="2">
        <v>50.14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79" si="85">ROUND(IF(AND(BH56=3,BI56=3),P56,0),2)</f>
        <v>0</v>
      </c>
      <c r="FS56" s="2">
        <v>0</v>
      </c>
      <c r="FT56" s="2"/>
      <c r="FU56" s="2"/>
      <c r="FV56" s="2"/>
      <c r="FW56" s="2"/>
      <c r="FX56" s="2">
        <v>0</v>
      </c>
      <c r="FY56" s="2">
        <v>0</v>
      </c>
      <c r="FZ56" s="2"/>
      <c r="GA56" s="2" t="s">
        <v>3</v>
      </c>
      <c r="GB56" s="2"/>
      <c r="GC56" s="2"/>
      <c r="GD56" s="2">
        <v>0</v>
      </c>
      <c r="GE56" s="2"/>
      <c r="GF56" s="2">
        <v>-253407897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79" si="86">ROUND(IF(AND(BH56=3,BI56=3,FS56&lt;&gt;0),P56,0),2)</f>
        <v>0</v>
      </c>
      <c r="GM56" s="2">
        <f t="shared" si="56"/>
        <v>0</v>
      </c>
      <c r="GN56" s="2">
        <f t="shared" si="57"/>
        <v>0</v>
      </c>
      <c r="GO56" s="2">
        <f t="shared" si="58"/>
        <v>0</v>
      </c>
      <c r="GP56" s="2">
        <f t="shared" si="59"/>
        <v>0</v>
      </c>
      <c r="GQ56" s="2"/>
      <c r="GR56" s="2">
        <v>0</v>
      </c>
      <c r="GS56" s="2">
        <v>0</v>
      </c>
      <c r="GT56" s="2">
        <v>0</v>
      </c>
      <c r="GU56" s="2" t="s">
        <v>3</v>
      </c>
      <c r="GV56" s="2">
        <f t="shared" ref="GV56:GV79" si="87">ROUND((GT56),6)</f>
        <v>0</v>
      </c>
      <c r="GW56" s="2">
        <v>1</v>
      </c>
      <c r="GX56" s="2">
        <f t="shared" ref="GX56:GX79" si="88">ROUND(HC56*I56,2)</f>
        <v>0</v>
      </c>
      <c r="GY56" s="2"/>
      <c r="GZ56" s="2"/>
      <c r="HA56" s="2">
        <v>0</v>
      </c>
      <c r="HB56" s="2">
        <v>0</v>
      </c>
      <c r="HC56" s="2">
        <f t="shared" ref="HC56:HC79" si="89">GV56*GW56</f>
        <v>0</v>
      </c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E57" t="s">
        <v>105</v>
      </c>
      <c r="F57" t="s">
        <v>106</v>
      </c>
      <c r="G57" t="s">
        <v>107</v>
      </c>
      <c r="H57" t="s">
        <v>71</v>
      </c>
      <c r="I57">
        <f>ROUND(50*0,9)</f>
        <v>0</v>
      </c>
      <c r="J57">
        <v>0</v>
      </c>
      <c r="O57">
        <f t="shared" si="60"/>
        <v>0</v>
      </c>
      <c r="P57">
        <f t="shared" si="61"/>
        <v>0</v>
      </c>
      <c r="Q57">
        <f t="shared" si="62"/>
        <v>0</v>
      </c>
      <c r="R57">
        <f t="shared" si="63"/>
        <v>0</v>
      </c>
      <c r="S57">
        <f t="shared" si="64"/>
        <v>0</v>
      </c>
      <c r="T57">
        <f t="shared" si="65"/>
        <v>0</v>
      </c>
      <c r="U57">
        <f t="shared" si="66"/>
        <v>0</v>
      </c>
      <c r="V57">
        <f t="shared" si="67"/>
        <v>0</v>
      </c>
      <c r="W57">
        <f t="shared" si="68"/>
        <v>0</v>
      </c>
      <c r="X57">
        <f t="shared" si="69"/>
        <v>0</v>
      </c>
      <c r="Y57">
        <f t="shared" si="70"/>
        <v>0</v>
      </c>
      <c r="AA57">
        <v>55106052</v>
      </c>
      <c r="AB57">
        <f t="shared" si="71"/>
        <v>50.14</v>
      </c>
      <c r="AC57">
        <f t="shared" si="46"/>
        <v>50.14</v>
      </c>
      <c r="AD57">
        <f t="shared" si="47"/>
        <v>0</v>
      </c>
      <c r="AE57">
        <f t="shared" si="48"/>
        <v>0</v>
      </c>
      <c r="AF57">
        <f t="shared" si="49"/>
        <v>0</v>
      </c>
      <c r="AG57">
        <f t="shared" si="72"/>
        <v>0</v>
      </c>
      <c r="AH57">
        <f t="shared" si="50"/>
        <v>0</v>
      </c>
      <c r="AI57">
        <f t="shared" si="51"/>
        <v>0</v>
      </c>
      <c r="AJ57">
        <f t="shared" si="73"/>
        <v>0</v>
      </c>
      <c r="AK57">
        <v>50.14</v>
      </c>
      <c r="AL57">
        <v>50.14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1</v>
      </c>
      <c r="AW57">
        <v>1</v>
      </c>
      <c r="AZ57">
        <v>1</v>
      </c>
      <c r="BA57">
        <v>1</v>
      </c>
      <c r="BB57">
        <v>1</v>
      </c>
      <c r="BC57">
        <v>1.72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2</v>
      </c>
      <c r="BJ57" t="s">
        <v>108</v>
      </c>
      <c r="BM57">
        <v>1618</v>
      </c>
      <c r="BN57">
        <v>0</v>
      </c>
      <c r="BO57" t="s">
        <v>106</v>
      </c>
      <c r="BP57">
        <v>1</v>
      </c>
      <c r="BQ57">
        <v>201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0</v>
      </c>
      <c r="CA57">
        <v>0</v>
      </c>
      <c r="CE57">
        <v>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74"/>
        <v>0</v>
      </c>
      <c r="CQ57">
        <f t="shared" si="75"/>
        <v>86.240799999999993</v>
      </c>
      <c r="CR57">
        <f t="shared" si="76"/>
        <v>0</v>
      </c>
      <c r="CS57">
        <f t="shared" si="77"/>
        <v>0</v>
      </c>
      <c r="CT57">
        <f t="shared" si="78"/>
        <v>0</v>
      </c>
      <c r="CU57">
        <f t="shared" si="79"/>
        <v>0</v>
      </c>
      <c r="CV57">
        <f t="shared" si="80"/>
        <v>0</v>
      </c>
      <c r="CW57">
        <f t="shared" si="81"/>
        <v>0</v>
      </c>
      <c r="CX57">
        <f t="shared" si="82"/>
        <v>0</v>
      </c>
      <c r="CY57">
        <f t="shared" si="83"/>
        <v>0</v>
      </c>
      <c r="CZ57">
        <f t="shared" si="84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71</v>
      </c>
      <c r="DW57" t="s">
        <v>71</v>
      </c>
      <c r="DX57">
        <v>1</v>
      </c>
      <c r="EE57">
        <v>21988970</v>
      </c>
      <c r="EF57">
        <v>201</v>
      </c>
      <c r="EG57" t="s">
        <v>109</v>
      </c>
      <c r="EH57">
        <v>0</v>
      </c>
      <c r="EI57" t="s">
        <v>3</v>
      </c>
      <c r="EJ57">
        <v>2</v>
      </c>
      <c r="EK57">
        <v>1618</v>
      </c>
      <c r="EL57" t="s">
        <v>110</v>
      </c>
      <c r="EM57" t="s">
        <v>111</v>
      </c>
      <c r="EO57" t="s">
        <v>3</v>
      </c>
      <c r="EQ57">
        <v>131072</v>
      </c>
      <c r="ER57">
        <v>50.14</v>
      </c>
      <c r="ES57">
        <v>50.14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FQ57">
        <v>0</v>
      </c>
      <c r="FR57">
        <f t="shared" si="85"/>
        <v>0</v>
      </c>
      <c r="FS57">
        <v>0</v>
      </c>
      <c r="FX57">
        <v>0</v>
      </c>
      <c r="FY57">
        <v>0</v>
      </c>
      <c r="GA57" t="s">
        <v>3</v>
      </c>
      <c r="GD57">
        <v>0</v>
      </c>
      <c r="GF57">
        <v>-253407897</v>
      </c>
      <c r="GG57">
        <v>2</v>
      </c>
      <c r="GH57">
        <v>1</v>
      </c>
      <c r="GI57">
        <v>2</v>
      </c>
      <c r="GJ57">
        <v>0</v>
      </c>
      <c r="GK57">
        <f>ROUND(R57*(S12)/100,2)</f>
        <v>0</v>
      </c>
      <c r="GL57">
        <f t="shared" si="86"/>
        <v>0</v>
      </c>
      <c r="GM57">
        <f t="shared" si="56"/>
        <v>0</v>
      </c>
      <c r="GN57">
        <f t="shared" si="57"/>
        <v>0</v>
      </c>
      <c r="GO57">
        <f t="shared" si="58"/>
        <v>0</v>
      </c>
      <c r="GP57">
        <f t="shared" si="59"/>
        <v>0</v>
      </c>
      <c r="GR57">
        <v>0</v>
      </c>
      <c r="GS57">
        <v>3</v>
      </c>
      <c r="GT57">
        <v>0</v>
      </c>
      <c r="GU57" t="s">
        <v>3</v>
      </c>
      <c r="GV57">
        <f t="shared" si="87"/>
        <v>0</v>
      </c>
      <c r="GW57">
        <v>1</v>
      </c>
      <c r="GX57">
        <f t="shared" si="88"/>
        <v>0</v>
      </c>
      <c r="HA57">
        <v>0</v>
      </c>
      <c r="HB57">
        <v>0</v>
      </c>
      <c r="HC57">
        <f t="shared" si="89"/>
        <v>0</v>
      </c>
      <c r="IK57">
        <v>0</v>
      </c>
    </row>
    <row r="58" spans="1:255" x14ac:dyDescent="0.2">
      <c r="A58" s="2">
        <v>17</v>
      </c>
      <c r="B58" s="2">
        <v>1</v>
      </c>
      <c r="C58" s="2"/>
      <c r="D58" s="2"/>
      <c r="E58" s="2" t="s">
        <v>112</v>
      </c>
      <c r="F58" s="2" t="s">
        <v>113</v>
      </c>
      <c r="G58" s="2" t="s">
        <v>114</v>
      </c>
      <c r="H58" s="2" t="s">
        <v>71</v>
      </c>
      <c r="I58" s="2">
        <f>ROUND(50*0,9)</f>
        <v>0</v>
      </c>
      <c r="J58" s="2">
        <v>0</v>
      </c>
      <c r="K58" s="2"/>
      <c r="L58" s="2"/>
      <c r="M58" s="2"/>
      <c r="N58" s="2"/>
      <c r="O58" s="2">
        <f t="shared" si="60"/>
        <v>0</v>
      </c>
      <c r="P58" s="2">
        <f t="shared" si="61"/>
        <v>0</v>
      </c>
      <c r="Q58" s="2">
        <f t="shared" si="62"/>
        <v>0</v>
      </c>
      <c r="R58" s="2">
        <f t="shared" si="63"/>
        <v>0</v>
      </c>
      <c r="S58" s="2">
        <f t="shared" si="64"/>
        <v>0</v>
      </c>
      <c r="T58" s="2">
        <f t="shared" si="65"/>
        <v>0</v>
      </c>
      <c r="U58" s="2">
        <f t="shared" si="66"/>
        <v>0</v>
      </c>
      <c r="V58" s="2">
        <f t="shared" si="67"/>
        <v>0</v>
      </c>
      <c r="W58" s="2">
        <f t="shared" si="68"/>
        <v>0</v>
      </c>
      <c r="X58" s="2">
        <f t="shared" si="69"/>
        <v>0</v>
      </c>
      <c r="Y58" s="2">
        <f t="shared" si="70"/>
        <v>0</v>
      </c>
      <c r="Z58" s="2"/>
      <c r="AA58" s="2">
        <v>55106055</v>
      </c>
      <c r="AB58" s="2">
        <f t="shared" si="71"/>
        <v>34.729999999999997</v>
      </c>
      <c r="AC58" s="2">
        <f t="shared" si="46"/>
        <v>34.729999999999997</v>
      </c>
      <c r="AD58" s="2">
        <f t="shared" si="47"/>
        <v>0</v>
      </c>
      <c r="AE58" s="2">
        <f t="shared" si="48"/>
        <v>0</v>
      </c>
      <c r="AF58" s="2">
        <f t="shared" si="49"/>
        <v>0</v>
      </c>
      <c r="AG58" s="2">
        <f t="shared" si="72"/>
        <v>0</v>
      </c>
      <c r="AH58" s="2">
        <f t="shared" si="50"/>
        <v>0</v>
      </c>
      <c r="AI58" s="2">
        <f t="shared" si="51"/>
        <v>0</v>
      </c>
      <c r="AJ58" s="2">
        <f t="shared" si="73"/>
        <v>0</v>
      </c>
      <c r="AK58" s="2">
        <v>34.729999999999997</v>
      </c>
      <c r="AL58" s="2">
        <v>34.729999999999997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3</v>
      </c>
      <c r="BI58" s="2">
        <v>2</v>
      </c>
      <c r="BJ58" s="2" t="s">
        <v>115</v>
      </c>
      <c r="BK58" s="2"/>
      <c r="BL58" s="2"/>
      <c r="BM58" s="2">
        <v>1618</v>
      </c>
      <c r="BN58" s="2">
        <v>0</v>
      </c>
      <c r="BO58" s="2" t="s">
        <v>3</v>
      </c>
      <c r="BP58" s="2">
        <v>0</v>
      </c>
      <c r="BQ58" s="2">
        <v>201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0</v>
      </c>
      <c r="CA58" s="2">
        <v>0</v>
      </c>
      <c r="CB58" s="2"/>
      <c r="CC58" s="2"/>
      <c r="CD58" s="2"/>
      <c r="CE58" s="2">
        <v>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3</v>
      </c>
      <c r="CO58" s="2">
        <v>0</v>
      </c>
      <c r="CP58" s="2">
        <f t="shared" si="74"/>
        <v>0</v>
      </c>
      <c r="CQ58" s="2">
        <f t="shared" si="75"/>
        <v>34.729999999999997</v>
      </c>
      <c r="CR58" s="2">
        <f t="shared" si="76"/>
        <v>0</v>
      </c>
      <c r="CS58" s="2">
        <f t="shared" si="77"/>
        <v>0</v>
      </c>
      <c r="CT58" s="2">
        <f t="shared" si="78"/>
        <v>0</v>
      </c>
      <c r="CU58" s="2">
        <f t="shared" si="79"/>
        <v>0</v>
      </c>
      <c r="CV58" s="2">
        <f t="shared" si="80"/>
        <v>0</v>
      </c>
      <c r="CW58" s="2">
        <f t="shared" si="81"/>
        <v>0</v>
      </c>
      <c r="CX58" s="2">
        <f t="shared" si="82"/>
        <v>0</v>
      </c>
      <c r="CY58" s="2">
        <f t="shared" si="83"/>
        <v>0</v>
      </c>
      <c r="CZ58" s="2">
        <f t="shared" si="84"/>
        <v>0</v>
      </c>
      <c r="DA58" s="2"/>
      <c r="DB58" s="2"/>
      <c r="DC58" s="2" t="s">
        <v>3</v>
      </c>
      <c r="DD58" s="2" t="s">
        <v>3</v>
      </c>
      <c r="DE58" s="2" t="s">
        <v>3</v>
      </c>
      <c r="DF58" s="2" t="s">
        <v>3</v>
      </c>
      <c r="DG58" s="2" t="s">
        <v>3</v>
      </c>
      <c r="DH58" s="2" t="s">
        <v>3</v>
      </c>
      <c r="DI58" s="2" t="s">
        <v>3</v>
      </c>
      <c r="DJ58" s="2" t="s">
        <v>3</v>
      </c>
      <c r="DK58" s="2" t="s">
        <v>3</v>
      </c>
      <c r="DL58" s="2" t="s">
        <v>3</v>
      </c>
      <c r="DM58" s="2" t="s">
        <v>3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1003</v>
      </c>
      <c r="DV58" s="2" t="s">
        <v>71</v>
      </c>
      <c r="DW58" s="2" t="s">
        <v>71</v>
      </c>
      <c r="DX58" s="2">
        <v>1</v>
      </c>
      <c r="DY58" s="2"/>
      <c r="DZ58" s="2"/>
      <c r="EA58" s="2"/>
      <c r="EB58" s="2"/>
      <c r="EC58" s="2"/>
      <c r="ED58" s="2"/>
      <c r="EE58" s="2">
        <v>21988970</v>
      </c>
      <c r="EF58" s="2">
        <v>201</v>
      </c>
      <c r="EG58" s="2" t="s">
        <v>109</v>
      </c>
      <c r="EH58" s="2">
        <v>0</v>
      </c>
      <c r="EI58" s="2" t="s">
        <v>3</v>
      </c>
      <c r="EJ58" s="2">
        <v>2</v>
      </c>
      <c r="EK58" s="2">
        <v>1618</v>
      </c>
      <c r="EL58" s="2" t="s">
        <v>110</v>
      </c>
      <c r="EM58" s="2" t="s">
        <v>111</v>
      </c>
      <c r="EN58" s="2"/>
      <c r="EO58" s="2" t="s">
        <v>3</v>
      </c>
      <c r="EP58" s="2"/>
      <c r="EQ58" s="2">
        <v>131072</v>
      </c>
      <c r="ER58" s="2">
        <v>34.729999999999997</v>
      </c>
      <c r="ES58" s="2">
        <v>34.729999999999997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5"/>
        <v>0</v>
      </c>
      <c r="FS58" s="2">
        <v>0</v>
      </c>
      <c r="FT58" s="2"/>
      <c r="FU58" s="2"/>
      <c r="FV58" s="2"/>
      <c r="FW58" s="2"/>
      <c r="FX58" s="2">
        <v>0</v>
      </c>
      <c r="FY58" s="2">
        <v>0</v>
      </c>
      <c r="FZ58" s="2"/>
      <c r="GA58" s="2" t="s">
        <v>3</v>
      </c>
      <c r="GB58" s="2"/>
      <c r="GC58" s="2"/>
      <c r="GD58" s="2">
        <v>0</v>
      </c>
      <c r="GE58" s="2"/>
      <c r="GF58" s="2">
        <v>2038973461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6"/>
        <v>0</v>
      </c>
      <c r="GM58" s="2">
        <f t="shared" si="56"/>
        <v>0</v>
      </c>
      <c r="GN58" s="2">
        <f t="shared" si="57"/>
        <v>0</v>
      </c>
      <c r="GO58" s="2">
        <f t="shared" si="58"/>
        <v>0</v>
      </c>
      <c r="GP58" s="2">
        <f t="shared" si="59"/>
        <v>0</v>
      </c>
      <c r="GQ58" s="2"/>
      <c r="GR58" s="2">
        <v>0</v>
      </c>
      <c r="GS58" s="2">
        <v>0</v>
      </c>
      <c r="GT58" s="2">
        <v>0</v>
      </c>
      <c r="GU58" s="2" t="s">
        <v>3</v>
      </c>
      <c r="GV58" s="2">
        <f t="shared" si="87"/>
        <v>0</v>
      </c>
      <c r="GW58" s="2">
        <v>1</v>
      </c>
      <c r="GX58" s="2">
        <f t="shared" si="88"/>
        <v>0</v>
      </c>
      <c r="GY58" s="2"/>
      <c r="GZ58" s="2"/>
      <c r="HA58" s="2">
        <v>0</v>
      </c>
      <c r="HB58" s="2">
        <v>0</v>
      </c>
      <c r="HC58" s="2">
        <f t="shared" si="89"/>
        <v>0</v>
      </c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E59" t="s">
        <v>112</v>
      </c>
      <c r="F59" t="s">
        <v>113</v>
      </c>
      <c r="G59" t="s">
        <v>114</v>
      </c>
      <c r="H59" t="s">
        <v>71</v>
      </c>
      <c r="I59">
        <f>ROUND(50*0,9)</f>
        <v>0</v>
      </c>
      <c r="J59">
        <v>0</v>
      </c>
      <c r="O59">
        <f t="shared" si="60"/>
        <v>0</v>
      </c>
      <c r="P59">
        <f t="shared" si="61"/>
        <v>0</v>
      </c>
      <c r="Q59">
        <f t="shared" si="62"/>
        <v>0</v>
      </c>
      <c r="R59">
        <f t="shared" si="63"/>
        <v>0</v>
      </c>
      <c r="S59">
        <f t="shared" si="64"/>
        <v>0</v>
      </c>
      <c r="T59">
        <f t="shared" si="65"/>
        <v>0</v>
      </c>
      <c r="U59">
        <f t="shared" si="66"/>
        <v>0</v>
      </c>
      <c r="V59">
        <f t="shared" si="67"/>
        <v>0</v>
      </c>
      <c r="W59">
        <f t="shared" si="68"/>
        <v>0</v>
      </c>
      <c r="X59">
        <f t="shared" si="69"/>
        <v>0</v>
      </c>
      <c r="Y59">
        <f t="shared" si="70"/>
        <v>0</v>
      </c>
      <c r="AA59">
        <v>55106052</v>
      </c>
      <c r="AB59">
        <f t="shared" si="71"/>
        <v>34.729999999999997</v>
      </c>
      <c r="AC59">
        <f t="shared" si="46"/>
        <v>34.729999999999997</v>
      </c>
      <c r="AD59">
        <f t="shared" si="47"/>
        <v>0</v>
      </c>
      <c r="AE59">
        <f t="shared" si="48"/>
        <v>0</v>
      </c>
      <c r="AF59">
        <f t="shared" si="49"/>
        <v>0</v>
      </c>
      <c r="AG59">
        <f t="shared" si="72"/>
        <v>0</v>
      </c>
      <c r="AH59">
        <f t="shared" si="50"/>
        <v>0</v>
      </c>
      <c r="AI59">
        <f t="shared" si="51"/>
        <v>0</v>
      </c>
      <c r="AJ59">
        <f t="shared" si="73"/>
        <v>0</v>
      </c>
      <c r="AK59">
        <v>34.729999999999997</v>
      </c>
      <c r="AL59">
        <v>34.729999999999997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1</v>
      </c>
      <c r="AZ59">
        <v>1</v>
      </c>
      <c r="BA59">
        <v>1</v>
      </c>
      <c r="BB59">
        <v>1</v>
      </c>
      <c r="BC59">
        <v>1.48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2</v>
      </c>
      <c r="BJ59" t="s">
        <v>115</v>
      </c>
      <c r="BM59">
        <v>1618</v>
      </c>
      <c r="BN59">
        <v>0</v>
      </c>
      <c r="BO59" t="s">
        <v>113</v>
      </c>
      <c r="BP59">
        <v>1</v>
      </c>
      <c r="BQ59">
        <v>201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0</v>
      </c>
      <c r="CA59">
        <v>0</v>
      </c>
      <c r="CE59">
        <v>0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74"/>
        <v>0</v>
      </c>
      <c r="CQ59">
        <f t="shared" si="75"/>
        <v>51.400399999999998</v>
      </c>
      <c r="CR59">
        <f t="shared" si="76"/>
        <v>0</v>
      </c>
      <c r="CS59">
        <f t="shared" si="77"/>
        <v>0</v>
      </c>
      <c r="CT59">
        <f t="shared" si="78"/>
        <v>0</v>
      </c>
      <c r="CU59">
        <f t="shared" si="79"/>
        <v>0</v>
      </c>
      <c r="CV59">
        <f t="shared" si="80"/>
        <v>0</v>
      </c>
      <c r="CW59">
        <f t="shared" si="81"/>
        <v>0</v>
      </c>
      <c r="CX59">
        <f t="shared" si="82"/>
        <v>0</v>
      </c>
      <c r="CY59">
        <f t="shared" si="83"/>
        <v>0</v>
      </c>
      <c r="CZ59">
        <f t="shared" si="84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1003</v>
      </c>
      <c r="DV59" t="s">
        <v>71</v>
      </c>
      <c r="DW59" t="s">
        <v>71</v>
      </c>
      <c r="DX59">
        <v>1</v>
      </c>
      <c r="EE59">
        <v>21988970</v>
      </c>
      <c r="EF59">
        <v>201</v>
      </c>
      <c r="EG59" t="s">
        <v>109</v>
      </c>
      <c r="EH59">
        <v>0</v>
      </c>
      <c r="EI59" t="s">
        <v>3</v>
      </c>
      <c r="EJ59">
        <v>2</v>
      </c>
      <c r="EK59">
        <v>1618</v>
      </c>
      <c r="EL59" t="s">
        <v>110</v>
      </c>
      <c r="EM59" t="s">
        <v>111</v>
      </c>
      <c r="EO59" t="s">
        <v>3</v>
      </c>
      <c r="EQ59">
        <v>131072</v>
      </c>
      <c r="ER59">
        <v>34.729999999999997</v>
      </c>
      <c r="ES59">
        <v>34.729999999999997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FQ59">
        <v>0</v>
      </c>
      <c r="FR59">
        <f t="shared" si="85"/>
        <v>0</v>
      </c>
      <c r="FS59">
        <v>0</v>
      </c>
      <c r="FX59">
        <v>0</v>
      </c>
      <c r="FY59">
        <v>0</v>
      </c>
      <c r="GA59" t="s">
        <v>3</v>
      </c>
      <c r="GD59">
        <v>0</v>
      </c>
      <c r="GF59">
        <v>2038973461</v>
      </c>
      <c r="GG59">
        <v>2</v>
      </c>
      <c r="GH59">
        <v>1</v>
      </c>
      <c r="GI59">
        <v>2</v>
      </c>
      <c r="GJ59">
        <v>0</v>
      </c>
      <c r="GK59">
        <f>ROUND(R59*(S12)/100,2)</f>
        <v>0</v>
      </c>
      <c r="GL59">
        <f t="shared" si="86"/>
        <v>0</v>
      </c>
      <c r="GM59">
        <f t="shared" si="56"/>
        <v>0</v>
      </c>
      <c r="GN59">
        <f t="shared" si="57"/>
        <v>0</v>
      </c>
      <c r="GO59">
        <f t="shared" si="58"/>
        <v>0</v>
      </c>
      <c r="GP59">
        <f t="shared" si="59"/>
        <v>0</v>
      </c>
      <c r="GR59">
        <v>0</v>
      </c>
      <c r="GS59">
        <v>3</v>
      </c>
      <c r="GT59">
        <v>0</v>
      </c>
      <c r="GU59" t="s">
        <v>3</v>
      </c>
      <c r="GV59">
        <f t="shared" si="87"/>
        <v>0</v>
      </c>
      <c r="GW59">
        <v>1</v>
      </c>
      <c r="GX59">
        <f t="shared" si="88"/>
        <v>0</v>
      </c>
      <c r="HA59">
        <v>0</v>
      </c>
      <c r="HB59">
        <v>0</v>
      </c>
      <c r="HC59">
        <f t="shared" si="89"/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ROW(SmtRes!A43)</f>
        <v>43</v>
      </c>
      <c r="D60" s="2">
        <f>ROW(EtalonRes!A49)</f>
        <v>49</v>
      </c>
      <c r="E60" s="2" t="s">
        <v>116</v>
      </c>
      <c r="F60" s="2" t="s">
        <v>117</v>
      </c>
      <c r="G60" s="2" t="s">
        <v>118</v>
      </c>
      <c r="H60" s="2" t="s">
        <v>64</v>
      </c>
      <c r="I60" s="2">
        <f>ROUND(100/100,9)</f>
        <v>1</v>
      </c>
      <c r="J60" s="2">
        <v>0</v>
      </c>
      <c r="K60" s="2"/>
      <c r="L60" s="2"/>
      <c r="M60" s="2"/>
      <c r="N60" s="2"/>
      <c r="O60" s="2">
        <f t="shared" si="60"/>
        <v>87.83</v>
      </c>
      <c r="P60" s="2">
        <f t="shared" si="61"/>
        <v>9.94</v>
      </c>
      <c r="Q60" s="2">
        <f t="shared" si="62"/>
        <v>1.69</v>
      </c>
      <c r="R60" s="2">
        <f t="shared" si="63"/>
        <v>0.39</v>
      </c>
      <c r="S60" s="2">
        <f t="shared" si="64"/>
        <v>76.2</v>
      </c>
      <c r="T60" s="2">
        <f t="shared" si="65"/>
        <v>0</v>
      </c>
      <c r="U60" s="2">
        <f t="shared" si="66"/>
        <v>6.18</v>
      </c>
      <c r="V60" s="2">
        <f t="shared" si="67"/>
        <v>0</v>
      </c>
      <c r="W60" s="2">
        <f t="shared" si="68"/>
        <v>0</v>
      </c>
      <c r="X60" s="2">
        <f t="shared" si="69"/>
        <v>0</v>
      </c>
      <c r="Y60" s="2">
        <f t="shared" si="70"/>
        <v>0</v>
      </c>
      <c r="Z60" s="2"/>
      <c r="AA60" s="2">
        <v>55106055</v>
      </c>
      <c r="AB60" s="2">
        <f t="shared" si="71"/>
        <v>87.83</v>
      </c>
      <c r="AC60" s="2">
        <f t="shared" si="46"/>
        <v>9.94</v>
      </c>
      <c r="AD60" s="2">
        <f t="shared" si="47"/>
        <v>1.69</v>
      </c>
      <c r="AE60" s="2">
        <f t="shared" si="48"/>
        <v>0.39</v>
      </c>
      <c r="AF60" s="2">
        <f t="shared" si="49"/>
        <v>76.2</v>
      </c>
      <c r="AG60" s="2">
        <f t="shared" si="72"/>
        <v>0</v>
      </c>
      <c r="AH60" s="2">
        <f t="shared" si="50"/>
        <v>6.18</v>
      </c>
      <c r="AI60" s="2">
        <f t="shared" si="51"/>
        <v>0</v>
      </c>
      <c r="AJ60" s="2">
        <f t="shared" si="73"/>
        <v>0</v>
      </c>
      <c r="AK60" s="2">
        <v>87.83</v>
      </c>
      <c r="AL60" s="2">
        <v>9.94</v>
      </c>
      <c r="AM60" s="2">
        <v>1.69</v>
      </c>
      <c r="AN60" s="2">
        <v>0.39</v>
      </c>
      <c r="AO60" s="2">
        <v>76.2</v>
      </c>
      <c r="AP60" s="2">
        <v>0</v>
      </c>
      <c r="AQ60" s="2">
        <v>6.18</v>
      </c>
      <c r="AR60" s="2">
        <v>0</v>
      </c>
      <c r="AS60" s="2">
        <v>0</v>
      </c>
      <c r="AT60" s="2">
        <v>0</v>
      </c>
      <c r="AU60" s="2">
        <v>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0</v>
      </c>
      <c r="BI60" s="2">
        <v>2</v>
      </c>
      <c r="BJ60" s="2" t="s">
        <v>119</v>
      </c>
      <c r="BK60" s="2"/>
      <c r="BL60" s="2"/>
      <c r="BM60" s="2">
        <v>331</v>
      </c>
      <c r="BN60" s="2">
        <v>0</v>
      </c>
      <c r="BO60" s="2" t="s">
        <v>3</v>
      </c>
      <c r="BP60" s="2">
        <v>0</v>
      </c>
      <c r="BQ60" s="2">
        <v>40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0</v>
      </c>
      <c r="CA60" s="2">
        <v>0</v>
      </c>
      <c r="CB60" s="2"/>
      <c r="CC60" s="2"/>
      <c r="CD60" s="2"/>
      <c r="CE60" s="2">
        <v>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3</v>
      </c>
      <c r="CO60" s="2">
        <v>0</v>
      </c>
      <c r="CP60" s="2">
        <f t="shared" si="74"/>
        <v>87.83</v>
      </c>
      <c r="CQ60" s="2">
        <f t="shared" si="75"/>
        <v>9.94</v>
      </c>
      <c r="CR60" s="2">
        <f t="shared" si="76"/>
        <v>1.69</v>
      </c>
      <c r="CS60" s="2">
        <f t="shared" si="77"/>
        <v>0.39</v>
      </c>
      <c r="CT60" s="2">
        <f t="shared" si="78"/>
        <v>76.2</v>
      </c>
      <c r="CU60" s="2">
        <f t="shared" si="79"/>
        <v>0</v>
      </c>
      <c r="CV60" s="2">
        <f t="shared" si="80"/>
        <v>6.18</v>
      </c>
      <c r="CW60" s="2">
        <f t="shared" si="81"/>
        <v>0</v>
      </c>
      <c r="CX60" s="2">
        <f t="shared" si="82"/>
        <v>0</v>
      </c>
      <c r="CY60" s="2">
        <f t="shared" si="83"/>
        <v>0</v>
      </c>
      <c r="CZ60" s="2">
        <f t="shared" si="84"/>
        <v>0</v>
      </c>
      <c r="DA60" s="2"/>
      <c r="DB60" s="2"/>
      <c r="DC60" s="2" t="s">
        <v>3</v>
      </c>
      <c r="DD60" s="2" t="s">
        <v>3</v>
      </c>
      <c r="DE60" s="2" t="s">
        <v>3</v>
      </c>
      <c r="DF60" s="2" t="s">
        <v>3</v>
      </c>
      <c r="DG60" s="2" t="s">
        <v>3</v>
      </c>
      <c r="DH60" s="2" t="s">
        <v>3</v>
      </c>
      <c r="DI60" s="2" t="s">
        <v>3</v>
      </c>
      <c r="DJ60" s="2" t="s">
        <v>3</v>
      </c>
      <c r="DK60" s="2" t="s">
        <v>3</v>
      </c>
      <c r="DL60" s="2" t="s">
        <v>3</v>
      </c>
      <c r="DM60" s="2" t="s">
        <v>3</v>
      </c>
      <c r="DN60" s="2">
        <v>114</v>
      </c>
      <c r="DO60" s="2">
        <v>67</v>
      </c>
      <c r="DP60" s="2">
        <v>1.0469999999999999</v>
      </c>
      <c r="DQ60" s="2">
        <v>1</v>
      </c>
      <c r="DR60" s="2"/>
      <c r="DS60" s="2"/>
      <c r="DT60" s="2"/>
      <c r="DU60" s="2">
        <v>1003</v>
      </c>
      <c r="DV60" s="2" t="s">
        <v>64</v>
      </c>
      <c r="DW60" s="2" t="s">
        <v>64</v>
      </c>
      <c r="DX60" s="2">
        <v>100</v>
      </c>
      <c r="DY60" s="2"/>
      <c r="DZ60" s="2"/>
      <c r="EA60" s="2"/>
      <c r="EB60" s="2"/>
      <c r="EC60" s="2"/>
      <c r="ED60" s="2"/>
      <c r="EE60" s="2">
        <v>21987683</v>
      </c>
      <c r="EF60" s="2">
        <v>40</v>
      </c>
      <c r="EG60" s="2" t="s">
        <v>19</v>
      </c>
      <c r="EH60" s="2">
        <v>0</v>
      </c>
      <c r="EI60" s="2" t="s">
        <v>3</v>
      </c>
      <c r="EJ60" s="2">
        <v>2</v>
      </c>
      <c r="EK60" s="2">
        <v>331</v>
      </c>
      <c r="EL60" s="2" t="s">
        <v>120</v>
      </c>
      <c r="EM60" s="2" t="s">
        <v>121</v>
      </c>
      <c r="EN60" s="2"/>
      <c r="EO60" s="2" t="s">
        <v>3</v>
      </c>
      <c r="EP60" s="2"/>
      <c r="EQ60" s="2">
        <v>131072</v>
      </c>
      <c r="ER60" s="2">
        <v>87.83</v>
      </c>
      <c r="ES60" s="2">
        <v>9.94</v>
      </c>
      <c r="ET60" s="2">
        <v>1.69</v>
      </c>
      <c r="EU60" s="2">
        <v>0.39</v>
      </c>
      <c r="EV60" s="2">
        <v>76.2</v>
      </c>
      <c r="EW60" s="2">
        <v>6.18</v>
      </c>
      <c r="EX60" s="2">
        <v>0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5"/>
        <v>0</v>
      </c>
      <c r="FS60" s="2">
        <v>0</v>
      </c>
      <c r="FT60" s="2"/>
      <c r="FU60" s="2"/>
      <c r="FV60" s="2"/>
      <c r="FW60" s="2"/>
      <c r="FX60" s="2">
        <v>114</v>
      </c>
      <c r="FY60" s="2">
        <v>67</v>
      </c>
      <c r="FZ60" s="2"/>
      <c r="GA60" s="2" t="s">
        <v>3</v>
      </c>
      <c r="GB60" s="2"/>
      <c r="GC60" s="2"/>
      <c r="GD60" s="2">
        <v>1</v>
      </c>
      <c r="GE60" s="2"/>
      <c r="GF60" s="2">
        <v>-1874974313</v>
      </c>
      <c r="GG60" s="2">
        <v>2</v>
      </c>
      <c r="GH60" s="2">
        <v>1</v>
      </c>
      <c r="GI60" s="2">
        <v>-2</v>
      </c>
      <c r="GJ60" s="2">
        <v>0</v>
      </c>
      <c r="GK60" s="2">
        <v>0</v>
      </c>
      <c r="GL60" s="2">
        <f t="shared" si="86"/>
        <v>0</v>
      </c>
      <c r="GM60" s="2">
        <f>ROUND(O60+X60+Y60,2)+GX60</f>
        <v>87.83</v>
      </c>
      <c r="GN60" s="2">
        <f>IF(OR(BI60=0,BI60=1),ROUND(O60+X60+Y60,2),0)</f>
        <v>0</v>
      </c>
      <c r="GO60" s="2">
        <f>IF(BI60=2,ROUND(O60+X60+Y60,2),0)</f>
        <v>87.83</v>
      </c>
      <c r="GP60" s="2">
        <f>IF(BI60=4,ROUND(O60+X60+Y60,2)+GX60,0)</f>
        <v>0</v>
      </c>
      <c r="GQ60" s="2"/>
      <c r="GR60" s="2">
        <v>0</v>
      </c>
      <c r="GS60" s="2">
        <v>0</v>
      </c>
      <c r="GT60" s="2">
        <v>0</v>
      </c>
      <c r="GU60" s="2" t="s">
        <v>3</v>
      </c>
      <c r="GV60" s="2">
        <f t="shared" si="87"/>
        <v>0</v>
      </c>
      <c r="GW60" s="2">
        <v>1</v>
      </c>
      <c r="GX60" s="2">
        <f t="shared" si="88"/>
        <v>0</v>
      </c>
      <c r="GY60" s="2"/>
      <c r="GZ60" s="2"/>
      <c r="HA60" s="2">
        <v>0</v>
      </c>
      <c r="HB60" s="2">
        <v>0</v>
      </c>
      <c r="HC60" s="2">
        <f t="shared" si="89"/>
        <v>0</v>
      </c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ROW(SmtRes!A44)</f>
        <v>44</v>
      </c>
      <c r="D61">
        <f>ROW(EtalonRes!A50)</f>
        <v>50</v>
      </c>
      <c r="E61" t="s">
        <v>116</v>
      </c>
      <c r="F61" t="s">
        <v>117</v>
      </c>
      <c r="G61" t="s">
        <v>118</v>
      </c>
      <c r="H61" t="s">
        <v>64</v>
      </c>
      <c r="I61">
        <f>ROUND(100/100,9)</f>
        <v>1</v>
      </c>
      <c r="J61">
        <v>0</v>
      </c>
      <c r="O61">
        <f t="shared" si="60"/>
        <v>1721.84</v>
      </c>
      <c r="P61">
        <f t="shared" si="61"/>
        <v>53.78</v>
      </c>
      <c r="Q61">
        <f t="shared" si="62"/>
        <v>15.28</v>
      </c>
      <c r="R61">
        <f t="shared" si="63"/>
        <v>8.4600000000000009</v>
      </c>
      <c r="S61">
        <f t="shared" si="64"/>
        <v>1652.78</v>
      </c>
      <c r="T61">
        <f t="shared" si="65"/>
        <v>0</v>
      </c>
      <c r="U61">
        <f t="shared" si="66"/>
        <v>6.18</v>
      </c>
      <c r="V61">
        <f t="shared" si="67"/>
        <v>0</v>
      </c>
      <c r="W61">
        <f t="shared" si="68"/>
        <v>0</v>
      </c>
      <c r="X61">
        <f t="shared" si="69"/>
        <v>1272.6400000000001</v>
      </c>
      <c r="Y61">
        <f t="shared" si="70"/>
        <v>677.64</v>
      </c>
      <c r="AA61">
        <v>55106052</v>
      </c>
      <c r="AB61">
        <f t="shared" si="71"/>
        <v>87.83</v>
      </c>
      <c r="AC61">
        <f t="shared" si="46"/>
        <v>9.94</v>
      </c>
      <c r="AD61">
        <f t="shared" si="47"/>
        <v>1.69</v>
      </c>
      <c r="AE61">
        <f t="shared" si="48"/>
        <v>0.39</v>
      </c>
      <c r="AF61">
        <f t="shared" si="49"/>
        <v>76.2</v>
      </c>
      <c r="AG61">
        <f t="shared" si="72"/>
        <v>0</v>
      </c>
      <c r="AH61">
        <f t="shared" si="50"/>
        <v>6.18</v>
      </c>
      <c r="AI61">
        <f t="shared" si="51"/>
        <v>0</v>
      </c>
      <c r="AJ61">
        <f t="shared" si="73"/>
        <v>0</v>
      </c>
      <c r="AK61">
        <v>87.83</v>
      </c>
      <c r="AL61">
        <v>9.94</v>
      </c>
      <c r="AM61">
        <v>1.69</v>
      </c>
      <c r="AN61">
        <v>0.39</v>
      </c>
      <c r="AO61">
        <v>76.2</v>
      </c>
      <c r="AP61">
        <v>0</v>
      </c>
      <c r="AQ61">
        <v>6.18</v>
      </c>
      <c r="AR61">
        <v>0</v>
      </c>
      <c r="AS61">
        <v>0</v>
      </c>
      <c r="AT61">
        <v>77</v>
      </c>
      <c r="AU61">
        <v>41</v>
      </c>
      <c r="AV61">
        <v>1</v>
      </c>
      <c r="AW61">
        <v>1</v>
      </c>
      <c r="AZ61">
        <v>1</v>
      </c>
      <c r="BA61">
        <v>21.69</v>
      </c>
      <c r="BB61">
        <v>9.0399999999999991</v>
      </c>
      <c r="BC61">
        <v>5.41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2</v>
      </c>
      <c r="BJ61" t="s">
        <v>119</v>
      </c>
      <c r="BM61">
        <v>331</v>
      </c>
      <c r="BN61">
        <v>0</v>
      </c>
      <c r="BO61" t="s">
        <v>117</v>
      </c>
      <c r="BP61">
        <v>1</v>
      </c>
      <c r="BQ61">
        <v>40</v>
      </c>
      <c r="BR61">
        <v>0</v>
      </c>
      <c r="BS61">
        <v>21.69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77</v>
      </c>
      <c r="CA61">
        <v>41</v>
      </c>
      <c r="CE61">
        <v>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74"/>
        <v>1721.84</v>
      </c>
      <c r="CQ61">
        <f t="shared" si="75"/>
        <v>53.775399999999998</v>
      </c>
      <c r="CR61">
        <f t="shared" si="76"/>
        <v>15.277599999999998</v>
      </c>
      <c r="CS61">
        <f t="shared" si="77"/>
        <v>8.4591000000000012</v>
      </c>
      <c r="CT61">
        <f t="shared" si="78"/>
        <v>1652.7780000000002</v>
      </c>
      <c r="CU61">
        <f t="shared" si="79"/>
        <v>0</v>
      </c>
      <c r="CV61">
        <f t="shared" si="80"/>
        <v>6.18</v>
      </c>
      <c r="CW61">
        <f t="shared" si="81"/>
        <v>0</v>
      </c>
      <c r="CX61">
        <f t="shared" si="82"/>
        <v>0</v>
      </c>
      <c r="CY61">
        <f t="shared" si="83"/>
        <v>1272.6405999999999</v>
      </c>
      <c r="CZ61">
        <f t="shared" si="84"/>
        <v>677.63979999999992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114</v>
      </c>
      <c r="DO61">
        <v>67</v>
      </c>
      <c r="DP61">
        <v>1.0469999999999999</v>
      </c>
      <c r="DQ61">
        <v>1</v>
      </c>
      <c r="DU61">
        <v>1003</v>
      </c>
      <c r="DV61" t="s">
        <v>64</v>
      </c>
      <c r="DW61" t="s">
        <v>64</v>
      </c>
      <c r="DX61">
        <v>100</v>
      </c>
      <c r="EE61">
        <v>21987683</v>
      </c>
      <c r="EF61">
        <v>40</v>
      </c>
      <c r="EG61" t="s">
        <v>19</v>
      </c>
      <c r="EH61">
        <v>0</v>
      </c>
      <c r="EI61" t="s">
        <v>3</v>
      </c>
      <c r="EJ61">
        <v>2</v>
      </c>
      <c r="EK61">
        <v>331</v>
      </c>
      <c r="EL61" t="s">
        <v>120</v>
      </c>
      <c r="EM61" t="s">
        <v>121</v>
      </c>
      <c r="EO61" t="s">
        <v>3</v>
      </c>
      <c r="EQ61">
        <v>131072</v>
      </c>
      <c r="ER61">
        <v>87.83</v>
      </c>
      <c r="ES61">
        <v>9.94</v>
      </c>
      <c r="ET61">
        <v>1.69</v>
      </c>
      <c r="EU61">
        <v>0.39</v>
      </c>
      <c r="EV61">
        <v>76.2</v>
      </c>
      <c r="EW61">
        <v>6.18</v>
      </c>
      <c r="EX61">
        <v>0</v>
      </c>
      <c r="EY61">
        <v>0</v>
      </c>
      <c r="FQ61">
        <v>0</v>
      </c>
      <c r="FR61">
        <f t="shared" si="85"/>
        <v>0</v>
      </c>
      <c r="FS61">
        <v>0</v>
      </c>
      <c r="FX61">
        <v>114</v>
      </c>
      <c r="FY61">
        <v>67</v>
      </c>
      <c r="GA61" t="s">
        <v>3</v>
      </c>
      <c r="GD61">
        <v>0</v>
      </c>
      <c r="GF61">
        <v>-1874974313</v>
      </c>
      <c r="GG61">
        <v>2</v>
      </c>
      <c r="GH61">
        <v>1</v>
      </c>
      <c r="GI61">
        <v>2</v>
      </c>
      <c r="GJ61">
        <v>0</v>
      </c>
      <c r="GK61">
        <f>ROUND(R61*(S12)/100,2)</f>
        <v>13.28</v>
      </c>
      <c r="GL61">
        <f t="shared" si="86"/>
        <v>0</v>
      </c>
      <c r="GM61">
        <f>ROUND(O61+X61+Y61+GK61,2)+GX61</f>
        <v>3685.4</v>
      </c>
      <c r="GN61">
        <f>IF(OR(BI61=0,BI61=1),ROUND(O61+X61+Y61+GK61,2),0)</f>
        <v>0</v>
      </c>
      <c r="GO61">
        <f>IF(BI61=2,ROUND(O61+X61+Y61+GK61,2),0)</f>
        <v>3685.4</v>
      </c>
      <c r="GP61">
        <f>IF(BI61=4,ROUND(O61+X61+Y61+GK61,2)+GX61,0)</f>
        <v>0</v>
      </c>
      <c r="GR61">
        <v>0</v>
      </c>
      <c r="GS61">
        <v>3</v>
      </c>
      <c r="GT61">
        <v>0</v>
      </c>
      <c r="GU61" t="s">
        <v>3</v>
      </c>
      <c r="GV61">
        <f t="shared" si="87"/>
        <v>0</v>
      </c>
      <c r="GW61">
        <v>1</v>
      </c>
      <c r="GX61">
        <f t="shared" si="88"/>
        <v>0</v>
      </c>
      <c r="HA61">
        <v>0</v>
      </c>
      <c r="HB61">
        <v>0</v>
      </c>
      <c r="HC61">
        <f t="shared" si="89"/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ROW(SmtRes!A45)</f>
        <v>45</v>
      </c>
      <c r="D62" s="2">
        <f>ROW(EtalonRes!A51)</f>
        <v>51</v>
      </c>
      <c r="E62" s="2" t="s">
        <v>122</v>
      </c>
      <c r="F62" s="2" t="s">
        <v>123</v>
      </c>
      <c r="G62" s="2" t="s">
        <v>124</v>
      </c>
      <c r="H62" s="2" t="s">
        <v>64</v>
      </c>
      <c r="I62" s="2">
        <f>ROUND(50/100,9)</f>
        <v>0.5</v>
      </c>
      <c r="J62" s="2">
        <v>0</v>
      </c>
      <c r="K62" s="2"/>
      <c r="L62" s="2"/>
      <c r="M62" s="2"/>
      <c r="N62" s="2"/>
      <c r="O62" s="2">
        <f t="shared" si="60"/>
        <v>21.34</v>
      </c>
      <c r="P62" s="2">
        <f t="shared" si="61"/>
        <v>1.86</v>
      </c>
      <c r="Q62" s="2">
        <f t="shared" si="62"/>
        <v>0.43</v>
      </c>
      <c r="R62" s="2">
        <f t="shared" si="63"/>
        <v>0.1</v>
      </c>
      <c r="S62" s="2">
        <f t="shared" si="64"/>
        <v>19.05</v>
      </c>
      <c r="T62" s="2">
        <f t="shared" si="65"/>
        <v>0</v>
      </c>
      <c r="U62" s="2">
        <f t="shared" si="66"/>
        <v>1.5449999999999999</v>
      </c>
      <c r="V62" s="2">
        <f t="shared" si="67"/>
        <v>0</v>
      </c>
      <c r="W62" s="2">
        <f t="shared" si="68"/>
        <v>0</v>
      </c>
      <c r="X62" s="2">
        <f t="shared" si="69"/>
        <v>0</v>
      </c>
      <c r="Y62" s="2">
        <f t="shared" si="70"/>
        <v>0</v>
      </c>
      <c r="Z62" s="2"/>
      <c r="AA62" s="2">
        <v>55106055</v>
      </c>
      <c r="AB62" s="2">
        <f t="shared" si="71"/>
        <v>42.66</v>
      </c>
      <c r="AC62" s="2">
        <f t="shared" ref="AC62:AC79" si="90">ROUND((ES62),6)</f>
        <v>3.71</v>
      </c>
      <c r="AD62" s="2">
        <f t="shared" si="47"/>
        <v>0.85</v>
      </c>
      <c r="AE62" s="2">
        <f t="shared" si="48"/>
        <v>0.2</v>
      </c>
      <c r="AF62" s="2">
        <f t="shared" si="49"/>
        <v>38.1</v>
      </c>
      <c r="AG62" s="2">
        <f t="shared" si="72"/>
        <v>0</v>
      </c>
      <c r="AH62" s="2">
        <f t="shared" si="50"/>
        <v>3.09</v>
      </c>
      <c r="AI62" s="2">
        <f t="shared" si="51"/>
        <v>0</v>
      </c>
      <c r="AJ62" s="2">
        <f t="shared" si="73"/>
        <v>0</v>
      </c>
      <c r="AK62" s="2">
        <v>42.66</v>
      </c>
      <c r="AL62" s="2">
        <v>3.71</v>
      </c>
      <c r="AM62" s="2">
        <v>0.85</v>
      </c>
      <c r="AN62" s="2">
        <v>0.2</v>
      </c>
      <c r="AO62" s="2">
        <v>38.1</v>
      </c>
      <c r="AP62" s="2">
        <v>0</v>
      </c>
      <c r="AQ62" s="2">
        <v>3.09</v>
      </c>
      <c r="AR62" s="2">
        <v>0</v>
      </c>
      <c r="AS62" s="2">
        <v>0</v>
      </c>
      <c r="AT62" s="2">
        <v>0</v>
      </c>
      <c r="AU62" s="2">
        <v>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3</v>
      </c>
      <c r="BE62" s="2" t="s">
        <v>3</v>
      </c>
      <c r="BF62" s="2" t="s">
        <v>3</v>
      </c>
      <c r="BG62" s="2" t="s">
        <v>3</v>
      </c>
      <c r="BH62" s="2">
        <v>0</v>
      </c>
      <c r="BI62" s="2">
        <v>2</v>
      </c>
      <c r="BJ62" s="2" t="s">
        <v>125</v>
      </c>
      <c r="BK62" s="2"/>
      <c r="BL62" s="2"/>
      <c r="BM62" s="2">
        <v>331</v>
      </c>
      <c r="BN62" s="2">
        <v>0</v>
      </c>
      <c r="BO62" s="2" t="s">
        <v>3</v>
      </c>
      <c r="BP62" s="2">
        <v>0</v>
      </c>
      <c r="BQ62" s="2">
        <v>40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3</v>
      </c>
      <c r="BZ62" s="2">
        <v>0</v>
      </c>
      <c r="CA62" s="2">
        <v>0</v>
      </c>
      <c r="CB62" s="2"/>
      <c r="CC62" s="2"/>
      <c r="CD62" s="2"/>
      <c r="CE62" s="2">
        <v>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3</v>
      </c>
      <c r="CO62" s="2">
        <v>0</v>
      </c>
      <c r="CP62" s="2">
        <f t="shared" si="74"/>
        <v>21.34</v>
      </c>
      <c r="CQ62" s="2">
        <f t="shared" si="75"/>
        <v>3.71</v>
      </c>
      <c r="CR62" s="2">
        <f t="shared" si="76"/>
        <v>0.85</v>
      </c>
      <c r="CS62" s="2">
        <f t="shared" si="77"/>
        <v>0.2</v>
      </c>
      <c r="CT62" s="2">
        <f t="shared" si="78"/>
        <v>38.1</v>
      </c>
      <c r="CU62" s="2">
        <f t="shared" si="79"/>
        <v>0</v>
      </c>
      <c r="CV62" s="2">
        <f t="shared" si="80"/>
        <v>3.09</v>
      </c>
      <c r="CW62" s="2">
        <f t="shared" si="81"/>
        <v>0</v>
      </c>
      <c r="CX62" s="2">
        <f t="shared" si="82"/>
        <v>0</v>
      </c>
      <c r="CY62" s="2">
        <f t="shared" si="83"/>
        <v>0</v>
      </c>
      <c r="CZ62" s="2">
        <f t="shared" si="84"/>
        <v>0</v>
      </c>
      <c r="DA62" s="2"/>
      <c r="DB62" s="2"/>
      <c r="DC62" s="2" t="s">
        <v>3</v>
      </c>
      <c r="DD62" s="2" t="s">
        <v>3</v>
      </c>
      <c r="DE62" s="2" t="s">
        <v>3</v>
      </c>
      <c r="DF62" s="2" t="s">
        <v>3</v>
      </c>
      <c r="DG62" s="2" t="s">
        <v>3</v>
      </c>
      <c r="DH62" s="2" t="s">
        <v>3</v>
      </c>
      <c r="DI62" s="2" t="s">
        <v>3</v>
      </c>
      <c r="DJ62" s="2" t="s">
        <v>3</v>
      </c>
      <c r="DK62" s="2" t="s">
        <v>3</v>
      </c>
      <c r="DL62" s="2" t="s">
        <v>3</v>
      </c>
      <c r="DM62" s="2" t="s">
        <v>3</v>
      </c>
      <c r="DN62" s="2">
        <v>114</v>
      </c>
      <c r="DO62" s="2">
        <v>67</v>
      </c>
      <c r="DP62" s="2">
        <v>1.0469999999999999</v>
      </c>
      <c r="DQ62" s="2">
        <v>1</v>
      </c>
      <c r="DR62" s="2"/>
      <c r="DS62" s="2"/>
      <c r="DT62" s="2"/>
      <c r="DU62" s="2">
        <v>1003</v>
      </c>
      <c r="DV62" s="2" t="s">
        <v>64</v>
      </c>
      <c r="DW62" s="2" t="s">
        <v>64</v>
      </c>
      <c r="DX62" s="2">
        <v>100</v>
      </c>
      <c r="DY62" s="2"/>
      <c r="DZ62" s="2"/>
      <c r="EA62" s="2"/>
      <c r="EB62" s="2"/>
      <c r="EC62" s="2"/>
      <c r="ED62" s="2"/>
      <c r="EE62" s="2">
        <v>21987683</v>
      </c>
      <c r="EF62" s="2">
        <v>40</v>
      </c>
      <c r="EG62" s="2" t="s">
        <v>19</v>
      </c>
      <c r="EH62" s="2">
        <v>0</v>
      </c>
      <c r="EI62" s="2" t="s">
        <v>3</v>
      </c>
      <c r="EJ62" s="2">
        <v>2</v>
      </c>
      <c r="EK62" s="2">
        <v>331</v>
      </c>
      <c r="EL62" s="2" t="s">
        <v>120</v>
      </c>
      <c r="EM62" s="2" t="s">
        <v>121</v>
      </c>
      <c r="EN62" s="2"/>
      <c r="EO62" s="2" t="s">
        <v>3</v>
      </c>
      <c r="EP62" s="2"/>
      <c r="EQ62" s="2">
        <v>131072</v>
      </c>
      <c r="ER62" s="2">
        <v>42.66</v>
      </c>
      <c r="ES62" s="2">
        <v>3.71</v>
      </c>
      <c r="ET62" s="2">
        <v>0.85</v>
      </c>
      <c r="EU62" s="2">
        <v>0.2</v>
      </c>
      <c r="EV62" s="2">
        <v>38.1</v>
      </c>
      <c r="EW62" s="2">
        <v>3.09</v>
      </c>
      <c r="EX62" s="2">
        <v>0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5"/>
        <v>0</v>
      </c>
      <c r="FS62" s="2">
        <v>0</v>
      </c>
      <c r="FT62" s="2"/>
      <c r="FU62" s="2"/>
      <c r="FV62" s="2"/>
      <c r="FW62" s="2"/>
      <c r="FX62" s="2">
        <v>114</v>
      </c>
      <c r="FY62" s="2">
        <v>67</v>
      </c>
      <c r="FZ62" s="2"/>
      <c r="GA62" s="2" t="s">
        <v>3</v>
      </c>
      <c r="GB62" s="2"/>
      <c r="GC62" s="2"/>
      <c r="GD62" s="2">
        <v>1</v>
      </c>
      <c r="GE62" s="2"/>
      <c r="GF62" s="2">
        <v>-103104656</v>
      </c>
      <c r="GG62" s="2">
        <v>2</v>
      </c>
      <c r="GH62" s="2">
        <v>1</v>
      </c>
      <c r="GI62" s="2">
        <v>-2</v>
      </c>
      <c r="GJ62" s="2">
        <v>0</v>
      </c>
      <c r="GK62" s="2">
        <v>0</v>
      </c>
      <c r="GL62" s="2">
        <f t="shared" si="86"/>
        <v>0</v>
      </c>
      <c r="GM62" s="2">
        <f>ROUND(O62+X62+Y62,2)+GX62</f>
        <v>21.34</v>
      </c>
      <c r="GN62" s="2">
        <f>IF(OR(BI62=0,BI62=1),ROUND(O62+X62+Y62,2),0)</f>
        <v>0</v>
      </c>
      <c r="GO62" s="2">
        <f>IF(BI62=2,ROUND(O62+X62+Y62,2),0)</f>
        <v>21.34</v>
      </c>
      <c r="GP62" s="2">
        <f>IF(BI62=4,ROUND(O62+X62+Y62,2)+GX62,0)</f>
        <v>0</v>
      </c>
      <c r="GQ62" s="2"/>
      <c r="GR62" s="2">
        <v>0</v>
      </c>
      <c r="GS62" s="2">
        <v>3</v>
      </c>
      <c r="GT62" s="2">
        <v>0</v>
      </c>
      <c r="GU62" s="2" t="s">
        <v>3</v>
      </c>
      <c r="GV62" s="2">
        <f t="shared" si="87"/>
        <v>0</v>
      </c>
      <c r="GW62" s="2">
        <v>1</v>
      </c>
      <c r="GX62" s="2">
        <f t="shared" si="88"/>
        <v>0</v>
      </c>
      <c r="GY62" s="2"/>
      <c r="GZ62" s="2"/>
      <c r="HA62" s="2">
        <v>0</v>
      </c>
      <c r="HB62" s="2">
        <v>0</v>
      </c>
      <c r="HC62" s="2">
        <f t="shared" si="89"/>
        <v>0</v>
      </c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ROW(SmtRes!A46)</f>
        <v>46</v>
      </c>
      <c r="D63">
        <f>ROW(EtalonRes!A52)</f>
        <v>52</v>
      </c>
      <c r="E63" t="s">
        <v>122</v>
      </c>
      <c r="F63" t="s">
        <v>123</v>
      </c>
      <c r="G63" t="s">
        <v>124</v>
      </c>
      <c r="H63" t="s">
        <v>64</v>
      </c>
      <c r="I63">
        <f>ROUND(50/100,9)</f>
        <v>0.5</v>
      </c>
      <c r="J63">
        <v>0</v>
      </c>
      <c r="O63">
        <f t="shared" si="60"/>
        <v>427.1</v>
      </c>
      <c r="P63">
        <f t="shared" si="61"/>
        <v>10.039999999999999</v>
      </c>
      <c r="Q63">
        <f t="shared" si="62"/>
        <v>3.87</v>
      </c>
      <c r="R63">
        <f t="shared" si="63"/>
        <v>2.17</v>
      </c>
      <c r="S63">
        <f t="shared" si="64"/>
        <v>413.19</v>
      </c>
      <c r="T63">
        <f t="shared" si="65"/>
        <v>0</v>
      </c>
      <c r="U63">
        <f t="shared" si="66"/>
        <v>1.5449999999999999</v>
      </c>
      <c r="V63">
        <f t="shared" si="67"/>
        <v>0</v>
      </c>
      <c r="W63">
        <f t="shared" si="68"/>
        <v>0</v>
      </c>
      <c r="X63">
        <f t="shared" si="69"/>
        <v>318.16000000000003</v>
      </c>
      <c r="Y63">
        <f t="shared" si="70"/>
        <v>169.41</v>
      </c>
      <c r="AA63">
        <v>55106052</v>
      </c>
      <c r="AB63">
        <f t="shared" si="71"/>
        <v>42.66</v>
      </c>
      <c r="AC63">
        <f t="shared" si="90"/>
        <v>3.71</v>
      </c>
      <c r="AD63">
        <f t="shared" si="47"/>
        <v>0.85</v>
      </c>
      <c r="AE63">
        <f t="shared" si="48"/>
        <v>0.2</v>
      </c>
      <c r="AF63">
        <f t="shared" si="49"/>
        <v>38.1</v>
      </c>
      <c r="AG63">
        <f t="shared" si="72"/>
        <v>0</v>
      </c>
      <c r="AH63">
        <f t="shared" si="50"/>
        <v>3.09</v>
      </c>
      <c r="AI63">
        <f t="shared" si="51"/>
        <v>0</v>
      </c>
      <c r="AJ63">
        <f t="shared" si="73"/>
        <v>0</v>
      </c>
      <c r="AK63">
        <v>42.66</v>
      </c>
      <c r="AL63">
        <v>3.71</v>
      </c>
      <c r="AM63">
        <v>0.85</v>
      </c>
      <c r="AN63">
        <v>0.2</v>
      </c>
      <c r="AO63">
        <v>38.1</v>
      </c>
      <c r="AP63">
        <v>0</v>
      </c>
      <c r="AQ63">
        <v>3.09</v>
      </c>
      <c r="AR63">
        <v>0</v>
      </c>
      <c r="AS63">
        <v>0</v>
      </c>
      <c r="AT63">
        <v>77</v>
      </c>
      <c r="AU63">
        <v>41</v>
      </c>
      <c r="AV63">
        <v>1</v>
      </c>
      <c r="AW63">
        <v>1</v>
      </c>
      <c r="AZ63">
        <v>1</v>
      </c>
      <c r="BA63">
        <v>21.69</v>
      </c>
      <c r="BB63">
        <v>9.11</v>
      </c>
      <c r="BC63">
        <v>5.41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2</v>
      </c>
      <c r="BJ63" t="s">
        <v>125</v>
      </c>
      <c r="BM63">
        <v>331</v>
      </c>
      <c r="BN63">
        <v>0</v>
      </c>
      <c r="BO63" t="s">
        <v>123</v>
      </c>
      <c r="BP63">
        <v>1</v>
      </c>
      <c r="BQ63">
        <v>40</v>
      </c>
      <c r="BR63">
        <v>0</v>
      </c>
      <c r="BS63">
        <v>21.69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77</v>
      </c>
      <c r="CA63">
        <v>41</v>
      </c>
      <c r="CE63">
        <v>0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4"/>
        <v>427.1</v>
      </c>
      <c r="CQ63">
        <f t="shared" si="75"/>
        <v>20.071100000000001</v>
      </c>
      <c r="CR63">
        <f t="shared" si="76"/>
        <v>7.7434999999999992</v>
      </c>
      <c r="CS63">
        <f t="shared" si="77"/>
        <v>4.3380000000000001</v>
      </c>
      <c r="CT63">
        <f t="shared" si="78"/>
        <v>826.38900000000012</v>
      </c>
      <c r="CU63">
        <f t="shared" si="79"/>
        <v>0</v>
      </c>
      <c r="CV63">
        <f t="shared" si="80"/>
        <v>3.09</v>
      </c>
      <c r="CW63">
        <f t="shared" si="81"/>
        <v>0</v>
      </c>
      <c r="CX63">
        <f t="shared" si="82"/>
        <v>0</v>
      </c>
      <c r="CY63">
        <f t="shared" si="83"/>
        <v>318.15629999999999</v>
      </c>
      <c r="CZ63">
        <f t="shared" si="84"/>
        <v>169.40789999999998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114</v>
      </c>
      <c r="DO63">
        <v>67</v>
      </c>
      <c r="DP63">
        <v>1.0469999999999999</v>
      </c>
      <c r="DQ63">
        <v>1</v>
      </c>
      <c r="DU63">
        <v>1003</v>
      </c>
      <c r="DV63" t="s">
        <v>64</v>
      </c>
      <c r="DW63" t="s">
        <v>64</v>
      </c>
      <c r="DX63">
        <v>100</v>
      </c>
      <c r="EE63">
        <v>21987683</v>
      </c>
      <c r="EF63">
        <v>40</v>
      </c>
      <c r="EG63" t="s">
        <v>19</v>
      </c>
      <c r="EH63">
        <v>0</v>
      </c>
      <c r="EI63" t="s">
        <v>3</v>
      </c>
      <c r="EJ63">
        <v>2</v>
      </c>
      <c r="EK63">
        <v>331</v>
      </c>
      <c r="EL63" t="s">
        <v>120</v>
      </c>
      <c r="EM63" t="s">
        <v>121</v>
      </c>
      <c r="EO63" t="s">
        <v>3</v>
      </c>
      <c r="EQ63">
        <v>131072</v>
      </c>
      <c r="ER63">
        <v>42.66</v>
      </c>
      <c r="ES63">
        <v>3.71</v>
      </c>
      <c r="ET63">
        <v>0.85</v>
      </c>
      <c r="EU63">
        <v>0.2</v>
      </c>
      <c r="EV63">
        <v>38.1</v>
      </c>
      <c r="EW63">
        <v>3.09</v>
      </c>
      <c r="EX63">
        <v>0</v>
      </c>
      <c r="EY63">
        <v>0</v>
      </c>
      <c r="FQ63">
        <v>0</v>
      </c>
      <c r="FR63">
        <f t="shared" si="85"/>
        <v>0</v>
      </c>
      <c r="FS63">
        <v>0</v>
      </c>
      <c r="FX63">
        <v>114</v>
      </c>
      <c r="FY63">
        <v>67</v>
      </c>
      <c r="GA63" t="s">
        <v>3</v>
      </c>
      <c r="GD63">
        <v>0</v>
      </c>
      <c r="GF63">
        <v>-103104656</v>
      </c>
      <c r="GG63">
        <v>2</v>
      </c>
      <c r="GH63">
        <v>1</v>
      </c>
      <c r="GI63">
        <v>2</v>
      </c>
      <c r="GJ63">
        <v>0</v>
      </c>
      <c r="GK63">
        <f>ROUND(R63*(S12)/100,2)</f>
        <v>3.41</v>
      </c>
      <c r="GL63">
        <f t="shared" si="86"/>
        <v>0</v>
      </c>
      <c r="GM63">
        <f>ROUND(O63+X63+Y63+GK63,2)+GX63</f>
        <v>918.08</v>
      </c>
      <c r="GN63">
        <f>IF(OR(BI63=0,BI63=1),ROUND(O63+X63+Y63+GK63,2),0)</f>
        <v>0</v>
      </c>
      <c r="GO63">
        <f>IF(BI63=2,ROUND(O63+X63+Y63+GK63,2),0)</f>
        <v>918.08</v>
      </c>
      <c r="GP63">
        <f>IF(BI63=4,ROUND(O63+X63+Y63+GK63,2)+GX63,0)</f>
        <v>0</v>
      </c>
      <c r="GR63">
        <v>0</v>
      </c>
      <c r="GS63">
        <v>3</v>
      </c>
      <c r="GT63">
        <v>0</v>
      </c>
      <c r="GU63" t="s">
        <v>3</v>
      </c>
      <c r="GV63">
        <f t="shared" si="87"/>
        <v>0</v>
      </c>
      <c r="GW63">
        <v>1</v>
      </c>
      <c r="GX63">
        <f t="shared" si="88"/>
        <v>0</v>
      </c>
      <c r="HA63">
        <v>0</v>
      </c>
      <c r="HB63">
        <v>0</v>
      </c>
      <c r="HC63">
        <f t="shared" si="89"/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ROW(SmtRes!A47)</f>
        <v>47</v>
      </c>
      <c r="D64" s="2">
        <f>ROW(EtalonRes!A53)</f>
        <v>53</v>
      </c>
      <c r="E64" s="2" t="s">
        <v>126</v>
      </c>
      <c r="F64" s="2" t="s">
        <v>127</v>
      </c>
      <c r="G64" s="2" t="s">
        <v>128</v>
      </c>
      <c r="H64" s="2" t="s">
        <v>64</v>
      </c>
      <c r="I64" s="2">
        <f>ROUND(1000/100,9)</f>
        <v>10</v>
      </c>
      <c r="J64" s="2">
        <v>0</v>
      </c>
      <c r="K64" s="2"/>
      <c r="L64" s="2"/>
      <c r="M64" s="2"/>
      <c r="N64" s="2"/>
      <c r="O64" s="2">
        <f t="shared" si="60"/>
        <v>2857.1</v>
      </c>
      <c r="P64" s="2">
        <f t="shared" si="61"/>
        <v>38.5</v>
      </c>
      <c r="Q64" s="2">
        <f t="shared" si="62"/>
        <v>2310.6</v>
      </c>
      <c r="R64" s="2">
        <f t="shared" si="63"/>
        <v>498.2</v>
      </c>
      <c r="S64" s="2">
        <f t="shared" si="64"/>
        <v>508</v>
      </c>
      <c r="T64" s="2">
        <f t="shared" si="65"/>
        <v>0</v>
      </c>
      <c r="U64" s="2">
        <f t="shared" si="66"/>
        <v>41.2</v>
      </c>
      <c r="V64" s="2">
        <f t="shared" si="67"/>
        <v>0</v>
      </c>
      <c r="W64" s="2">
        <f t="shared" si="68"/>
        <v>0</v>
      </c>
      <c r="X64" s="2">
        <f t="shared" si="69"/>
        <v>0</v>
      </c>
      <c r="Y64" s="2">
        <f t="shared" si="70"/>
        <v>0</v>
      </c>
      <c r="Z64" s="2"/>
      <c r="AA64" s="2">
        <v>55106055</v>
      </c>
      <c r="AB64" s="2">
        <f t="shared" si="71"/>
        <v>285.70999999999998</v>
      </c>
      <c r="AC64" s="2">
        <f t="shared" si="90"/>
        <v>3.85</v>
      </c>
      <c r="AD64" s="2">
        <f t="shared" si="47"/>
        <v>231.06</v>
      </c>
      <c r="AE64" s="2">
        <f t="shared" si="48"/>
        <v>49.82</v>
      </c>
      <c r="AF64" s="2">
        <f t="shared" si="49"/>
        <v>50.8</v>
      </c>
      <c r="AG64" s="2">
        <f t="shared" si="72"/>
        <v>0</v>
      </c>
      <c r="AH64" s="2">
        <f t="shared" si="50"/>
        <v>4.12</v>
      </c>
      <c r="AI64" s="2">
        <f t="shared" si="51"/>
        <v>0</v>
      </c>
      <c r="AJ64" s="2">
        <f t="shared" si="73"/>
        <v>0</v>
      </c>
      <c r="AK64" s="2">
        <v>285.70999999999998</v>
      </c>
      <c r="AL64" s="2">
        <v>3.85</v>
      </c>
      <c r="AM64" s="2">
        <v>231.06</v>
      </c>
      <c r="AN64" s="2">
        <v>49.82</v>
      </c>
      <c r="AO64" s="2">
        <v>50.8</v>
      </c>
      <c r="AP64" s="2">
        <v>0</v>
      </c>
      <c r="AQ64" s="2">
        <v>4.12</v>
      </c>
      <c r="AR64" s="2">
        <v>0</v>
      </c>
      <c r="AS64" s="2">
        <v>0</v>
      </c>
      <c r="AT64" s="2">
        <v>0</v>
      </c>
      <c r="AU64" s="2">
        <v>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3</v>
      </c>
      <c r="BE64" s="2" t="s">
        <v>3</v>
      </c>
      <c r="BF64" s="2" t="s">
        <v>3</v>
      </c>
      <c r="BG64" s="2" t="s">
        <v>3</v>
      </c>
      <c r="BH64" s="2">
        <v>0</v>
      </c>
      <c r="BI64" s="2">
        <v>2</v>
      </c>
      <c r="BJ64" s="2" t="s">
        <v>129</v>
      </c>
      <c r="BK64" s="2"/>
      <c r="BL64" s="2"/>
      <c r="BM64" s="2">
        <v>331</v>
      </c>
      <c r="BN64" s="2">
        <v>0</v>
      </c>
      <c r="BO64" s="2" t="s">
        <v>3</v>
      </c>
      <c r="BP64" s="2">
        <v>0</v>
      </c>
      <c r="BQ64" s="2">
        <v>40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3</v>
      </c>
      <c r="BZ64" s="2">
        <v>0</v>
      </c>
      <c r="CA64" s="2">
        <v>0</v>
      </c>
      <c r="CB64" s="2"/>
      <c r="CC64" s="2"/>
      <c r="CD64" s="2"/>
      <c r="CE64" s="2">
        <v>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</v>
      </c>
      <c r="CO64" s="2">
        <v>0</v>
      </c>
      <c r="CP64" s="2">
        <f t="shared" si="74"/>
        <v>2857.1</v>
      </c>
      <c r="CQ64" s="2">
        <f t="shared" si="75"/>
        <v>3.85</v>
      </c>
      <c r="CR64" s="2">
        <f t="shared" si="76"/>
        <v>231.06</v>
      </c>
      <c r="CS64" s="2">
        <f t="shared" si="77"/>
        <v>49.82</v>
      </c>
      <c r="CT64" s="2">
        <f t="shared" si="78"/>
        <v>50.8</v>
      </c>
      <c r="CU64" s="2">
        <f t="shared" si="79"/>
        <v>0</v>
      </c>
      <c r="CV64" s="2">
        <f t="shared" si="80"/>
        <v>4.12</v>
      </c>
      <c r="CW64" s="2">
        <f t="shared" si="81"/>
        <v>0</v>
      </c>
      <c r="CX64" s="2">
        <f t="shared" si="82"/>
        <v>0</v>
      </c>
      <c r="CY64" s="2">
        <f t="shared" si="83"/>
        <v>0</v>
      </c>
      <c r="CZ64" s="2">
        <f t="shared" si="84"/>
        <v>0</v>
      </c>
      <c r="DA64" s="2"/>
      <c r="DB64" s="2"/>
      <c r="DC64" s="2" t="s">
        <v>3</v>
      </c>
      <c r="DD64" s="2" t="s">
        <v>3</v>
      </c>
      <c r="DE64" s="2" t="s">
        <v>3</v>
      </c>
      <c r="DF64" s="2" t="s">
        <v>3</v>
      </c>
      <c r="DG64" s="2" t="s">
        <v>3</v>
      </c>
      <c r="DH64" s="2" t="s">
        <v>3</v>
      </c>
      <c r="DI64" s="2" t="s">
        <v>3</v>
      </c>
      <c r="DJ64" s="2" t="s">
        <v>3</v>
      </c>
      <c r="DK64" s="2" t="s">
        <v>3</v>
      </c>
      <c r="DL64" s="2" t="s">
        <v>3</v>
      </c>
      <c r="DM64" s="2" t="s">
        <v>3</v>
      </c>
      <c r="DN64" s="2">
        <v>114</v>
      </c>
      <c r="DO64" s="2">
        <v>67</v>
      </c>
      <c r="DP64" s="2">
        <v>1.0469999999999999</v>
      </c>
      <c r="DQ64" s="2">
        <v>1</v>
      </c>
      <c r="DR64" s="2"/>
      <c r="DS64" s="2"/>
      <c r="DT64" s="2"/>
      <c r="DU64" s="2">
        <v>1003</v>
      </c>
      <c r="DV64" s="2" t="s">
        <v>64</v>
      </c>
      <c r="DW64" s="2" t="s">
        <v>64</v>
      </c>
      <c r="DX64" s="2">
        <v>100</v>
      </c>
      <c r="DY64" s="2"/>
      <c r="DZ64" s="2"/>
      <c r="EA64" s="2"/>
      <c r="EB64" s="2"/>
      <c r="EC64" s="2"/>
      <c r="ED64" s="2"/>
      <c r="EE64" s="2">
        <v>21987683</v>
      </c>
      <c r="EF64" s="2">
        <v>40</v>
      </c>
      <c r="EG64" s="2" t="s">
        <v>19</v>
      </c>
      <c r="EH64" s="2">
        <v>0</v>
      </c>
      <c r="EI64" s="2" t="s">
        <v>3</v>
      </c>
      <c r="EJ64" s="2">
        <v>2</v>
      </c>
      <c r="EK64" s="2">
        <v>331</v>
      </c>
      <c r="EL64" s="2" t="s">
        <v>120</v>
      </c>
      <c r="EM64" s="2" t="s">
        <v>121</v>
      </c>
      <c r="EN64" s="2"/>
      <c r="EO64" s="2" t="s">
        <v>3</v>
      </c>
      <c r="EP64" s="2"/>
      <c r="EQ64" s="2">
        <v>131072</v>
      </c>
      <c r="ER64" s="2">
        <v>285.70999999999998</v>
      </c>
      <c r="ES64" s="2">
        <v>3.85</v>
      </c>
      <c r="ET64" s="2">
        <v>231.06</v>
      </c>
      <c r="EU64" s="2">
        <v>49.82</v>
      </c>
      <c r="EV64" s="2">
        <v>50.8</v>
      </c>
      <c r="EW64" s="2">
        <v>4.12</v>
      </c>
      <c r="EX64" s="2">
        <v>0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5"/>
        <v>0</v>
      </c>
      <c r="FS64" s="2">
        <v>0</v>
      </c>
      <c r="FT64" s="2"/>
      <c r="FU64" s="2"/>
      <c r="FV64" s="2"/>
      <c r="FW64" s="2"/>
      <c r="FX64" s="2">
        <v>114</v>
      </c>
      <c r="FY64" s="2">
        <v>67</v>
      </c>
      <c r="FZ64" s="2"/>
      <c r="GA64" s="2" t="s">
        <v>3</v>
      </c>
      <c r="GB64" s="2"/>
      <c r="GC64" s="2"/>
      <c r="GD64" s="2">
        <v>1</v>
      </c>
      <c r="GE64" s="2"/>
      <c r="GF64" s="2">
        <v>1422259547</v>
      </c>
      <c r="GG64" s="2">
        <v>2</v>
      </c>
      <c r="GH64" s="2">
        <v>1</v>
      </c>
      <c r="GI64" s="2">
        <v>-2</v>
      </c>
      <c r="GJ64" s="2">
        <v>0</v>
      </c>
      <c r="GK64" s="2">
        <v>0</v>
      </c>
      <c r="GL64" s="2">
        <f t="shared" si="86"/>
        <v>0</v>
      </c>
      <c r="GM64" s="2">
        <f>ROUND(O64+X64+Y64,2)+GX64</f>
        <v>2857.1</v>
      </c>
      <c r="GN64" s="2">
        <f>IF(OR(BI64=0,BI64=1),ROUND(O64+X64+Y64,2),0)</f>
        <v>0</v>
      </c>
      <c r="GO64" s="2">
        <f>IF(BI64=2,ROUND(O64+X64+Y64,2),0)</f>
        <v>2857.1</v>
      </c>
      <c r="GP64" s="2">
        <f>IF(BI64=4,ROUND(O64+X64+Y64,2)+GX64,0)</f>
        <v>0</v>
      </c>
      <c r="GQ64" s="2"/>
      <c r="GR64" s="2">
        <v>0</v>
      </c>
      <c r="GS64" s="2">
        <v>3</v>
      </c>
      <c r="GT64" s="2">
        <v>0</v>
      </c>
      <c r="GU64" s="2" t="s">
        <v>3</v>
      </c>
      <c r="GV64" s="2">
        <f t="shared" si="87"/>
        <v>0</v>
      </c>
      <c r="GW64" s="2">
        <v>1</v>
      </c>
      <c r="GX64" s="2">
        <f t="shared" si="88"/>
        <v>0</v>
      </c>
      <c r="GY64" s="2"/>
      <c r="GZ64" s="2"/>
      <c r="HA64" s="2">
        <v>0</v>
      </c>
      <c r="HB64" s="2">
        <v>0</v>
      </c>
      <c r="HC64" s="2">
        <f t="shared" si="89"/>
        <v>0</v>
      </c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ROW(SmtRes!A48)</f>
        <v>48</v>
      </c>
      <c r="D65">
        <f>ROW(EtalonRes!A54)</f>
        <v>54</v>
      </c>
      <c r="E65" t="s">
        <v>126</v>
      </c>
      <c r="F65" t="s">
        <v>127</v>
      </c>
      <c r="G65" t="s">
        <v>128</v>
      </c>
      <c r="H65" t="s">
        <v>64</v>
      </c>
      <c r="I65">
        <f>ROUND(1000/100,9)</f>
        <v>10</v>
      </c>
      <c r="J65">
        <v>0</v>
      </c>
      <c r="O65">
        <f t="shared" si="60"/>
        <v>31536.98</v>
      </c>
      <c r="P65">
        <f t="shared" si="61"/>
        <v>208.29</v>
      </c>
      <c r="Q65">
        <f t="shared" si="62"/>
        <v>20310.169999999998</v>
      </c>
      <c r="R65">
        <f t="shared" si="63"/>
        <v>10805.96</v>
      </c>
      <c r="S65">
        <f t="shared" si="64"/>
        <v>11018.52</v>
      </c>
      <c r="T65">
        <f t="shared" si="65"/>
        <v>0</v>
      </c>
      <c r="U65">
        <f t="shared" si="66"/>
        <v>41.2</v>
      </c>
      <c r="V65">
        <f t="shared" si="67"/>
        <v>0</v>
      </c>
      <c r="W65">
        <f t="shared" si="68"/>
        <v>0</v>
      </c>
      <c r="X65">
        <f t="shared" si="69"/>
        <v>8484.26</v>
      </c>
      <c r="Y65">
        <f t="shared" si="70"/>
        <v>4517.59</v>
      </c>
      <c r="AA65">
        <v>55106052</v>
      </c>
      <c r="AB65">
        <f t="shared" si="71"/>
        <v>285.70999999999998</v>
      </c>
      <c r="AC65">
        <f t="shared" si="90"/>
        <v>3.85</v>
      </c>
      <c r="AD65">
        <f t="shared" si="47"/>
        <v>231.06</v>
      </c>
      <c r="AE65">
        <f t="shared" si="48"/>
        <v>49.82</v>
      </c>
      <c r="AF65">
        <f t="shared" si="49"/>
        <v>50.8</v>
      </c>
      <c r="AG65">
        <f t="shared" si="72"/>
        <v>0</v>
      </c>
      <c r="AH65">
        <f t="shared" si="50"/>
        <v>4.12</v>
      </c>
      <c r="AI65">
        <f t="shared" si="51"/>
        <v>0</v>
      </c>
      <c r="AJ65">
        <f t="shared" si="73"/>
        <v>0</v>
      </c>
      <c r="AK65">
        <v>285.70999999999998</v>
      </c>
      <c r="AL65">
        <v>3.85</v>
      </c>
      <c r="AM65">
        <v>231.06</v>
      </c>
      <c r="AN65">
        <v>49.82</v>
      </c>
      <c r="AO65">
        <v>50.8</v>
      </c>
      <c r="AP65">
        <v>0</v>
      </c>
      <c r="AQ65">
        <v>4.12</v>
      </c>
      <c r="AR65">
        <v>0</v>
      </c>
      <c r="AS65">
        <v>0</v>
      </c>
      <c r="AT65">
        <v>77</v>
      </c>
      <c r="AU65">
        <v>41</v>
      </c>
      <c r="AV65">
        <v>1</v>
      </c>
      <c r="AW65">
        <v>1</v>
      </c>
      <c r="AZ65">
        <v>1</v>
      </c>
      <c r="BA65">
        <v>21.69</v>
      </c>
      <c r="BB65">
        <v>8.7899999999999991</v>
      </c>
      <c r="BC65">
        <v>5.41</v>
      </c>
      <c r="BD65" t="s">
        <v>3</v>
      </c>
      <c r="BE65" t="s">
        <v>3</v>
      </c>
      <c r="BF65" t="s">
        <v>3</v>
      </c>
      <c r="BG65" t="s">
        <v>3</v>
      </c>
      <c r="BH65">
        <v>0</v>
      </c>
      <c r="BI65">
        <v>2</v>
      </c>
      <c r="BJ65" t="s">
        <v>129</v>
      </c>
      <c r="BM65">
        <v>331</v>
      </c>
      <c r="BN65">
        <v>0</v>
      </c>
      <c r="BO65" t="s">
        <v>127</v>
      </c>
      <c r="BP65">
        <v>1</v>
      </c>
      <c r="BQ65">
        <v>40</v>
      </c>
      <c r="BR65">
        <v>0</v>
      </c>
      <c r="BS65">
        <v>21.69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77</v>
      </c>
      <c r="CA65">
        <v>41</v>
      </c>
      <c r="CE65">
        <v>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4"/>
        <v>31536.98</v>
      </c>
      <c r="CQ65">
        <f t="shared" si="75"/>
        <v>20.828500000000002</v>
      </c>
      <c r="CR65">
        <f t="shared" si="76"/>
        <v>2031.0173999999997</v>
      </c>
      <c r="CS65">
        <f t="shared" si="77"/>
        <v>1080.5958000000001</v>
      </c>
      <c r="CT65">
        <f t="shared" si="78"/>
        <v>1101.8520000000001</v>
      </c>
      <c r="CU65">
        <f t="shared" si="79"/>
        <v>0</v>
      </c>
      <c r="CV65">
        <f t="shared" si="80"/>
        <v>4.12</v>
      </c>
      <c r="CW65">
        <f t="shared" si="81"/>
        <v>0</v>
      </c>
      <c r="CX65">
        <f t="shared" si="82"/>
        <v>0</v>
      </c>
      <c r="CY65">
        <f t="shared" si="83"/>
        <v>8484.260400000001</v>
      </c>
      <c r="CZ65">
        <f t="shared" si="84"/>
        <v>4517.5932000000003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114</v>
      </c>
      <c r="DO65">
        <v>67</v>
      </c>
      <c r="DP65">
        <v>1.0469999999999999</v>
      </c>
      <c r="DQ65">
        <v>1</v>
      </c>
      <c r="DU65">
        <v>1003</v>
      </c>
      <c r="DV65" t="s">
        <v>64</v>
      </c>
      <c r="DW65" t="s">
        <v>64</v>
      </c>
      <c r="DX65">
        <v>100</v>
      </c>
      <c r="EE65">
        <v>21987683</v>
      </c>
      <c r="EF65">
        <v>40</v>
      </c>
      <c r="EG65" t="s">
        <v>19</v>
      </c>
      <c r="EH65">
        <v>0</v>
      </c>
      <c r="EI65" t="s">
        <v>3</v>
      </c>
      <c r="EJ65">
        <v>2</v>
      </c>
      <c r="EK65">
        <v>331</v>
      </c>
      <c r="EL65" t="s">
        <v>120</v>
      </c>
      <c r="EM65" t="s">
        <v>121</v>
      </c>
      <c r="EO65" t="s">
        <v>3</v>
      </c>
      <c r="EQ65">
        <v>131072</v>
      </c>
      <c r="ER65">
        <v>285.70999999999998</v>
      </c>
      <c r="ES65">
        <v>3.85</v>
      </c>
      <c r="ET65">
        <v>231.06</v>
      </c>
      <c r="EU65">
        <v>49.82</v>
      </c>
      <c r="EV65">
        <v>50.8</v>
      </c>
      <c r="EW65">
        <v>4.12</v>
      </c>
      <c r="EX65">
        <v>0</v>
      </c>
      <c r="EY65">
        <v>0</v>
      </c>
      <c r="FQ65">
        <v>0</v>
      </c>
      <c r="FR65">
        <f t="shared" si="85"/>
        <v>0</v>
      </c>
      <c r="FS65">
        <v>0</v>
      </c>
      <c r="FX65">
        <v>114</v>
      </c>
      <c r="FY65">
        <v>67</v>
      </c>
      <c r="GA65" t="s">
        <v>3</v>
      </c>
      <c r="GD65">
        <v>0</v>
      </c>
      <c r="GF65">
        <v>1422259547</v>
      </c>
      <c r="GG65">
        <v>2</v>
      </c>
      <c r="GH65">
        <v>1</v>
      </c>
      <c r="GI65">
        <v>2</v>
      </c>
      <c r="GJ65">
        <v>0</v>
      </c>
      <c r="GK65">
        <f>ROUND(R65*(S12)/100,2)</f>
        <v>16965.36</v>
      </c>
      <c r="GL65">
        <f t="shared" si="86"/>
        <v>0</v>
      </c>
      <c r="GM65">
        <f t="shared" ref="GM65:GM71" si="91">ROUND(O65+X65+Y65+GK65,2)+GX65</f>
        <v>61504.19</v>
      </c>
      <c r="GN65">
        <f t="shared" ref="GN65:GN71" si="92">IF(OR(BI65=0,BI65=1),ROUND(O65+X65+Y65+GK65,2),0)</f>
        <v>0</v>
      </c>
      <c r="GO65">
        <f t="shared" ref="GO65:GO71" si="93">IF(BI65=2,ROUND(O65+X65+Y65+GK65,2),0)</f>
        <v>61504.19</v>
      </c>
      <c r="GP65">
        <f t="shared" ref="GP65:GP71" si="94">IF(BI65=4,ROUND(O65+X65+Y65+GK65,2)+GX65,0)</f>
        <v>0</v>
      </c>
      <c r="GR65">
        <v>0</v>
      </c>
      <c r="GS65">
        <v>3</v>
      </c>
      <c r="GT65">
        <v>0</v>
      </c>
      <c r="GU65" t="s">
        <v>3</v>
      </c>
      <c r="GV65">
        <f t="shared" si="87"/>
        <v>0</v>
      </c>
      <c r="GW65">
        <v>1</v>
      </c>
      <c r="GX65">
        <f t="shared" si="88"/>
        <v>0</v>
      </c>
      <c r="HA65">
        <v>0</v>
      </c>
      <c r="HB65">
        <v>0</v>
      </c>
      <c r="HC65">
        <f t="shared" si="89"/>
        <v>0</v>
      </c>
      <c r="IK65">
        <v>0</v>
      </c>
    </row>
    <row r="66" spans="1:255" x14ac:dyDescent="0.2">
      <c r="A66" s="2">
        <v>17</v>
      </c>
      <c r="B66" s="2">
        <v>1</v>
      </c>
      <c r="C66" s="2"/>
      <c r="D66" s="2"/>
      <c r="E66" s="2" t="s">
        <v>130</v>
      </c>
      <c r="F66" s="2" t="s">
        <v>49</v>
      </c>
      <c r="G66" s="2" t="s">
        <v>131</v>
      </c>
      <c r="H66" s="2" t="s">
        <v>132</v>
      </c>
      <c r="I66" s="2">
        <v>510</v>
      </c>
      <c r="J66" s="2">
        <v>0</v>
      </c>
      <c r="K66" s="2"/>
      <c r="L66" s="2"/>
      <c r="M66" s="2"/>
      <c r="N66" s="2"/>
      <c r="O66" s="2">
        <f t="shared" si="60"/>
        <v>6359.7</v>
      </c>
      <c r="P66" s="2">
        <f t="shared" si="61"/>
        <v>6359.7</v>
      </c>
      <c r="Q66" s="2">
        <f t="shared" si="62"/>
        <v>0</v>
      </c>
      <c r="R66" s="2">
        <f t="shared" si="63"/>
        <v>0</v>
      </c>
      <c r="S66" s="2">
        <f t="shared" si="64"/>
        <v>0</v>
      </c>
      <c r="T66" s="2">
        <f t="shared" si="65"/>
        <v>0</v>
      </c>
      <c r="U66" s="2">
        <f t="shared" si="66"/>
        <v>0</v>
      </c>
      <c r="V66" s="2">
        <f t="shared" si="67"/>
        <v>0</v>
      </c>
      <c r="W66" s="2">
        <f t="shared" si="68"/>
        <v>0</v>
      </c>
      <c r="X66" s="2">
        <f t="shared" si="69"/>
        <v>0</v>
      </c>
      <c r="Y66" s="2">
        <f t="shared" si="70"/>
        <v>0</v>
      </c>
      <c r="Z66" s="2"/>
      <c r="AA66" s="2">
        <v>55106055</v>
      </c>
      <c r="AB66" s="2">
        <f t="shared" si="71"/>
        <v>12.47</v>
      </c>
      <c r="AC66" s="2">
        <f t="shared" si="90"/>
        <v>12.47</v>
      </c>
      <c r="AD66" s="2">
        <f t="shared" si="47"/>
        <v>0</v>
      </c>
      <c r="AE66" s="2">
        <f t="shared" si="48"/>
        <v>0</v>
      </c>
      <c r="AF66" s="2">
        <f t="shared" si="49"/>
        <v>0</v>
      </c>
      <c r="AG66" s="2">
        <f t="shared" si="72"/>
        <v>0</v>
      </c>
      <c r="AH66" s="2">
        <f t="shared" si="50"/>
        <v>0</v>
      </c>
      <c r="AI66" s="2">
        <f t="shared" si="51"/>
        <v>0</v>
      </c>
      <c r="AJ66" s="2">
        <f t="shared" si="73"/>
        <v>0</v>
      </c>
      <c r="AK66" s="2">
        <v>12.47</v>
      </c>
      <c r="AL66" s="2">
        <v>12.47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3</v>
      </c>
      <c r="BE66" s="2" t="s">
        <v>3</v>
      </c>
      <c r="BF66" s="2" t="s">
        <v>3</v>
      </c>
      <c r="BG66" s="2" t="s">
        <v>3</v>
      </c>
      <c r="BH66" s="2">
        <v>3</v>
      </c>
      <c r="BI66" s="2">
        <v>2</v>
      </c>
      <c r="BJ66" s="2" t="s">
        <v>3</v>
      </c>
      <c r="BK66" s="2"/>
      <c r="BL66" s="2"/>
      <c r="BM66" s="2">
        <v>400002</v>
      </c>
      <c r="BN66" s="2">
        <v>0</v>
      </c>
      <c r="BO66" s="2" t="s">
        <v>3</v>
      </c>
      <c r="BP66" s="2">
        <v>0</v>
      </c>
      <c r="BQ66" s="2">
        <v>202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3</v>
      </c>
      <c r="BZ66" s="2">
        <v>0</v>
      </c>
      <c r="CA66" s="2">
        <v>0</v>
      </c>
      <c r="CB66" s="2"/>
      <c r="CC66" s="2"/>
      <c r="CD66" s="2"/>
      <c r="CE66" s="2">
        <v>0</v>
      </c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3</v>
      </c>
      <c r="CO66" s="2">
        <v>0</v>
      </c>
      <c r="CP66" s="2">
        <f t="shared" si="74"/>
        <v>6359.7</v>
      </c>
      <c r="CQ66" s="2">
        <f t="shared" si="75"/>
        <v>12.47</v>
      </c>
      <c r="CR66" s="2">
        <f t="shared" si="76"/>
        <v>0</v>
      </c>
      <c r="CS66" s="2">
        <f t="shared" si="77"/>
        <v>0</v>
      </c>
      <c r="CT66" s="2">
        <f t="shared" si="78"/>
        <v>0</v>
      </c>
      <c r="CU66" s="2">
        <f t="shared" si="79"/>
        <v>0</v>
      </c>
      <c r="CV66" s="2">
        <f t="shared" si="80"/>
        <v>0</v>
      </c>
      <c r="CW66" s="2">
        <f t="shared" si="81"/>
        <v>0</v>
      </c>
      <c r="CX66" s="2">
        <f t="shared" si="82"/>
        <v>0</v>
      </c>
      <c r="CY66" s="2">
        <f t="shared" si="83"/>
        <v>0</v>
      </c>
      <c r="CZ66" s="2">
        <f t="shared" si="84"/>
        <v>0</v>
      </c>
      <c r="DA66" s="2"/>
      <c r="DB66" s="2"/>
      <c r="DC66" s="2" t="s">
        <v>3</v>
      </c>
      <c r="DD66" s="2" t="s">
        <v>3</v>
      </c>
      <c r="DE66" s="2" t="s">
        <v>3</v>
      </c>
      <c r="DF66" s="2" t="s">
        <v>3</v>
      </c>
      <c r="DG66" s="2" t="s">
        <v>3</v>
      </c>
      <c r="DH66" s="2" t="s">
        <v>3</v>
      </c>
      <c r="DI66" s="2" t="s">
        <v>3</v>
      </c>
      <c r="DJ66" s="2" t="s">
        <v>3</v>
      </c>
      <c r="DK66" s="2" t="s">
        <v>3</v>
      </c>
      <c r="DL66" s="2" t="s">
        <v>3</v>
      </c>
      <c r="DM66" s="2" t="s">
        <v>3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1013</v>
      </c>
      <c r="DV66" s="2" t="s">
        <v>132</v>
      </c>
      <c r="DW66" s="2" t="s">
        <v>132</v>
      </c>
      <c r="DX66" s="2">
        <v>1</v>
      </c>
      <c r="DY66" s="2"/>
      <c r="DZ66" s="2"/>
      <c r="EA66" s="2"/>
      <c r="EB66" s="2"/>
      <c r="EC66" s="2"/>
      <c r="ED66" s="2"/>
      <c r="EE66" s="2">
        <v>22047206</v>
      </c>
      <c r="EF66" s="2">
        <v>202</v>
      </c>
      <c r="EG66" s="2" t="s">
        <v>52</v>
      </c>
      <c r="EH66" s="2">
        <v>0</v>
      </c>
      <c r="EI66" s="2" t="s">
        <v>3</v>
      </c>
      <c r="EJ66" s="2">
        <v>1</v>
      </c>
      <c r="EK66" s="2">
        <v>400002</v>
      </c>
      <c r="EL66" s="2" t="s">
        <v>53</v>
      </c>
      <c r="EM66" s="2" t="s">
        <v>52</v>
      </c>
      <c r="EN66" s="2"/>
      <c r="EO66" s="2" t="s">
        <v>3</v>
      </c>
      <c r="EP66" s="2"/>
      <c r="EQ66" s="2">
        <v>131072</v>
      </c>
      <c r="ER66" s="2">
        <v>12.47</v>
      </c>
      <c r="ES66" s="2">
        <v>12.47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5"/>
        <v>0</v>
      </c>
      <c r="FS66" s="2">
        <v>0</v>
      </c>
      <c r="FT66" s="2"/>
      <c r="FU66" s="2"/>
      <c r="FV66" s="2"/>
      <c r="FW66" s="2"/>
      <c r="FX66" s="2">
        <v>0</v>
      </c>
      <c r="FY66" s="2">
        <v>0</v>
      </c>
      <c r="FZ66" s="2"/>
      <c r="GA66" s="2" t="s">
        <v>3</v>
      </c>
      <c r="GB66" s="2"/>
      <c r="GC66" s="2"/>
      <c r="GD66" s="2">
        <v>0</v>
      </c>
      <c r="GE66" s="2"/>
      <c r="GF66" s="2">
        <v>1696774418</v>
      </c>
      <c r="GG66" s="2">
        <v>2</v>
      </c>
      <c r="GH66" s="2">
        <v>0</v>
      </c>
      <c r="GI66" s="2">
        <v>-2</v>
      </c>
      <c r="GJ66" s="2">
        <v>0</v>
      </c>
      <c r="GK66" s="2">
        <f>ROUND(R66*(R12)/100,2)</f>
        <v>0</v>
      </c>
      <c r="GL66" s="2">
        <f t="shared" si="86"/>
        <v>0</v>
      </c>
      <c r="GM66" s="2">
        <f t="shared" si="91"/>
        <v>6359.7</v>
      </c>
      <c r="GN66" s="2">
        <f t="shared" si="92"/>
        <v>0</v>
      </c>
      <c r="GO66" s="2">
        <f t="shared" si="93"/>
        <v>6359.7</v>
      </c>
      <c r="GP66" s="2">
        <f t="shared" si="94"/>
        <v>0</v>
      </c>
      <c r="GQ66" s="2"/>
      <c r="GR66" s="2">
        <v>0</v>
      </c>
      <c r="GS66" s="2">
        <v>0</v>
      </c>
      <c r="GT66" s="2">
        <v>0</v>
      </c>
      <c r="GU66" s="2" t="s">
        <v>3</v>
      </c>
      <c r="GV66" s="2">
        <f t="shared" si="87"/>
        <v>0</v>
      </c>
      <c r="GW66" s="2">
        <v>1</v>
      </c>
      <c r="GX66" s="2">
        <f t="shared" si="88"/>
        <v>0</v>
      </c>
      <c r="GY66" s="2"/>
      <c r="GZ66" s="2"/>
      <c r="HA66" s="2">
        <v>0</v>
      </c>
      <c r="HB66" s="2">
        <v>0</v>
      </c>
      <c r="HC66" s="2">
        <f t="shared" si="89"/>
        <v>0</v>
      </c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E67" t="s">
        <v>130</v>
      </c>
      <c r="F67" t="s">
        <v>49</v>
      </c>
      <c r="G67" t="s">
        <v>131</v>
      </c>
      <c r="H67" t="s">
        <v>132</v>
      </c>
      <c r="I67">
        <v>510</v>
      </c>
      <c r="J67">
        <v>0</v>
      </c>
      <c r="O67">
        <f t="shared" si="60"/>
        <v>34102.480000000003</v>
      </c>
      <c r="P67">
        <f t="shared" si="61"/>
        <v>34102.480000000003</v>
      </c>
      <c r="Q67">
        <f t="shared" si="62"/>
        <v>0</v>
      </c>
      <c r="R67">
        <f t="shared" si="63"/>
        <v>0</v>
      </c>
      <c r="S67">
        <f t="shared" si="64"/>
        <v>0</v>
      </c>
      <c r="T67">
        <f t="shared" si="65"/>
        <v>0</v>
      </c>
      <c r="U67">
        <f t="shared" si="66"/>
        <v>0</v>
      </c>
      <c r="V67">
        <f t="shared" si="67"/>
        <v>0</v>
      </c>
      <c r="W67">
        <f t="shared" si="68"/>
        <v>0</v>
      </c>
      <c r="X67">
        <f t="shared" si="69"/>
        <v>0</v>
      </c>
      <c r="Y67">
        <f t="shared" si="70"/>
        <v>0</v>
      </c>
      <c r="AA67">
        <v>55106052</v>
      </c>
      <c r="AB67">
        <f t="shared" si="71"/>
        <v>12.36</v>
      </c>
      <c r="AC67">
        <f t="shared" si="90"/>
        <v>12.36</v>
      </c>
      <c r="AD67">
        <f t="shared" si="47"/>
        <v>0</v>
      </c>
      <c r="AE67">
        <f t="shared" si="48"/>
        <v>0</v>
      </c>
      <c r="AF67">
        <f t="shared" si="49"/>
        <v>0</v>
      </c>
      <c r="AG67">
        <f t="shared" si="72"/>
        <v>0</v>
      </c>
      <c r="AH67">
        <f t="shared" si="50"/>
        <v>0</v>
      </c>
      <c r="AI67">
        <f t="shared" si="51"/>
        <v>0</v>
      </c>
      <c r="AJ67">
        <f t="shared" si="73"/>
        <v>0</v>
      </c>
      <c r="AK67">
        <v>12.36</v>
      </c>
      <c r="AL67">
        <v>12.36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1</v>
      </c>
      <c r="AW67">
        <v>1</v>
      </c>
      <c r="AZ67">
        <v>1</v>
      </c>
      <c r="BA67">
        <v>1</v>
      </c>
      <c r="BB67">
        <v>1</v>
      </c>
      <c r="BC67">
        <v>5.41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2</v>
      </c>
      <c r="BJ67" t="s">
        <v>3</v>
      </c>
      <c r="BM67">
        <v>400002</v>
      </c>
      <c r="BN67">
        <v>0</v>
      </c>
      <c r="BO67" t="s">
        <v>3</v>
      </c>
      <c r="BP67">
        <v>0</v>
      </c>
      <c r="BQ67">
        <v>202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0</v>
      </c>
      <c r="CA67">
        <v>0</v>
      </c>
      <c r="CE67">
        <v>0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4"/>
        <v>34102.480000000003</v>
      </c>
      <c r="CQ67">
        <f t="shared" si="75"/>
        <v>66.867599999999996</v>
      </c>
      <c r="CR67">
        <f t="shared" si="76"/>
        <v>0</v>
      </c>
      <c r="CS67">
        <f t="shared" si="77"/>
        <v>0</v>
      </c>
      <c r="CT67">
        <f t="shared" si="78"/>
        <v>0</v>
      </c>
      <c r="CU67">
        <f t="shared" si="79"/>
        <v>0</v>
      </c>
      <c r="CV67">
        <f t="shared" si="80"/>
        <v>0</v>
      </c>
      <c r="CW67">
        <f t="shared" si="81"/>
        <v>0</v>
      </c>
      <c r="CX67">
        <f t="shared" si="82"/>
        <v>0</v>
      </c>
      <c r="CY67">
        <f t="shared" si="83"/>
        <v>0</v>
      </c>
      <c r="CZ67">
        <f t="shared" si="84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132</v>
      </c>
      <c r="DW67" t="s">
        <v>132</v>
      </c>
      <c r="DX67">
        <v>1</v>
      </c>
      <c r="EE67">
        <v>22047206</v>
      </c>
      <c r="EF67">
        <v>202</v>
      </c>
      <c r="EG67" t="s">
        <v>52</v>
      </c>
      <c r="EH67">
        <v>0</v>
      </c>
      <c r="EI67" t="s">
        <v>3</v>
      </c>
      <c r="EJ67">
        <v>1</v>
      </c>
      <c r="EK67">
        <v>400002</v>
      </c>
      <c r="EL67" t="s">
        <v>53</v>
      </c>
      <c r="EM67" t="s">
        <v>52</v>
      </c>
      <c r="EO67" t="s">
        <v>3</v>
      </c>
      <c r="EQ67">
        <v>131072</v>
      </c>
      <c r="ER67">
        <v>12.47</v>
      </c>
      <c r="ES67">
        <v>12.36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5</v>
      </c>
      <c r="FC67">
        <v>1</v>
      </c>
      <c r="FD67">
        <v>18</v>
      </c>
      <c r="FF67">
        <v>78.680000000000007</v>
      </c>
      <c r="FQ67">
        <v>0</v>
      </c>
      <c r="FR67">
        <f t="shared" si="85"/>
        <v>0</v>
      </c>
      <c r="FS67">
        <v>0</v>
      </c>
      <c r="FX67">
        <v>0</v>
      </c>
      <c r="FY67">
        <v>0</v>
      </c>
      <c r="GA67" t="s">
        <v>133</v>
      </c>
      <c r="GD67">
        <v>0</v>
      </c>
      <c r="GF67">
        <v>1696774418</v>
      </c>
      <c r="GG67">
        <v>2</v>
      </c>
      <c r="GH67">
        <v>3</v>
      </c>
      <c r="GI67">
        <v>5</v>
      </c>
      <c r="GJ67">
        <v>0</v>
      </c>
      <c r="GK67">
        <f>ROUND(R67*(S12)/100,2)</f>
        <v>0</v>
      </c>
      <c r="GL67">
        <f t="shared" si="86"/>
        <v>0</v>
      </c>
      <c r="GM67">
        <f t="shared" si="91"/>
        <v>34102.480000000003</v>
      </c>
      <c r="GN67">
        <f t="shared" si="92"/>
        <v>0</v>
      </c>
      <c r="GO67">
        <f t="shared" si="93"/>
        <v>34102.480000000003</v>
      </c>
      <c r="GP67">
        <f t="shared" si="94"/>
        <v>0</v>
      </c>
      <c r="GR67">
        <v>1</v>
      </c>
      <c r="GS67">
        <v>1</v>
      </c>
      <c r="GT67">
        <v>0</v>
      </c>
      <c r="GU67" t="s">
        <v>3</v>
      </c>
      <c r="GV67">
        <f t="shared" si="87"/>
        <v>0</v>
      </c>
      <c r="GW67">
        <v>1</v>
      </c>
      <c r="GX67">
        <f t="shared" si="88"/>
        <v>0</v>
      </c>
      <c r="HA67">
        <v>0</v>
      </c>
      <c r="HB67">
        <v>0</v>
      </c>
      <c r="HC67">
        <f t="shared" si="89"/>
        <v>0</v>
      </c>
      <c r="IK67">
        <v>0</v>
      </c>
    </row>
    <row r="68" spans="1:255" x14ac:dyDescent="0.2">
      <c r="A68" s="2">
        <v>17</v>
      </c>
      <c r="B68" s="2">
        <v>1</v>
      </c>
      <c r="C68" s="2"/>
      <c r="D68" s="2"/>
      <c r="E68" s="2" t="s">
        <v>134</v>
      </c>
      <c r="F68" s="2" t="s">
        <v>49</v>
      </c>
      <c r="G68" s="2" t="s">
        <v>135</v>
      </c>
      <c r="H68" s="2" t="s">
        <v>132</v>
      </c>
      <c r="I68" s="2">
        <v>510</v>
      </c>
      <c r="J68" s="2">
        <v>0</v>
      </c>
      <c r="K68" s="2"/>
      <c r="L68" s="2"/>
      <c r="M68" s="2"/>
      <c r="N68" s="2"/>
      <c r="O68" s="2">
        <f t="shared" si="60"/>
        <v>3978</v>
      </c>
      <c r="P68" s="2">
        <f t="shared" si="61"/>
        <v>3978</v>
      </c>
      <c r="Q68" s="2">
        <f t="shared" si="62"/>
        <v>0</v>
      </c>
      <c r="R68" s="2">
        <f t="shared" si="63"/>
        <v>0</v>
      </c>
      <c r="S68" s="2">
        <f t="shared" si="64"/>
        <v>0</v>
      </c>
      <c r="T68" s="2">
        <f t="shared" si="65"/>
        <v>0</v>
      </c>
      <c r="U68" s="2">
        <f t="shared" si="66"/>
        <v>0</v>
      </c>
      <c r="V68" s="2">
        <f t="shared" si="67"/>
        <v>0</v>
      </c>
      <c r="W68" s="2">
        <f t="shared" si="68"/>
        <v>0</v>
      </c>
      <c r="X68" s="2">
        <f t="shared" si="69"/>
        <v>0</v>
      </c>
      <c r="Y68" s="2">
        <f t="shared" si="70"/>
        <v>0</v>
      </c>
      <c r="Z68" s="2"/>
      <c r="AA68" s="2">
        <v>55106055</v>
      </c>
      <c r="AB68" s="2">
        <f t="shared" si="71"/>
        <v>7.8</v>
      </c>
      <c r="AC68" s="2">
        <f t="shared" si="90"/>
        <v>7.8</v>
      </c>
      <c r="AD68" s="2">
        <f t="shared" si="47"/>
        <v>0</v>
      </c>
      <c r="AE68" s="2">
        <f t="shared" si="48"/>
        <v>0</v>
      </c>
      <c r="AF68" s="2">
        <f t="shared" si="49"/>
        <v>0</v>
      </c>
      <c r="AG68" s="2">
        <f t="shared" si="72"/>
        <v>0</v>
      </c>
      <c r="AH68" s="2">
        <f t="shared" si="50"/>
        <v>0</v>
      </c>
      <c r="AI68" s="2">
        <f t="shared" si="51"/>
        <v>0</v>
      </c>
      <c r="AJ68" s="2">
        <f t="shared" si="73"/>
        <v>0</v>
      </c>
      <c r="AK68" s="2">
        <v>7.8000000000000007</v>
      </c>
      <c r="AL68" s="2">
        <v>7.8000000000000007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3</v>
      </c>
      <c r="BE68" s="2" t="s">
        <v>3</v>
      </c>
      <c r="BF68" s="2" t="s">
        <v>3</v>
      </c>
      <c r="BG68" s="2" t="s">
        <v>3</v>
      </c>
      <c r="BH68" s="2">
        <v>3</v>
      </c>
      <c r="BI68" s="2">
        <v>2</v>
      </c>
      <c r="BJ68" s="2" t="s">
        <v>3</v>
      </c>
      <c r="BK68" s="2"/>
      <c r="BL68" s="2"/>
      <c r="BM68" s="2">
        <v>400002</v>
      </c>
      <c r="BN68" s="2">
        <v>0</v>
      </c>
      <c r="BO68" s="2" t="s">
        <v>3</v>
      </c>
      <c r="BP68" s="2">
        <v>0</v>
      </c>
      <c r="BQ68" s="2">
        <v>202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3</v>
      </c>
      <c r="BZ68" s="2">
        <v>0</v>
      </c>
      <c r="CA68" s="2">
        <v>0</v>
      </c>
      <c r="CB68" s="2"/>
      <c r="CC68" s="2"/>
      <c r="CD68" s="2"/>
      <c r="CE68" s="2">
        <v>0</v>
      </c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3</v>
      </c>
      <c r="CO68" s="2">
        <v>0</v>
      </c>
      <c r="CP68" s="2">
        <f t="shared" si="74"/>
        <v>3978</v>
      </c>
      <c r="CQ68" s="2">
        <f t="shared" si="75"/>
        <v>7.8</v>
      </c>
      <c r="CR68" s="2">
        <f t="shared" si="76"/>
        <v>0</v>
      </c>
      <c r="CS68" s="2">
        <f t="shared" si="77"/>
        <v>0</v>
      </c>
      <c r="CT68" s="2">
        <f t="shared" si="78"/>
        <v>0</v>
      </c>
      <c r="CU68" s="2">
        <f t="shared" si="79"/>
        <v>0</v>
      </c>
      <c r="CV68" s="2">
        <f t="shared" si="80"/>
        <v>0</v>
      </c>
      <c r="CW68" s="2">
        <f t="shared" si="81"/>
        <v>0</v>
      </c>
      <c r="CX68" s="2">
        <f t="shared" si="82"/>
        <v>0</v>
      </c>
      <c r="CY68" s="2">
        <f t="shared" si="83"/>
        <v>0</v>
      </c>
      <c r="CZ68" s="2">
        <f t="shared" si="84"/>
        <v>0</v>
      </c>
      <c r="DA68" s="2"/>
      <c r="DB68" s="2"/>
      <c r="DC68" s="2" t="s">
        <v>3</v>
      </c>
      <c r="DD68" s="2" t="s">
        <v>3</v>
      </c>
      <c r="DE68" s="2" t="s">
        <v>3</v>
      </c>
      <c r="DF68" s="2" t="s">
        <v>3</v>
      </c>
      <c r="DG68" s="2" t="s">
        <v>3</v>
      </c>
      <c r="DH68" s="2" t="s">
        <v>3</v>
      </c>
      <c r="DI68" s="2" t="s">
        <v>3</v>
      </c>
      <c r="DJ68" s="2" t="s">
        <v>3</v>
      </c>
      <c r="DK68" s="2" t="s">
        <v>3</v>
      </c>
      <c r="DL68" s="2" t="s">
        <v>3</v>
      </c>
      <c r="DM68" s="2" t="s">
        <v>3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1013</v>
      </c>
      <c r="DV68" s="2" t="s">
        <v>132</v>
      </c>
      <c r="DW68" s="2" t="s">
        <v>132</v>
      </c>
      <c r="DX68" s="2">
        <v>1</v>
      </c>
      <c r="DY68" s="2"/>
      <c r="DZ68" s="2"/>
      <c r="EA68" s="2"/>
      <c r="EB68" s="2"/>
      <c r="EC68" s="2"/>
      <c r="ED68" s="2"/>
      <c r="EE68" s="2">
        <v>22047206</v>
      </c>
      <c r="EF68" s="2">
        <v>202</v>
      </c>
      <c r="EG68" s="2" t="s">
        <v>52</v>
      </c>
      <c r="EH68" s="2">
        <v>0</v>
      </c>
      <c r="EI68" s="2" t="s">
        <v>3</v>
      </c>
      <c r="EJ68" s="2">
        <v>1</v>
      </c>
      <c r="EK68" s="2">
        <v>400002</v>
      </c>
      <c r="EL68" s="2" t="s">
        <v>53</v>
      </c>
      <c r="EM68" s="2" t="s">
        <v>52</v>
      </c>
      <c r="EN68" s="2"/>
      <c r="EO68" s="2" t="s">
        <v>3</v>
      </c>
      <c r="EP68" s="2"/>
      <c r="EQ68" s="2">
        <v>131072</v>
      </c>
      <c r="ER68" s="2">
        <v>7.8000000000000007</v>
      </c>
      <c r="ES68" s="2">
        <v>7.8000000000000007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5"/>
        <v>0</v>
      </c>
      <c r="FS68" s="2">
        <v>0</v>
      </c>
      <c r="FT68" s="2"/>
      <c r="FU68" s="2"/>
      <c r="FV68" s="2"/>
      <c r="FW68" s="2"/>
      <c r="FX68" s="2">
        <v>0</v>
      </c>
      <c r="FY68" s="2">
        <v>0</v>
      </c>
      <c r="FZ68" s="2"/>
      <c r="GA68" s="2" t="s">
        <v>3</v>
      </c>
      <c r="GB68" s="2"/>
      <c r="GC68" s="2"/>
      <c r="GD68" s="2">
        <v>0</v>
      </c>
      <c r="GE68" s="2"/>
      <c r="GF68" s="2">
        <v>926290351</v>
      </c>
      <c r="GG68" s="2">
        <v>2</v>
      </c>
      <c r="GH68" s="2">
        <v>0</v>
      </c>
      <c r="GI68" s="2">
        <v>-2</v>
      </c>
      <c r="GJ68" s="2">
        <v>0</v>
      </c>
      <c r="GK68" s="2">
        <f>ROUND(R68*(R12)/100,2)</f>
        <v>0</v>
      </c>
      <c r="GL68" s="2">
        <f t="shared" si="86"/>
        <v>0</v>
      </c>
      <c r="GM68" s="2">
        <f t="shared" si="91"/>
        <v>3978</v>
      </c>
      <c r="GN68" s="2">
        <f t="shared" si="92"/>
        <v>0</v>
      </c>
      <c r="GO68" s="2">
        <f t="shared" si="93"/>
        <v>3978</v>
      </c>
      <c r="GP68" s="2">
        <f t="shared" si="94"/>
        <v>0</v>
      </c>
      <c r="GQ68" s="2"/>
      <c r="GR68" s="2">
        <v>0</v>
      </c>
      <c r="GS68" s="2">
        <v>0</v>
      </c>
      <c r="GT68" s="2">
        <v>0</v>
      </c>
      <c r="GU68" s="2" t="s">
        <v>3</v>
      </c>
      <c r="GV68" s="2">
        <f t="shared" si="87"/>
        <v>0</v>
      </c>
      <c r="GW68" s="2">
        <v>1</v>
      </c>
      <c r="GX68" s="2">
        <f t="shared" si="88"/>
        <v>0</v>
      </c>
      <c r="GY68" s="2"/>
      <c r="GZ68" s="2"/>
      <c r="HA68" s="2">
        <v>0</v>
      </c>
      <c r="HB68" s="2">
        <v>0</v>
      </c>
      <c r="HC68" s="2">
        <f t="shared" si="89"/>
        <v>0</v>
      </c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E69" t="s">
        <v>134</v>
      </c>
      <c r="F69" t="s">
        <v>49</v>
      </c>
      <c r="G69" t="s">
        <v>135</v>
      </c>
      <c r="H69" t="s">
        <v>132</v>
      </c>
      <c r="I69">
        <v>510</v>
      </c>
      <c r="J69">
        <v>0</v>
      </c>
      <c r="O69">
        <f t="shared" si="60"/>
        <v>21327.84</v>
      </c>
      <c r="P69">
        <f t="shared" si="61"/>
        <v>21327.84</v>
      </c>
      <c r="Q69">
        <f t="shared" si="62"/>
        <v>0</v>
      </c>
      <c r="R69">
        <f t="shared" si="63"/>
        <v>0</v>
      </c>
      <c r="S69">
        <f t="shared" si="64"/>
        <v>0</v>
      </c>
      <c r="T69">
        <f t="shared" si="65"/>
        <v>0</v>
      </c>
      <c r="U69">
        <f t="shared" si="66"/>
        <v>0</v>
      </c>
      <c r="V69">
        <f t="shared" si="67"/>
        <v>0</v>
      </c>
      <c r="W69">
        <f t="shared" si="68"/>
        <v>0</v>
      </c>
      <c r="X69">
        <f t="shared" si="69"/>
        <v>0</v>
      </c>
      <c r="Y69">
        <f t="shared" si="70"/>
        <v>0</v>
      </c>
      <c r="AA69">
        <v>55106052</v>
      </c>
      <c r="AB69">
        <f t="shared" si="71"/>
        <v>7.73</v>
      </c>
      <c r="AC69">
        <f t="shared" si="90"/>
        <v>7.73</v>
      </c>
      <c r="AD69">
        <f t="shared" si="47"/>
        <v>0</v>
      </c>
      <c r="AE69">
        <f t="shared" si="48"/>
        <v>0</v>
      </c>
      <c r="AF69">
        <f t="shared" si="49"/>
        <v>0</v>
      </c>
      <c r="AG69">
        <f t="shared" si="72"/>
        <v>0</v>
      </c>
      <c r="AH69">
        <f t="shared" si="50"/>
        <v>0</v>
      </c>
      <c r="AI69">
        <f t="shared" si="51"/>
        <v>0</v>
      </c>
      <c r="AJ69">
        <f t="shared" si="73"/>
        <v>0</v>
      </c>
      <c r="AK69">
        <v>7.73</v>
      </c>
      <c r="AL69">
        <v>7.73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1</v>
      </c>
      <c r="AW69">
        <v>1</v>
      </c>
      <c r="AZ69">
        <v>1</v>
      </c>
      <c r="BA69">
        <v>1</v>
      </c>
      <c r="BB69">
        <v>1</v>
      </c>
      <c r="BC69">
        <v>5.41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2</v>
      </c>
      <c r="BJ69" t="s">
        <v>3</v>
      </c>
      <c r="BM69">
        <v>400002</v>
      </c>
      <c r="BN69">
        <v>0</v>
      </c>
      <c r="BO69" t="s">
        <v>3</v>
      </c>
      <c r="BP69">
        <v>0</v>
      </c>
      <c r="BQ69">
        <v>202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0</v>
      </c>
      <c r="CA69">
        <v>0</v>
      </c>
      <c r="CE69">
        <v>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4"/>
        <v>21327.84</v>
      </c>
      <c r="CQ69">
        <f t="shared" si="75"/>
        <v>41.819300000000005</v>
      </c>
      <c r="CR69">
        <f t="shared" si="76"/>
        <v>0</v>
      </c>
      <c r="CS69">
        <f t="shared" si="77"/>
        <v>0</v>
      </c>
      <c r="CT69">
        <f t="shared" si="78"/>
        <v>0</v>
      </c>
      <c r="CU69">
        <f t="shared" si="79"/>
        <v>0</v>
      </c>
      <c r="CV69">
        <f t="shared" si="80"/>
        <v>0</v>
      </c>
      <c r="CW69">
        <f t="shared" si="81"/>
        <v>0</v>
      </c>
      <c r="CX69">
        <f t="shared" si="82"/>
        <v>0</v>
      </c>
      <c r="CY69">
        <f t="shared" si="83"/>
        <v>0</v>
      </c>
      <c r="CZ69">
        <f t="shared" si="84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132</v>
      </c>
      <c r="DW69" t="s">
        <v>132</v>
      </c>
      <c r="DX69">
        <v>1</v>
      </c>
      <c r="EE69">
        <v>22047206</v>
      </c>
      <c r="EF69">
        <v>202</v>
      </c>
      <c r="EG69" t="s">
        <v>52</v>
      </c>
      <c r="EH69">
        <v>0</v>
      </c>
      <c r="EI69" t="s">
        <v>3</v>
      </c>
      <c r="EJ69">
        <v>1</v>
      </c>
      <c r="EK69">
        <v>400002</v>
      </c>
      <c r="EL69" t="s">
        <v>53</v>
      </c>
      <c r="EM69" t="s">
        <v>52</v>
      </c>
      <c r="EO69" t="s">
        <v>3</v>
      </c>
      <c r="EQ69">
        <v>131072</v>
      </c>
      <c r="ER69">
        <v>7.8000000000000007</v>
      </c>
      <c r="ES69">
        <v>7.73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5</v>
      </c>
      <c r="FC69">
        <v>1</v>
      </c>
      <c r="FD69">
        <v>18</v>
      </c>
      <c r="FF69">
        <v>49.22</v>
      </c>
      <c r="FQ69">
        <v>0</v>
      </c>
      <c r="FR69">
        <f t="shared" si="85"/>
        <v>0</v>
      </c>
      <c r="FS69">
        <v>0</v>
      </c>
      <c r="FX69">
        <v>0</v>
      </c>
      <c r="FY69">
        <v>0</v>
      </c>
      <c r="GA69" t="s">
        <v>136</v>
      </c>
      <c r="GD69">
        <v>0</v>
      </c>
      <c r="GF69">
        <v>926290351</v>
      </c>
      <c r="GG69">
        <v>2</v>
      </c>
      <c r="GH69">
        <v>3</v>
      </c>
      <c r="GI69">
        <v>5</v>
      </c>
      <c r="GJ69">
        <v>0</v>
      </c>
      <c r="GK69">
        <f>ROUND(R69*(S12)/100,2)</f>
        <v>0</v>
      </c>
      <c r="GL69">
        <f t="shared" si="86"/>
        <v>0</v>
      </c>
      <c r="GM69">
        <f t="shared" si="91"/>
        <v>21327.84</v>
      </c>
      <c r="GN69">
        <f t="shared" si="92"/>
        <v>0</v>
      </c>
      <c r="GO69">
        <f t="shared" si="93"/>
        <v>21327.84</v>
      </c>
      <c r="GP69">
        <f t="shared" si="94"/>
        <v>0</v>
      </c>
      <c r="GR69">
        <v>1</v>
      </c>
      <c r="GS69">
        <v>1</v>
      </c>
      <c r="GT69">
        <v>0</v>
      </c>
      <c r="GU69" t="s">
        <v>3</v>
      </c>
      <c r="GV69">
        <f t="shared" si="87"/>
        <v>0</v>
      </c>
      <c r="GW69">
        <v>1</v>
      </c>
      <c r="GX69">
        <f t="shared" si="88"/>
        <v>0</v>
      </c>
      <c r="HA69">
        <v>0</v>
      </c>
      <c r="HB69">
        <v>0</v>
      </c>
      <c r="HC69">
        <f t="shared" si="89"/>
        <v>0</v>
      </c>
      <c r="IK69">
        <v>0</v>
      </c>
    </row>
    <row r="70" spans="1:255" x14ac:dyDescent="0.2">
      <c r="A70" s="2">
        <v>17</v>
      </c>
      <c r="B70" s="2">
        <v>1</v>
      </c>
      <c r="C70" s="2"/>
      <c r="D70" s="2"/>
      <c r="E70" s="2" t="s">
        <v>137</v>
      </c>
      <c r="F70" s="2" t="s">
        <v>138</v>
      </c>
      <c r="G70" s="2" t="s">
        <v>139</v>
      </c>
      <c r="H70" s="2" t="s">
        <v>140</v>
      </c>
      <c r="I70" s="2">
        <v>0.11</v>
      </c>
      <c r="J70" s="2">
        <v>0</v>
      </c>
      <c r="K70" s="2"/>
      <c r="L70" s="2"/>
      <c r="M70" s="2"/>
      <c r="N70" s="2"/>
      <c r="O70" s="2">
        <f t="shared" si="60"/>
        <v>442.26</v>
      </c>
      <c r="P70" s="2">
        <f t="shared" si="61"/>
        <v>442.26</v>
      </c>
      <c r="Q70" s="2">
        <f t="shared" si="62"/>
        <v>0</v>
      </c>
      <c r="R70" s="2">
        <f t="shared" si="63"/>
        <v>0</v>
      </c>
      <c r="S70" s="2">
        <f t="shared" si="64"/>
        <v>0</v>
      </c>
      <c r="T70" s="2">
        <f t="shared" si="65"/>
        <v>0</v>
      </c>
      <c r="U70" s="2">
        <f t="shared" si="66"/>
        <v>0</v>
      </c>
      <c r="V70" s="2">
        <f t="shared" si="67"/>
        <v>0</v>
      </c>
      <c r="W70" s="2">
        <f t="shared" si="68"/>
        <v>0</v>
      </c>
      <c r="X70" s="2">
        <f t="shared" si="69"/>
        <v>0</v>
      </c>
      <c r="Y70" s="2">
        <f t="shared" si="70"/>
        <v>0</v>
      </c>
      <c r="Z70" s="2"/>
      <c r="AA70" s="2">
        <v>55106055</v>
      </c>
      <c r="AB70" s="2">
        <f t="shared" si="71"/>
        <v>4020.51</v>
      </c>
      <c r="AC70" s="2">
        <f t="shared" si="90"/>
        <v>4020.51</v>
      </c>
      <c r="AD70" s="2">
        <f t="shared" si="47"/>
        <v>0</v>
      </c>
      <c r="AE70" s="2">
        <f t="shared" si="48"/>
        <v>0</v>
      </c>
      <c r="AF70" s="2">
        <f t="shared" si="49"/>
        <v>0</v>
      </c>
      <c r="AG70" s="2">
        <f t="shared" si="72"/>
        <v>0</v>
      </c>
      <c r="AH70" s="2">
        <f t="shared" si="50"/>
        <v>0</v>
      </c>
      <c r="AI70" s="2">
        <f t="shared" si="51"/>
        <v>0</v>
      </c>
      <c r="AJ70" s="2">
        <f t="shared" si="73"/>
        <v>0</v>
      </c>
      <c r="AK70" s="2">
        <v>4020.51</v>
      </c>
      <c r="AL70" s="2">
        <v>4020.51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3</v>
      </c>
      <c r="BE70" s="2" t="s">
        <v>3</v>
      </c>
      <c r="BF70" s="2" t="s">
        <v>3</v>
      </c>
      <c r="BG70" s="2" t="s">
        <v>3</v>
      </c>
      <c r="BH70" s="2">
        <v>3</v>
      </c>
      <c r="BI70" s="2">
        <v>2</v>
      </c>
      <c r="BJ70" s="2" t="s">
        <v>141</v>
      </c>
      <c r="BK70" s="2"/>
      <c r="BL70" s="2"/>
      <c r="BM70" s="2">
        <v>1618</v>
      </c>
      <c r="BN70" s="2">
        <v>0</v>
      </c>
      <c r="BO70" s="2" t="s">
        <v>3</v>
      </c>
      <c r="BP70" s="2">
        <v>0</v>
      </c>
      <c r="BQ70" s="2">
        <v>201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3</v>
      </c>
      <c r="BZ70" s="2">
        <v>0</v>
      </c>
      <c r="CA70" s="2">
        <v>0</v>
      </c>
      <c r="CB70" s="2"/>
      <c r="CC70" s="2"/>
      <c r="CD70" s="2"/>
      <c r="CE70" s="2">
        <v>0</v>
      </c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3</v>
      </c>
      <c r="CO70" s="2">
        <v>0</v>
      </c>
      <c r="CP70" s="2">
        <f t="shared" si="74"/>
        <v>442.26</v>
      </c>
      <c r="CQ70" s="2">
        <f t="shared" si="75"/>
        <v>4020.51</v>
      </c>
      <c r="CR70" s="2">
        <f t="shared" si="76"/>
        <v>0</v>
      </c>
      <c r="CS70" s="2">
        <f t="shared" si="77"/>
        <v>0</v>
      </c>
      <c r="CT70" s="2">
        <f t="shared" si="78"/>
        <v>0</v>
      </c>
      <c r="CU70" s="2">
        <f t="shared" si="79"/>
        <v>0</v>
      </c>
      <c r="CV70" s="2">
        <f t="shared" si="80"/>
        <v>0</v>
      </c>
      <c r="CW70" s="2">
        <f t="shared" si="81"/>
        <v>0</v>
      </c>
      <c r="CX70" s="2">
        <f t="shared" si="82"/>
        <v>0</v>
      </c>
      <c r="CY70" s="2">
        <f t="shared" si="83"/>
        <v>0</v>
      </c>
      <c r="CZ70" s="2">
        <f t="shared" si="84"/>
        <v>0</v>
      </c>
      <c r="DA70" s="2"/>
      <c r="DB70" s="2"/>
      <c r="DC70" s="2" t="s">
        <v>3</v>
      </c>
      <c r="DD70" s="2" t="s">
        <v>3</v>
      </c>
      <c r="DE70" s="2" t="s">
        <v>3</v>
      </c>
      <c r="DF70" s="2" t="s">
        <v>3</v>
      </c>
      <c r="DG70" s="2" t="s">
        <v>3</v>
      </c>
      <c r="DH70" s="2" t="s">
        <v>3</v>
      </c>
      <c r="DI70" s="2" t="s">
        <v>3</v>
      </c>
      <c r="DJ70" s="2" t="s">
        <v>3</v>
      </c>
      <c r="DK70" s="2" t="s">
        <v>3</v>
      </c>
      <c r="DL70" s="2" t="s">
        <v>3</v>
      </c>
      <c r="DM70" s="2" t="s">
        <v>3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1003</v>
      </c>
      <c r="DV70" s="2" t="s">
        <v>140</v>
      </c>
      <c r="DW70" s="2" t="s">
        <v>140</v>
      </c>
      <c r="DX70" s="2">
        <v>1000</v>
      </c>
      <c r="DY70" s="2"/>
      <c r="DZ70" s="2"/>
      <c r="EA70" s="2"/>
      <c r="EB70" s="2"/>
      <c r="EC70" s="2"/>
      <c r="ED70" s="2"/>
      <c r="EE70" s="2">
        <v>21988970</v>
      </c>
      <c r="EF70" s="2">
        <v>201</v>
      </c>
      <c r="EG70" s="2" t="s">
        <v>109</v>
      </c>
      <c r="EH70" s="2">
        <v>0</v>
      </c>
      <c r="EI70" s="2" t="s">
        <v>3</v>
      </c>
      <c r="EJ70" s="2">
        <v>2</v>
      </c>
      <c r="EK70" s="2">
        <v>1618</v>
      </c>
      <c r="EL70" s="2" t="s">
        <v>110</v>
      </c>
      <c r="EM70" s="2" t="s">
        <v>111</v>
      </c>
      <c r="EN70" s="2"/>
      <c r="EO70" s="2" t="s">
        <v>3</v>
      </c>
      <c r="EP70" s="2"/>
      <c r="EQ70" s="2">
        <v>131072</v>
      </c>
      <c r="ER70" s="2">
        <v>4020.51</v>
      </c>
      <c r="ES70" s="2">
        <v>4020.51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5"/>
        <v>0</v>
      </c>
      <c r="FS70" s="2">
        <v>0</v>
      </c>
      <c r="FT70" s="2"/>
      <c r="FU70" s="2"/>
      <c r="FV70" s="2"/>
      <c r="FW70" s="2"/>
      <c r="FX70" s="2">
        <v>0</v>
      </c>
      <c r="FY70" s="2">
        <v>0</v>
      </c>
      <c r="FZ70" s="2"/>
      <c r="GA70" s="2" t="s">
        <v>3</v>
      </c>
      <c r="GB70" s="2"/>
      <c r="GC70" s="2"/>
      <c r="GD70" s="2">
        <v>0</v>
      </c>
      <c r="GE70" s="2"/>
      <c r="GF70" s="2">
        <v>459342775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6"/>
        <v>0</v>
      </c>
      <c r="GM70" s="2">
        <f t="shared" si="91"/>
        <v>442.26</v>
      </c>
      <c r="GN70" s="2">
        <f t="shared" si="92"/>
        <v>0</v>
      </c>
      <c r="GO70" s="2">
        <f t="shared" si="93"/>
        <v>442.26</v>
      </c>
      <c r="GP70" s="2">
        <f t="shared" si="94"/>
        <v>0</v>
      </c>
      <c r="GQ70" s="2"/>
      <c r="GR70" s="2">
        <v>0</v>
      </c>
      <c r="GS70" s="2">
        <v>3</v>
      </c>
      <c r="GT70" s="2">
        <v>0</v>
      </c>
      <c r="GU70" s="2" t="s">
        <v>3</v>
      </c>
      <c r="GV70" s="2">
        <f t="shared" si="87"/>
        <v>0</v>
      </c>
      <c r="GW70" s="2">
        <v>1</v>
      </c>
      <c r="GX70" s="2">
        <f t="shared" si="88"/>
        <v>0</v>
      </c>
      <c r="GY70" s="2"/>
      <c r="GZ70" s="2"/>
      <c r="HA70" s="2">
        <v>0</v>
      </c>
      <c r="HB70" s="2">
        <v>0</v>
      </c>
      <c r="HC70" s="2">
        <f t="shared" si="89"/>
        <v>0</v>
      </c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E71" t="s">
        <v>137</v>
      </c>
      <c r="F71" t="s">
        <v>138</v>
      </c>
      <c r="G71" t="s">
        <v>139</v>
      </c>
      <c r="H71" t="s">
        <v>140</v>
      </c>
      <c r="I71">
        <v>0.11</v>
      </c>
      <c r="J71">
        <v>0</v>
      </c>
      <c r="O71">
        <f t="shared" si="60"/>
        <v>1171.98</v>
      </c>
      <c r="P71">
        <f t="shared" si="61"/>
        <v>1171.98</v>
      </c>
      <c r="Q71">
        <f t="shared" si="62"/>
        <v>0</v>
      </c>
      <c r="R71">
        <f t="shared" si="63"/>
        <v>0</v>
      </c>
      <c r="S71">
        <f t="shared" si="64"/>
        <v>0</v>
      </c>
      <c r="T71">
        <f t="shared" si="65"/>
        <v>0</v>
      </c>
      <c r="U71">
        <f t="shared" si="66"/>
        <v>0</v>
      </c>
      <c r="V71">
        <f t="shared" si="67"/>
        <v>0</v>
      </c>
      <c r="W71">
        <f t="shared" si="68"/>
        <v>0</v>
      </c>
      <c r="X71">
        <f t="shared" si="69"/>
        <v>0</v>
      </c>
      <c r="Y71">
        <f t="shared" si="70"/>
        <v>0</v>
      </c>
      <c r="AA71">
        <v>55106052</v>
      </c>
      <c r="AB71">
        <f t="shared" si="71"/>
        <v>4020.51</v>
      </c>
      <c r="AC71">
        <f t="shared" si="90"/>
        <v>4020.51</v>
      </c>
      <c r="AD71">
        <f t="shared" si="47"/>
        <v>0</v>
      </c>
      <c r="AE71">
        <f t="shared" si="48"/>
        <v>0</v>
      </c>
      <c r="AF71">
        <f t="shared" si="49"/>
        <v>0</v>
      </c>
      <c r="AG71">
        <f t="shared" si="72"/>
        <v>0</v>
      </c>
      <c r="AH71">
        <f t="shared" si="50"/>
        <v>0</v>
      </c>
      <c r="AI71">
        <f t="shared" si="51"/>
        <v>0</v>
      </c>
      <c r="AJ71">
        <f t="shared" si="73"/>
        <v>0</v>
      </c>
      <c r="AK71">
        <v>4020.51</v>
      </c>
      <c r="AL71">
        <v>4020.51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2.65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2</v>
      </c>
      <c r="BJ71" t="s">
        <v>141</v>
      </c>
      <c r="BM71">
        <v>1618</v>
      </c>
      <c r="BN71">
        <v>0</v>
      </c>
      <c r="BO71" t="s">
        <v>138</v>
      </c>
      <c r="BP71">
        <v>1</v>
      </c>
      <c r="BQ71">
        <v>201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0</v>
      </c>
      <c r="CA71">
        <v>0</v>
      </c>
      <c r="CE71">
        <v>0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4"/>
        <v>1171.98</v>
      </c>
      <c r="CQ71">
        <f t="shared" si="75"/>
        <v>10654.351500000001</v>
      </c>
      <c r="CR71">
        <f t="shared" si="76"/>
        <v>0</v>
      </c>
      <c r="CS71">
        <f t="shared" si="77"/>
        <v>0</v>
      </c>
      <c r="CT71">
        <f t="shared" si="78"/>
        <v>0</v>
      </c>
      <c r="CU71">
        <f t="shared" si="79"/>
        <v>0</v>
      </c>
      <c r="CV71">
        <f t="shared" si="80"/>
        <v>0</v>
      </c>
      <c r="CW71">
        <f t="shared" si="81"/>
        <v>0</v>
      </c>
      <c r="CX71">
        <f t="shared" si="82"/>
        <v>0</v>
      </c>
      <c r="CY71">
        <f t="shared" si="83"/>
        <v>0</v>
      </c>
      <c r="CZ71">
        <f t="shared" si="84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1003</v>
      </c>
      <c r="DV71" t="s">
        <v>140</v>
      </c>
      <c r="DW71" t="s">
        <v>140</v>
      </c>
      <c r="DX71">
        <v>1000</v>
      </c>
      <c r="EE71">
        <v>21988970</v>
      </c>
      <c r="EF71">
        <v>201</v>
      </c>
      <c r="EG71" t="s">
        <v>109</v>
      </c>
      <c r="EH71">
        <v>0</v>
      </c>
      <c r="EI71" t="s">
        <v>3</v>
      </c>
      <c r="EJ71">
        <v>2</v>
      </c>
      <c r="EK71">
        <v>1618</v>
      </c>
      <c r="EL71" t="s">
        <v>110</v>
      </c>
      <c r="EM71" t="s">
        <v>111</v>
      </c>
      <c r="EO71" t="s">
        <v>3</v>
      </c>
      <c r="EQ71">
        <v>131072</v>
      </c>
      <c r="ER71">
        <v>4020.51</v>
      </c>
      <c r="ES71">
        <v>4020.51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FQ71">
        <v>0</v>
      </c>
      <c r="FR71">
        <f t="shared" si="85"/>
        <v>0</v>
      </c>
      <c r="FS71">
        <v>0</v>
      </c>
      <c r="FX71">
        <v>0</v>
      </c>
      <c r="FY71">
        <v>0</v>
      </c>
      <c r="GA71" t="s">
        <v>3</v>
      </c>
      <c r="GD71">
        <v>0</v>
      </c>
      <c r="GF71">
        <v>459342775</v>
      </c>
      <c r="GG71">
        <v>2</v>
      </c>
      <c r="GH71">
        <v>1</v>
      </c>
      <c r="GI71">
        <v>2</v>
      </c>
      <c r="GJ71">
        <v>0</v>
      </c>
      <c r="GK71">
        <f>ROUND(R71*(S12)/100,2)</f>
        <v>0</v>
      </c>
      <c r="GL71">
        <f t="shared" si="86"/>
        <v>0</v>
      </c>
      <c r="GM71">
        <f t="shared" si="91"/>
        <v>1171.98</v>
      </c>
      <c r="GN71">
        <f t="shared" si="92"/>
        <v>0</v>
      </c>
      <c r="GO71">
        <f t="shared" si="93"/>
        <v>1171.98</v>
      </c>
      <c r="GP71">
        <f t="shared" si="94"/>
        <v>0</v>
      </c>
      <c r="GR71">
        <v>0</v>
      </c>
      <c r="GS71">
        <v>3</v>
      </c>
      <c r="GT71">
        <v>0</v>
      </c>
      <c r="GU71" t="s">
        <v>3</v>
      </c>
      <c r="GV71">
        <f t="shared" si="87"/>
        <v>0</v>
      </c>
      <c r="GW71">
        <v>1</v>
      </c>
      <c r="GX71">
        <f t="shared" si="88"/>
        <v>0</v>
      </c>
      <c r="HA71">
        <v>0</v>
      </c>
      <c r="HB71">
        <v>0</v>
      </c>
      <c r="HC71">
        <f t="shared" si="89"/>
        <v>0</v>
      </c>
      <c r="IK71">
        <v>0</v>
      </c>
    </row>
    <row r="72" spans="1:255" x14ac:dyDescent="0.2">
      <c r="A72" s="2">
        <v>17</v>
      </c>
      <c r="B72" s="2">
        <v>1</v>
      </c>
      <c r="C72" s="2">
        <f>ROW(SmtRes!A49)</f>
        <v>49</v>
      </c>
      <c r="D72" s="2">
        <f>ROW(EtalonRes!A55)</f>
        <v>55</v>
      </c>
      <c r="E72" s="2" t="s">
        <v>142</v>
      </c>
      <c r="F72" s="2" t="s">
        <v>143</v>
      </c>
      <c r="G72" s="2" t="s">
        <v>144</v>
      </c>
      <c r="H72" s="2" t="s">
        <v>25</v>
      </c>
      <c r="I72" s="2">
        <v>1</v>
      </c>
      <c r="J72" s="2">
        <v>0</v>
      </c>
      <c r="K72" s="2"/>
      <c r="L72" s="2"/>
      <c r="M72" s="2"/>
      <c r="N72" s="2"/>
      <c r="O72" s="2">
        <f t="shared" si="60"/>
        <v>27.82</v>
      </c>
      <c r="P72" s="2">
        <f t="shared" si="61"/>
        <v>1.82</v>
      </c>
      <c r="Q72" s="2">
        <f t="shared" si="62"/>
        <v>0</v>
      </c>
      <c r="R72" s="2">
        <f t="shared" si="63"/>
        <v>0</v>
      </c>
      <c r="S72" s="2">
        <f t="shared" si="64"/>
        <v>26</v>
      </c>
      <c r="T72" s="2">
        <f t="shared" si="65"/>
        <v>0</v>
      </c>
      <c r="U72" s="2">
        <f t="shared" si="66"/>
        <v>2.06</v>
      </c>
      <c r="V72" s="2">
        <f t="shared" si="67"/>
        <v>0</v>
      </c>
      <c r="W72" s="2">
        <f t="shared" si="68"/>
        <v>0</v>
      </c>
      <c r="X72" s="2">
        <f t="shared" si="69"/>
        <v>0</v>
      </c>
      <c r="Y72" s="2">
        <f t="shared" si="70"/>
        <v>0</v>
      </c>
      <c r="Z72" s="2"/>
      <c r="AA72" s="2">
        <v>55106055</v>
      </c>
      <c r="AB72" s="2">
        <f t="shared" si="71"/>
        <v>27.82</v>
      </c>
      <c r="AC72" s="2">
        <f t="shared" si="90"/>
        <v>1.82</v>
      </c>
      <c r="AD72" s="2">
        <f t="shared" si="47"/>
        <v>0</v>
      </c>
      <c r="AE72" s="2">
        <f t="shared" si="48"/>
        <v>0</v>
      </c>
      <c r="AF72" s="2">
        <f t="shared" si="49"/>
        <v>26</v>
      </c>
      <c r="AG72" s="2">
        <f t="shared" si="72"/>
        <v>0</v>
      </c>
      <c r="AH72" s="2">
        <f t="shared" si="50"/>
        <v>2.06</v>
      </c>
      <c r="AI72" s="2">
        <f t="shared" si="51"/>
        <v>0</v>
      </c>
      <c r="AJ72" s="2">
        <f t="shared" si="73"/>
        <v>0</v>
      </c>
      <c r="AK72" s="2">
        <v>27.82</v>
      </c>
      <c r="AL72" s="2">
        <v>1.82</v>
      </c>
      <c r="AM72" s="2">
        <v>0</v>
      </c>
      <c r="AN72" s="2">
        <v>0</v>
      </c>
      <c r="AO72" s="2">
        <v>26</v>
      </c>
      <c r="AP72" s="2">
        <v>0</v>
      </c>
      <c r="AQ72" s="2">
        <v>2.06</v>
      </c>
      <c r="AR72" s="2">
        <v>0</v>
      </c>
      <c r="AS72" s="2">
        <v>0</v>
      </c>
      <c r="AT72" s="2">
        <v>0</v>
      </c>
      <c r="AU72" s="2">
        <v>0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3</v>
      </c>
      <c r="BE72" s="2" t="s">
        <v>3</v>
      </c>
      <c r="BF72" s="2" t="s">
        <v>3</v>
      </c>
      <c r="BG72" s="2" t="s">
        <v>3</v>
      </c>
      <c r="BH72" s="2">
        <v>0</v>
      </c>
      <c r="BI72" s="2">
        <v>2</v>
      </c>
      <c r="BJ72" s="2" t="s">
        <v>145</v>
      </c>
      <c r="BK72" s="2"/>
      <c r="BL72" s="2"/>
      <c r="BM72" s="2">
        <v>317</v>
      </c>
      <c r="BN72" s="2">
        <v>0</v>
      </c>
      <c r="BO72" s="2" t="s">
        <v>3</v>
      </c>
      <c r="BP72" s="2">
        <v>0</v>
      </c>
      <c r="BQ72" s="2">
        <v>40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3</v>
      </c>
      <c r="BZ72" s="2">
        <v>0</v>
      </c>
      <c r="CA72" s="2">
        <v>0</v>
      </c>
      <c r="CB72" s="2"/>
      <c r="CC72" s="2"/>
      <c r="CD72" s="2"/>
      <c r="CE72" s="2">
        <v>0</v>
      </c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3</v>
      </c>
      <c r="CO72" s="2">
        <v>0</v>
      </c>
      <c r="CP72" s="2">
        <f t="shared" si="74"/>
        <v>27.82</v>
      </c>
      <c r="CQ72" s="2">
        <f t="shared" si="75"/>
        <v>1.82</v>
      </c>
      <c r="CR72" s="2">
        <f t="shared" si="76"/>
        <v>0</v>
      </c>
      <c r="CS72" s="2">
        <f t="shared" si="77"/>
        <v>0</v>
      </c>
      <c r="CT72" s="2">
        <f t="shared" si="78"/>
        <v>26</v>
      </c>
      <c r="CU72" s="2">
        <f t="shared" si="79"/>
        <v>0</v>
      </c>
      <c r="CV72" s="2">
        <f t="shared" si="80"/>
        <v>2.06</v>
      </c>
      <c r="CW72" s="2">
        <f t="shared" si="81"/>
        <v>0</v>
      </c>
      <c r="CX72" s="2">
        <f t="shared" si="82"/>
        <v>0</v>
      </c>
      <c r="CY72" s="2">
        <f t="shared" si="83"/>
        <v>0</v>
      </c>
      <c r="CZ72" s="2">
        <f t="shared" si="84"/>
        <v>0</v>
      </c>
      <c r="DA72" s="2"/>
      <c r="DB72" s="2"/>
      <c r="DC72" s="2" t="s">
        <v>3</v>
      </c>
      <c r="DD72" s="2" t="s">
        <v>3</v>
      </c>
      <c r="DE72" s="2" t="s">
        <v>3</v>
      </c>
      <c r="DF72" s="2" t="s">
        <v>3</v>
      </c>
      <c r="DG72" s="2" t="s">
        <v>3</v>
      </c>
      <c r="DH72" s="2" t="s">
        <v>3</v>
      </c>
      <c r="DI72" s="2" t="s">
        <v>3</v>
      </c>
      <c r="DJ72" s="2" t="s">
        <v>3</v>
      </c>
      <c r="DK72" s="2" t="s">
        <v>3</v>
      </c>
      <c r="DL72" s="2" t="s">
        <v>3</v>
      </c>
      <c r="DM72" s="2" t="s">
        <v>3</v>
      </c>
      <c r="DN72" s="2">
        <v>114</v>
      </c>
      <c r="DO72" s="2">
        <v>67</v>
      </c>
      <c r="DP72" s="2">
        <v>1.0469999999999999</v>
      </c>
      <c r="DQ72" s="2">
        <v>1</v>
      </c>
      <c r="DR72" s="2"/>
      <c r="DS72" s="2"/>
      <c r="DT72" s="2"/>
      <c r="DU72" s="2">
        <v>1013</v>
      </c>
      <c r="DV72" s="2" t="s">
        <v>25</v>
      </c>
      <c r="DW72" s="2" t="s">
        <v>25</v>
      </c>
      <c r="DX72" s="2">
        <v>1</v>
      </c>
      <c r="DY72" s="2"/>
      <c r="DZ72" s="2"/>
      <c r="EA72" s="2"/>
      <c r="EB72" s="2"/>
      <c r="EC72" s="2"/>
      <c r="ED72" s="2"/>
      <c r="EE72" s="2">
        <v>21987669</v>
      </c>
      <c r="EF72" s="2">
        <v>40</v>
      </c>
      <c r="EG72" s="2" t="s">
        <v>19</v>
      </c>
      <c r="EH72" s="2">
        <v>0</v>
      </c>
      <c r="EI72" s="2" t="s">
        <v>3</v>
      </c>
      <c r="EJ72" s="2">
        <v>2</v>
      </c>
      <c r="EK72" s="2">
        <v>317</v>
      </c>
      <c r="EL72" s="2" t="s">
        <v>146</v>
      </c>
      <c r="EM72" s="2" t="s">
        <v>147</v>
      </c>
      <c r="EN72" s="2"/>
      <c r="EO72" s="2" t="s">
        <v>3</v>
      </c>
      <c r="EP72" s="2"/>
      <c r="EQ72" s="2">
        <v>131072</v>
      </c>
      <c r="ER72" s="2">
        <v>27.82</v>
      </c>
      <c r="ES72" s="2">
        <v>1.82</v>
      </c>
      <c r="ET72" s="2">
        <v>0</v>
      </c>
      <c r="EU72" s="2">
        <v>0</v>
      </c>
      <c r="EV72" s="2">
        <v>26</v>
      </c>
      <c r="EW72" s="2">
        <v>2.06</v>
      </c>
      <c r="EX72" s="2">
        <v>0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5"/>
        <v>0</v>
      </c>
      <c r="FS72" s="2">
        <v>0</v>
      </c>
      <c r="FT72" s="2"/>
      <c r="FU72" s="2"/>
      <c r="FV72" s="2"/>
      <c r="FW72" s="2"/>
      <c r="FX72" s="2">
        <v>114</v>
      </c>
      <c r="FY72" s="2">
        <v>67</v>
      </c>
      <c r="FZ72" s="2"/>
      <c r="GA72" s="2" t="s">
        <v>3</v>
      </c>
      <c r="GB72" s="2"/>
      <c r="GC72" s="2"/>
      <c r="GD72" s="2">
        <v>1</v>
      </c>
      <c r="GE72" s="2"/>
      <c r="GF72" s="2">
        <v>1456314243</v>
      </c>
      <c r="GG72" s="2">
        <v>2</v>
      </c>
      <c r="GH72" s="2">
        <v>1</v>
      </c>
      <c r="GI72" s="2">
        <v>-2</v>
      </c>
      <c r="GJ72" s="2">
        <v>0</v>
      </c>
      <c r="GK72" s="2">
        <v>0</v>
      </c>
      <c r="GL72" s="2">
        <f t="shared" si="86"/>
        <v>0</v>
      </c>
      <c r="GM72" s="2">
        <f>ROUND(O72+X72+Y72,2)+GX72</f>
        <v>27.82</v>
      </c>
      <c r="GN72" s="2">
        <f>IF(OR(BI72=0,BI72=1),ROUND(O72+X72+Y72,2),0)</f>
        <v>0</v>
      </c>
      <c r="GO72" s="2">
        <f>IF(BI72=2,ROUND(O72+X72+Y72,2),0)</f>
        <v>27.82</v>
      </c>
      <c r="GP72" s="2">
        <f>IF(BI72=4,ROUND(O72+X72+Y72,2)+GX72,0)</f>
        <v>0</v>
      </c>
      <c r="GQ72" s="2"/>
      <c r="GR72" s="2">
        <v>0</v>
      </c>
      <c r="GS72" s="2">
        <v>3</v>
      </c>
      <c r="GT72" s="2">
        <v>0</v>
      </c>
      <c r="GU72" s="2" t="s">
        <v>3</v>
      </c>
      <c r="GV72" s="2">
        <f t="shared" si="87"/>
        <v>0</v>
      </c>
      <c r="GW72" s="2">
        <v>1</v>
      </c>
      <c r="GX72" s="2">
        <f t="shared" si="88"/>
        <v>0</v>
      </c>
      <c r="GY72" s="2"/>
      <c r="GZ72" s="2"/>
      <c r="HA72" s="2">
        <v>0</v>
      </c>
      <c r="HB72" s="2">
        <v>0</v>
      </c>
      <c r="HC72" s="2">
        <f t="shared" si="89"/>
        <v>0</v>
      </c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ROW(SmtRes!A50)</f>
        <v>50</v>
      </c>
      <c r="D73">
        <f>ROW(EtalonRes!A56)</f>
        <v>56</v>
      </c>
      <c r="E73" t="s">
        <v>142</v>
      </c>
      <c r="F73" t="s">
        <v>143</v>
      </c>
      <c r="G73" t="s">
        <v>144</v>
      </c>
      <c r="H73" t="s">
        <v>25</v>
      </c>
      <c r="I73">
        <v>1</v>
      </c>
      <c r="J73">
        <v>0</v>
      </c>
      <c r="O73">
        <f t="shared" si="60"/>
        <v>573.79</v>
      </c>
      <c r="P73">
        <f t="shared" si="61"/>
        <v>9.85</v>
      </c>
      <c r="Q73">
        <f t="shared" si="62"/>
        <v>0</v>
      </c>
      <c r="R73">
        <f t="shared" si="63"/>
        <v>0</v>
      </c>
      <c r="S73">
        <f t="shared" si="64"/>
        <v>563.94000000000005</v>
      </c>
      <c r="T73">
        <f t="shared" si="65"/>
        <v>0</v>
      </c>
      <c r="U73">
        <f t="shared" si="66"/>
        <v>2.06</v>
      </c>
      <c r="V73">
        <f t="shared" si="67"/>
        <v>0</v>
      </c>
      <c r="W73">
        <f t="shared" si="68"/>
        <v>0</v>
      </c>
      <c r="X73">
        <f t="shared" si="69"/>
        <v>434.23</v>
      </c>
      <c r="Y73">
        <f t="shared" si="70"/>
        <v>231.22</v>
      </c>
      <c r="AA73">
        <v>55106052</v>
      </c>
      <c r="AB73">
        <f t="shared" si="71"/>
        <v>27.82</v>
      </c>
      <c r="AC73">
        <f t="shared" si="90"/>
        <v>1.82</v>
      </c>
      <c r="AD73">
        <f t="shared" si="47"/>
        <v>0</v>
      </c>
      <c r="AE73">
        <f t="shared" si="48"/>
        <v>0</v>
      </c>
      <c r="AF73">
        <f t="shared" si="49"/>
        <v>26</v>
      </c>
      <c r="AG73">
        <f t="shared" si="72"/>
        <v>0</v>
      </c>
      <c r="AH73">
        <f t="shared" si="50"/>
        <v>2.06</v>
      </c>
      <c r="AI73">
        <f t="shared" si="51"/>
        <v>0</v>
      </c>
      <c r="AJ73">
        <f t="shared" si="73"/>
        <v>0</v>
      </c>
      <c r="AK73">
        <v>27.82</v>
      </c>
      <c r="AL73">
        <v>1.82</v>
      </c>
      <c r="AM73">
        <v>0</v>
      </c>
      <c r="AN73">
        <v>0</v>
      </c>
      <c r="AO73">
        <v>26</v>
      </c>
      <c r="AP73">
        <v>0</v>
      </c>
      <c r="AQ73">
        <v>2.06</v>
      </c>
      <c r="AR73">
        <v>0</v>
      </c>
      <c r="AS73">
        <v>0</v>
      </c>
      <c r="AT73">
        <v>77</v>
      </c>
      <c r="AU73">
        <v>41</v>
      </c>
      <c r="AV73">
        <v>1</v>
      </c>
      <c r="AW73">
        <v>1</v>
      </c>
      <c r="AZ73">
        <v>1</v>
      </c>
      <c r="BA73">
        <v>21.69</v>
      </c>
      <c r="BB73">
        <v>1</v>
      </c>
      <c r="BC73">
        <v>5.41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2</v>
      </c>
      <c r="BJ73" t="s">
        <v>145</v>
      </c>
      <c r="BM73">
        <v>317</v>
      </c>
      <c r="BN73">
        <v>0</v>
      </c>
      <c r="BO73" t="s">
        <v>143</v>
      </c>
      <c r="BP73">
        <v>1</v>
      </c>
      <c r="BQ73">
        <v>40</v>
      </c>
      <c r="BR73">
        <v>0</v>
      </c>
      <c r="BS73">
        <v>21.69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77</v>
      </c>
      <c r="CA73">
        <v>41</v>
      </c>
      <c r="CE73">
        <v>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4"/>
        <v>573.79000000000008</v>
      </c>
      <c r="CQ73">
        <f t="shared" si="75"/>
        <v>9.8462000000000014</v>
      </c>
      <c r="CR73">
        <f t="shared" si="76"/>
        <v>0</v>
      </c>
      <c r="CS73">
        <f t="shared" si="77"/>
        <v>0</v>
      </c>
      <c r="CT73">
        <f t="shared" si="78"/>
        <v>563.94000000000005</v>
      </c>
      <c r="CU73">
        <f t="shared" si="79"/>
        <v>0</v>
      </c>
      <c r="CV73">
        <f t="shared" si="80"/>
        <v>2.06</v>
      </c>
      <c r="CW73">
        <f t="shared" si="81"/>
        <v>0</v>
      </c>
      <c r="CX73">
        <f t="shared" si="82"/>
        <v>0</v>
      </c>
      <c r="CY73">
        <f t="shared" si="83"/>
        <v>434.23380000000003</v>
      </c>
      <c r="CZ73">
        <f t="shared" si="84"/>
        <v>231.21540000000002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114</v>
      </c>
      <c r="DO73">
        <v>67</v>
      </c>
      <c r="DP73">
        <v>1.0469999999999999</v>
      </c>
      <c r="DQ73">
        <v>1</v>
      </c>
      <c r="DU73">
        <v>1013</v>
      </c>
      <c r="DV73" t="s">
        <v>25</v>
      </c>
      <c r="DW73" t="s">
        <v>25</v>
      </c>
      <c r="DX73">
        <v>1</v>
      </c>
      <c r="EE73">
        <v>21987669</v>
      </c>
      <c r="EF73">
        <v>40</v>
      </c>
      <c r="EG73" t="s">
        <v>19</v>
      </c>
      <c r="EH73">
        <v>0</v>
      </c>
      <c r="EI73" t="s">
        <v>3</v>
      </c>
      <c r="EJ73">
        <v>2</v>
      </c>
      <c r="EK73">
        <v>317</v>
      </c>
      <c r="EL73" t="s">
        <v>146</v>
      </c>
      <c r="EM73" t="s">
        <v>147</v>
      </c>
      <c r="EO73" t="s">
        <v>3</v>
      </c>
      <c r="EQ73">
        <v>131072</v>
      </c>
      <c r="ER73">
        <v>27.82</v>
      </c>
      <c r="ES73">
        <v>1.82</v>
      </c>
      <c r="ET73">
        <v>0</v>
      </c>
      <c r="EU73">
        <v>0</v>
      </c>
      <c r="EV73">
        <v>26</v>
      </c>
      <c r="EW73">
        <v>2.06</v>
      </c>
      <c r="EX73">
        <v>0</v>
      </c>
      <c r="EY73">
        <v>0</v>
      </c>
      <c r="FQ73">
        <v>0</v>
      </c>
      <c r="FR73">
        <f t="shared" si="85"/>
        <v>0</v>
      </c>
      <c r="FS73">
        <v>0</v>
      </c>
      <c r="FX73">
        <v>114</v>
      </c>
      <c r="FY73">
        <v>67</v>
      </c>
      <c r="GA73" t="s">
        <v>3</v>
      </c>
      <c r="GD73">
        <v>0</v>
      </c>
      <c r="GF73">
        <v>1456314243</v>
      </c>
      <c r="GG73">
        <v>2</v>
      </c>
      <c r="GH73">
        <v>1</v>
      </c>
      <c r="GI73">
        <v>2</v>
      </c>
      <c r="GJ73">
        <v>0</v>
      </c>
      <c r="GK73">
        <f>ROUND(R73*(S12)/100,2)</f>
        <v>0</v>
      </c>
      <c r="GL73">
        <f t="shared" si="86"/>
        <v>0</v>
      </c>
      <c r="GM73">
        <f>ROUND(O73+X73+Y73+GK73,2)+GX73</f>
        <v>1239.24</v>
      </c>
      <c r="GN73">
        <f>IF(OR(BI73=0,BI73=1),ROUND(O73+X73+Y73+GK73,2),0)</f>
        <v>0</v>
      </c>
      <c r="GO73">
        <f>IF(BI73=2,ROUND(O73+X73+Y73+GK73,2),0)</f>
        <v>1239.24</v>
      </c>
      <c r="GP73">
        <f>IF(BI73=4,ROUND(O73+X73+Y73+GK73,2)+GX73,0)</f>
        <v>0</v>
      </c>
      <c r="GR73">
        <v>0</v>
      </c>
      <c r="GS73">
        <v>3</v>
      </c>
      <c r="GT73">
        <v>0</v>
      </c>
      <c r="GU73" t="s">
        <v>3</v>
      </c>
      <c r="GV73">
        <f t="shared" si="87"/>
        <v>0</v>
      </c>
      <c r="GW73">
        <v>1</v>
      </c>
      <c r="GX73">
        <f t="shared" si="88"/>
        <v>0</v>
      </c>
      <c r="HA73">
        <v>0</v>
      </c>
      <c r="HB73">
        <v>0</v>
      </c>
      <c r="HC73">
        <f t="shared" si="89"/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ROW(SmtRes!A51)</f>
        <v>51</v>
      </c>
      <c r="D74" s="2">
        <f>ROW(EtalonRes!A57)</f>
        <v>57</v>
      </c>
      <c r="E74" s="2" t="s">
        <v>148</v>
      </c>
      <c r="F74" s="2" t="s">
        <v>149</v>
      </c>
      <c r="G74" s="2" t="s">
        <v>150</v>
      </c>
      <c r="H74" s="2" t="s">
        <v>17</v>
      </c>
      <c r="I74" s="2">
        <f>ROUND(4/10,9)</f>
        <v>0.4</v>
      </c>
      <c r="J74" s="2">
        <v>0</v>
      </c>
      <c r="K74" s="2"/>
      <c r="L74" s="2"/>
      <c r="M74" s="2"/>
      <c r="N74" s="2"/>
      <c r="O74" s="2">
        <f t="shared" si="60"/>
        <v>94.78</v>
      </c>
      <c r="P74" s="2">
        <f t="shared" si="61"/>
        <v>0.99</v>
      </c>
      <c r="Q74" s="2">
        <f t="shared" si="62"/>
        <v>2.79</v>
      </c>
      <c r="R74" s="2">
        <f t="shared" si="63"/>
        <v>0.47</v>
      </c>
      <c r="S74" s="2">
        <f t="shared" si="64"/>
        <v>91</v>
      </c>
      <c r="T74" s="2">
        <f t="shared" si="65"/>
        <v>0</v>
      </c>
      <c r="U74" s="2">
        <f t="shared" si="66"/>
        <v>5.8560000000000008</v>
      </c>
      <c r="V74" s="2">
        <f t="shared" si="67"/>
        <v>0</v>
      </c>
      <c r="W74" s="2">
        <f t="shared" si="68"/>
        <v>0</v>
      </c>
      <c r="X74" s="2">
        <f t="shared" si="69"/>
        <v>0</v>
      </c>
      <c r="Y74" s="2">
        <f t="shared" si="70"/>
        <v>0</v>
      </c>
      <c r="Z74" s="2"/>
      <c r="AA74" s="2">
        <v>55106055</v>
      </c>
      <c r="AB74" s="2">
        <f t="shared" si="71"/>
        <v>236.94</v>
      </c>
      <c r="AC74" s="2">
        <f t="shared" si="90"/>
        <v>2.4700000000000002</v>
      </c>
      <c r="AD74" s="2">
        <f t="shared" si="47"/>
        <v>6.98</v>
      </c>
      <c r="AE74" s="2">
        <f t="shared" si="48"/>
        <v>1.18</v>
      </c>
      <c r="AF74" s="2">
        <f t="shared" si="49"/>
        <v>227.49</v>
      </c>
      <c r="AG74" s="2">
        <f t="shared" si="72"/>
        <v>0</v>
      </c>
      <c r="AH74" s="2">
        <f t="shared" si="50"/>
        <v>14.64</v>
      </c>
      <c r="AI74" s="2">
        <f t="shared" si="51"/>
        <v>0</v>
      </c>
      <c r="AJ74" s="2">
        <f t="shared" si="73"/>
        <v>0</v>
      </c>
      <c r="AK74" s="2">
        <v>236.94</v>
      </c>
      <c r="AL74" s="2">
        <v>2.4700000000000002</v>
      </c>
      <c r="AM74" s="2">
        <v>6.98</v>
      </c>
      <c r="AN74" s="2">
        <v>1.18</v>
      </c>
      <c r="AO74" s="2">
        <v>227.49</v>
      </c>
      <c r="AP74" s="2">
        <v>0</v>
      </c>
      <c r="AQ74" s="2">
        <v>14.64</v>
      </c>
      <c r="AR74" s="2">
        <v>0</v>
      </c>
      <c r="AS74" s="2">
        <v>0</v>
      </c>
      <c r="AT74" s="2">
        <v>0</v>
      </c>
      <c r="AU74" s="2">
        <v>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3</v>
      </c>
      <c r="BE74" s="2" t="s">
        <v>3</v>
      </c>
      <c r="BF74" s="2" t="s">
        <v>3</v>
      </c>
      <c r="BG74" s="2" t="s">
        <v>3</v>
      </c>
      <c r="BH74" s="2">
        <v>0</v>
      </c>
      <c r="BI74" s="2">
        <v>2</v>
      </c>
      <c r="BJ74" s="2" t="s">
        <v>151</v>
      </c>
      <c r="BK74" s="2"/>
      <c r="BL74" s="2"/>
      <c r="BM74" s="2">
        <v>1738</v>
      </c>
      <c r="BN74" s="2">
        <v>0</v>
      </c>
      <c r="BO74" s="2" t="s">
        <v>3</v>
      </c>
      <c r="BP74" s="2">
        <v>0</v>
      </c>
      <c r="BQ74" s="2">
        <v>40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3</v>
      </c>
      <c r="BZ74" s="2">
        <v>0</v>
      </c>
      <c r="CA74" s="2">
        <v>0</v>
      </c>
      <c r="CB74" s="2"/>
      <c r="CC74" s="2"/>
      <c r="CD74" s="2"/>
      <c r="CE74" s="2">
        <v>0</v>
      </c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3</v>
      </c>
      <c r="CO74" s="2">
        <v>0</v>
      </c>
      <c r="CP74" s="2">
        <f t="shared" si="74"/>
        <v>94.78</v>
      </c>
      <c r="CQ74" s="2">
        <f t="shared" si="75"/>
        <v>2.4700000000000002</v>
      </c>
      <c r="CR74" s="2">
        <f t="shared" si="76"/>
        <v>6.98</v>
      </c>
      <c r="CS74" s="2">
        <f t="shared" si="77"/>
        <v>1.18</v>
      </c>
      <c r="CT74" s="2">
        <f t="shared" si="78"/>
        <v>227.49</v>
      </c>
      <c r="CU74" s="2">
        <f t="shared" si="79"/>
        <v>0</v>
      </c>
      <c r="CV74" s="2">
        <f t="shared" si="80"/>
        <v>14.64</v>
      </c>
      <c r="CW74" s="2">
        <f t="shared" si="81"/>
        <v>0</v>
      </c>
      <c r="CX74" s="2">
        <f t="shared" si="82"/>
        <v>0</v>
      </c>
      <c r="CY74" s="2">
        <f t="shared" si="83"/>
        <v>0</v>
      </c>
      <c r="CZ74" s="2">
        <f t="shared" si="84"/>
        <v>0</v>
      </c>
      <c r="DA74" s="2"/>
      <c r="DB74" s="2"/>
      <c r="DC74" s="2" t="s">
        <v>3</v>
      </c>
      <c r="DD74" s="2" t="s">
        <v>3</v>
      </c>
      <c r="DE74" s="2" t="s">
        <v>3</v>
      </c>
      <c r="DF74" s="2" t="s">
        <v>3</v>
      </c>
      <c r="DG74" s="2" t="s">
        <v>3</v>
      </c>
      <c r="DH74" s="2" t="s">
        <v>3</v>
      </c>
      <c r="DI74" s="2" t="s">
        <v>3</v>
      </c>
      <c r="DJ74" s="2" t="s">
        <v>3</v>
      </c>
      <c r="DK74" s="2" t="s">
        <v>3</v>
      </c>
      <c r="DL74" s="2" t="s">
        <v>3</v>
      </c>
      <c r="DM74" s="2" t="s">
        <v>3</v>
      </c>
      <c r="DN74" s="2">
        <v>114</v>
      </c>
      <c r="DO74" s="2">
        <v>67</v>
      </c>
      <c r="DP74" s="2">
        <v>1.0469999999999999</v>
      </c>
      <c r="DQ74" s="2">
        <v>1</v>
      </c>
      <c r="DR74" s="2"/>
      <c r="DS74" s="2"/>
      <c r="DT74" s="2"/>
      <c r="DU74" s="2">
        <v>1010</v>
      </c>
      <c r="DV74" s="2" t="s">
        <v>17</v>
      </c>
      <c r="DW74" s="2" t="s">
        <v>17</v>
      </c>
      <c r="DX74" s="2">
        <v>10</v>
      </c>
      <c r="DY74" s="2"/>
      <c r="DZ74" s="2"/>
      <c r="EA74" s="2"/>
      <c r="EB74" s="2"/>
      <c r="EC74" s="2"/>
      <c r="ED74" s="2"/>
      <c r="EE74" s="2">
        <v>21989090</v>
      </c>
      <c r="EF74" s="2">
        <v>40</v>
      </c>
      <c r="EG74" s="2" t="s">
        <v>19</v>
      </c>
      <c r="EH74" s="2">
        <v>0</v>
      </c>
      <c r="EI74" s="2" t="s">
        <v>3</v>
      </c>
      <c r="EJ74" s="2">
        <v>2</v>
      </c>
      <c r="EK74" s="2">
        <v>1738</v>
      </c>
      <c r="EL74" s="2" t="s">
        <v>20</v>
      </c>
      <c r="EM74" s="2" t="s">
        <v>21</v>
      </c>
      <c r="EN74" s="2"/>
      <c r="EO74" s="2" t="s">
        <v>3</v>
      </c>
      <c r="EP74" s="2"/>
      <c r="EQ74" s="2">
        <v>131072</v>
      </c>
      <c r="ER74" s="2">
        <v>236.94</v>
      </c>
      <c r="ES74" s="2">
        <v>2.4700000000000002</v>
      </c>
      <c r="ET74" s="2">
        <v>6.98</v>
      </c>
      <c r="EU74" s="2">
        <v>1.18</v>
      </c>
      <c r="EV74" s="2">
        <v>227.49</v>
      </c>
      <c r="EW74" s="2">
        <v>14.64</v>
      </c>
      <c r="EX74" s="2">
        <v>0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5"/>
        <v>0</v>
      </c>
      <c r="FS74" s="2">
        <v>0</v>
      </c>
      <c r="FT74" s="2"/>
      <c r="FU74" s="2"/>
      <c r="FV74" s="2"/>
      <c r="FW74" s="2"/>
      <c r="FX74" s="2">
        <v>114</v>
      </c>
      <c r="FY74" s="2">
        <v>67</v>
      </c>
      <c r="FZ74" s="2"/>
      <c r="GA74" s="2" t="s">
        <v>3</v>
      </c>
      <c r="GB74" s="2"/>
      <c r="GC74" s="2"/>
      <c r="GD74" s="2">
        <v>1</v>
      </c>
      <c r="GE74" s="2"/>
      <c r="GF74" s="2">
        <v>1687623392</v>
      </c>
      <c r="GG74" s="2">
        <v>2</v>
      </c>
      <c r="GH74" s="2">
        <v>1</v>
      </c>
      <c r="GI74" s="2">
        <v>-2</v>
      </c>
      <c r="GJ74" s="2">
        <v>0</v>
      </c>
      <c r="GK74" s="2">
        <v>0</v>
      </c>
      <c r="GL74" s="2">
        <f t="shared" si="86"/>
        <v>0</v>
      </c>
      <c r="GM74" s="2">
        <f>ROUND(O74+X74+Y74,2)+GX74</f>
        <v>94.78</v>
      </c>
      <c r="GN74" s="2">
        <f>IF(OR(BI74=0,BI74=1),ROUND(O74+X74+Y74,2),0)</f>
        <v>0</v>
      </c>
      <c r="GO74" s="2">
        <f>IF(BI74=2,ROUND(O74+X74+Y74,2),0)</f>
        <v>94.78</v>
      </c>
      <c r="GP74" s="2">
        <f>IF(BI74=4,ROUND(O74+X74+Y74,2)+GX74,0)</f>
        <v>0</v>
      </c>
      <c r="GQ74" s="2"/>
      <c r="GR74" s="2">
        <v>0</v>
      </c>
      <c r="GS74" s="2">
        <v>3</v>
      </c>
      <c r="GT74" s="2">
        <v>0</v>
      </c>
      <c r="GU74" s="2" t="s">
        <v>3</v>
      </c>
      <c r="GV74" s="2">
        <f t="shared" si="87"/>
        <v>0</v>
      </c>
      <c r="GW74" s="2">
        <v>1</v>
      </c>
      <c r="GX74" s="2">
        <f t="shared" si="88"/>
        <v>0</v>
      </c>
      <c r="GY74" s="2"/>
      <c r="GZ74" s="2"/>
      <c r="HA74" s="2">
        <v>0</v>
      </c>
      <c r="HB74" s="2">
        <v>0</v>
      </c>
      <c r="HC74" s="2">
        <f t="shared" si="89"/>
        <v>0</v>
      </c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ROW(SmtRes!A52)</f>
        <v>52</v>
      </c>
      <c r="D75">
        <f>ROW(EtalonRes!A58)</f>
        <v>58</v>
      </c>
      <c r="E75" t="s">
        <v>148</v>
      </c>
      <c r="F75" t="s">
        <v>149</v>
      </c>
      <c r="G75" t="s">
        <v>150</v>
      </c>
      <c r="H75" t="s">
        <v>17</v>
      </c>
      <c r="I75">
        <f>ROUND(4/10,9)</f>
        <v>0.4</v>
      </c>
      <c r="J75">
        <v>0</v>
      </c>
      <c r="O75">
        <f t="shared" si="60"/>
        <v>2001.44</v>
      </c>
      <c r="P75">
        <f t="shared" si="61"/>
        <v>5.35</v>
      </c>
      <c r="Q75">
        <f t="shared" si="62"/>
        <v>22.39</v>
      </c>
      <c r="R75">
        <f t="shared" si="63"/>
        <v>10.24</v>
      </c>
      <c r="S75">
        <f t="shared" si="64"/>
        <v>1973.7</v>
      </c>
      <c r="T75">
        <f t="shared" si="65"/>
        <v>0</v>
      </c>
      <c r="U75">
        <f t="shared" si="66"/>
        <v>5.8560000000000008</v>
      </c>
      <c r="V75">
        <f t="shared" si="67"/>
        <v>0</v>
      </c>
      <c r="W75">
        <f t="shared" si="68"/>
        <v>0</v>
      </c>
      <c r="X75">
        <f t="shared" si="69"/>
        <v>1519.75</v>
      </c>
      <c r="Y75">
        <f t="shared" si="70"/>
        <v>809.22</v>
      </c>
      <c r="AA75">
        <v>55106052</v>
      </c>
      <c r="AB75">
        <f t="shared" si="71"/>
        <v>236.94</v>
      </c>
      <c r="AC75">
        <f t="shared" si="90"/>
        <v>2.4700000000000002</v>
      </c>
      <c r="AD75">
        <f t="shared" si="47"/>
        <v>6.98</v>
      </c>
      <c r="AE75">
        <f t="shared" si="48"/>
        <v>1.18</v>
      </c>
      <c r="AF75">
        <f t="shared" si="49"/>
        <v>227.49</v>
      </c>
      <c r="AG75">
        <f t="shared" si="72"/>
        <v>0</v>
      </c>
      <c r="AH75">
        <f t="shared" si="50"/>
        <v>14.64</v>
      </c>
      <c r="AI75">
        <f t="shared" si="51"/>
        <v>0</v>
      </c>
      <c r="AJ75">
        <f t="shared" si="73"/>
        <v>0</v>
      </c>
      <c r="AK75">
        <v>236.94</v>
      </c>
      <c r="AL75">
        <v>2.4700000000000002</v>
      </c>
      <c r="AM75">
        <v>6.98</v>
      </c>
      <c r="AN75">
        <v>1.18</v>
      </c>
      <c r="AO75">
        <v>227.49</v>
      </c>
      <c r="AP75">
        <v>0</v>
      </c>
      <c r="AQ75">
        <v>14.64</v>
      </c>
      <c r="AR75">
        <v>0</v>
      </c>
      <c r="AS75">
        <v>0</v>
      </c>
      <c r="AT75">
        <v>77</v>
      </c>
      <c r="AU75">
        <v>41</v>
      </c>
      <c r="AV75">
        <v>1</v>
      </c>
      <c r="AW75">
        <v>1</v>
      </c>
      <c r="AZ75">
        <v>1</v>
      </c>
      <c r="BA75">
        <v>21.69</v>
      </c>
      <c r="BB75">
        <v>8.02</v>
      </c>
      <c r="BC75">
        <v>5.41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2</v>
      </c>
      <c r="BJ75" t="s">
        <v>151</v>
      </c>
      <c r="BM75">
        <v>1738</v>
      </c>
      <c r="BN75">
        <v>0</v>
      </c>
      <c r="BO75" t="s">
        <v>149</v>
      </c>
      <c r="BP75">
        <v>1</v>
      </c>
      <c r="BQ75">
        <v>40</v>
      </c>
      <c r="BR75">
        <v>0</v>
      </c>
      <c r="BS75">
        <v>21.69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77</v>
      </c>
      <c r="CA75">
        <v>41</v>
      </c>
      <c r="CE75">
        <v>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4"/>
        <v>2001.44</v>
      </c>
      <c r="CQ75">
        <f t="shared" si="75"/>
        <v>13.362700000000002</v>
      </c>
      <c r="CR75">
        <f t="shared" si="76"/>
        <v>55.979599999999998</v>
      </c>
      <c r="CS75">
        <f t="shared" si="77"/>
        <v>25.594200000000001</v>
      </c>
      <c r="CT75">
        <f t="shared" si="78"/>
        <v>4934.2581000000009</v>
      </c>
      <c r="CU75">
        <f t="shared" si="79"/>
        <v>0</v>
      </c>
      <c r="CV75">
        <f t="shared" si="80"/>
        <v>14.64</v>
      </c>
      <c r="CW75">
        <f t="shared" si="81"/>
        <v>0</v>
      </c>
      <c r="CX75">
        <f t="shared" si="82"/>
        <v>0</v>
      </c>
      <c r="CY75">
        <f t="shared" si="83"/>
        <v>1519.749</v>
      </c>
      <c r="CZ75">
        <f t="shared" si="84"/>
        <v>809.21699999999998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114</v>
      </c>
      <c r="DO75">
        <v>67</v>
      </c>
      <c r="DP75">
        <v>1.0469999999999999</v>
      </c>
      <c r="DQ75">
        <v>1</v>
      </c>
      <c r="DU75">
        <v>1010</v>
      </c>
      <c r="DV75" t="s">
        <v>17</v>
      </c>
      <c r="DW75" t="s">
        <v>17</v>
      </c>
      <c r="DX75">
        <v>10</v>
      </c>
      <c r="EE75">
        <v>21989090</v>
      </c>
      <c r="EF75">
        <v>40</v>
      </c>
      <c r="EG75" t="s">
        <v>19</v>
      </c>
      <c r="EH75">
        <v>0</v>
      </c>
      <c r="EI75" t="s">
        <v>3</v>
      </c>
      <c r="EJ75">
        <v>2</v>
      </c>
      <c r="EK75">
        <v>1738</v>
      </c>
      <c r="EL75" t="s">
        <v>20</v>
      </c>
      <c r="EM75" t="s">
        <v>21</v>
      </c>
      <c r="EO75" t="s">
        <v>3</v>
      </c>
      <c r="EQ75">
        <v>131072</v>
      </c>
      <c r="ER75">
        <v>236.94</v>
      </c>
      <c r="ES75">
        <v>2.4700000000000002</v>
      </c>
      <c r="ET75">
        <v>6.98</v>
      </c>
      <c r="EU75">
        <v>1.18</v>
      </c>
      <c r="EV75">
        <v>227.49</v>
      </c>
      <c r="EW75">
        <v>14.64</v>
      </c>
      <c r="EX75">
        <v>0</v>
      </c>
      <c r="EY75">
        <v>0</v>
      </c>
      <c r="FQ75">
        <v>0</v>
      </c>
      <c r="FR75">
        <f t="shared" si="85"/>
        <v>0</v>
      </c>
      <c r="FS75">
        <v>0</v>
      </c>
      <c r="FX75">
        <v>114</v>
      </c>
      <c r="FY75">
        <v>67</v>
      </c>
      <c r="GA75" t="s">
        <v>3</v>
      </c>
      <c r="GD75">
        <v>0</v>
      </c>
      <c r="GF75">
        <v>1687623392</v>
      </c>
      <c r="GG75">
        <v>2</v>
      </c>
      <c r="GH75">
        <v>1</v>
      </c>
      <c r="GI75">
        <v>2</v>
      </c>
      <c r="GJ75">
        <v>0</v>
      </c>
      <c r="GK75">
        <f>ROUND(R75*(S12)/100,2)</f>
        <v>16.079999999999998</v>
      </c>
      <c r="GL75">
        <f t="shared" si="86"/>
        <v>0</v>
      </c>
      <c r="GM75">
        <f>ROUND(O75+X75+Y75+GK75,2)+GX75</f>
        <v>4346.49</v>
      </c>
      <c r="GN75">
        <f>IF(OR(BI75=0,BI75=1),ROUND(O75+X75+Y75+GK75,2),0)</f>
        <v>0</v>
      </c>
      <c r="GO75">
        <f>IF(BI75=2,ROUND(O75+X75+Y75+GK75,2),0)</f>
        <v>4346.49</v>
      </c>
      <c r="GP75">
        <f>IF(BI75=4,ROUND(O75+X75+Y75+GK75,2)+GX75,0)</f>
        <v>0</v>
      </c>
      <c r="GR75">
        <v>0</v>
      </c>
      <c r="GS75">
        <v>3</v>
      </c>
      <c r="GT75">
        <v>0</v>
      </c>
      <c r="GU75" t="s">
        <v>3</v>
      </c>
      <c r="GV75">
        <f t="shared" si="87"/>
        <v>0</v>
      </c>
      <c r="GW75">
        <v>1</v>
      </c>
      <c r="GX75">
        <f t="shared" si="88"/>
        <v>0</v>
      </c>
      <c r="HA75">
        <v>0</v>
      </c>
      <c r="HB75">
        <v>0</v>
      </c>
      <c r="HC75">
        <f t="shared" si="89"/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ROW(SmtRes!A54)</f>
        <v>54</v>
      </c>
      <c r="D76" s="2">
        <f>ROW(EtalonRes!A60)</f>
        <v>60</v>
      </c>
      <c r="E76" s="2" t="s">
        <v>152</v>
      </c>
      <c r="F76" s="2" t="s">
        <v>153</v>
      </c>
      <c r="G76" s="2" t="s">
        <v>154</v>
      </c>
      <c r="H76" s="2" t="s">
        <v>25</v>
      </c>
      <c r="I76" s="2">
        <v>1</v>
      </c>
      <c r="J76" s="2">
        <v>0</v>
      </c>
      <c r="K76" s="2"/>
      <c r="L76" s="2"/>
      <c r="M76" s="2"/>
      <c r="N76" s="2"/>
      <c r="O76" s="2">
        <f t="shared" si="60"/>
        <v>30.09</v>
      </c>
      <c r="P76" s="2">
        <f t="shared" si="61"/>
        <v>0.28000000000000003</v>
      </c>
      <c r="Q76" s="2">
        <f t="shared" si="62"/>
        <v>0.73</v>
      </c>
      <c r="R76" s="2">
        <f t="shared" si="63"/>
        <v>0.17</v>
      </c>
      <c r="S76" s="2">
        <f t="shared" si="64"/>
        <v>29.08</v>
      </c>
      <c r="T76" s="2">
        <f t="shared" si="65"/>
        <v>0</v>
      </c>
      <c r="U76" s="2">
        <f t="shared" si="66"/>
        <v>2</v>
      </c>
      <c r="V76" s="2">
        <f t="shared" si="67"/>
        <v>0</v>
      </c>
      <c r="W76" s="2">
        <f t="shared" si="68"/>
        <v>0</v>
      </c>
      <c r="X76" s="2">
        <f t="shared" si="69"/>
        <v>0</v>
      </c>
      <c r="Y76" s="2">
        <f t="shared" si="70"/>
        <v>0</v>
      </c>
      <c r="Z76" s="2"/>
      <c r="AA76" s="2">
        <v>55106055</v>
      </c>
      <c r="AB76" s="2">
        <f t="shared" si="71"/>
        <v>30.09</v>
      </c>
      <c r="AC76" s="2">
        <f t="shared" si="90"/>
        <v>0.28000000000000003</v>
      </c>
      <c r="AD76" s="2">
        <f t="shared" si="47"/>
        <v>0.73</v>
      </c>
      <c r="AE76" s="2">
        <f t="shared" si="48"/>
        <v>0.17</v>
      </c>
      <c r="AF76" s="2">
        <f t="shared" si="49"/>
        <v>29.08</v>
      </c>
      <c r="AG76" s="2">
        <f t="shared" si="72"/>
        <v>0</v>
      </c>
      <c r="AH76" s="2">
        <f t="shared" si="50"/>
        <v>2</v>
      </c>
      <c r="AI76" s="2">
        <f t="shared" si="51"/>
        <v>0</v>
      </c>
      <c r="AJ76" s="2">
        <f t="shared" si="73"/>
        <v>0</v>
      </c>
      <c r="AK76" s="2">
        <v>30.09</v>
      </c>
      <c r="AL76" s="2">
        <v>0.28000000000000003</v>
      </c>
      <c r="AM76" s="2">
        <v>0.73</v>
      </c>
      <c r="AN76" s="2">
        <v>0.17</v>
      </c>
      <c r="AO76" s="2">
        <v>29.08</v>
      </c>
      <c r="AP76" s="2">
        <v>0</v>
      </c>
      <c r="AQ76" s="2">
        <v>2</v>
      </c>
      <c r="AR76" s="2">
        <v>0</v>
      </c>
      <c r="AS76" s="2">
        <v>0</v>
      </c>
      <c r="AT76" s="2">
        <v>0</v>
      </c>
      <c r="AU76" s="2">
        <v>0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3</v>
      </c>
      <c r="BE76" s="2" t="s">
        <v>3</v>
      </c>
      <c r="BF76" s="2" t="s">
        <v>3</v>
      </c>
      <c r="BG76" s="2" t="s">
        <v>3</v>
      </c>
      <c r="BH76" s="2">
        <v>0</v>
      </c>
      <c r="BI76" s="2">
        <v>2</v>
      </c>
      <c r="BJ76" s="2" t="s">
        <v>155</v>
      </c>
      <c r="BK76" s="2"/>
      <c r="BL76" s="2"/>
      <c r="BM76" s="2">
        <v>336</v>
      </c>
      <c r="BN76" s="2">
        <v>0</v>
      </c>
      <c r="BO76" s="2" t="s">
        <v>3</v>
      </c>
      <c r="BP76" s="2">
        <v>0</v>
      </c>
      <c r="BQ76" s="2">
        <v>40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3</v>
      </c>
      <c r="BZ76" s="2">
        <v>0</v>
      </c>
      <c r="CA76" s="2">
        <v>0</v>
      </c>
      <c r="CB76" s="2"/>
      <c r="CC76" s="2"/>
      <c r="CD76" s="2"/>
      <c r="CE76" s="2">
        <v>0</v>
      </c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3</v>
      </c>
      <c r="CO76" s="2">
        <v>0</v>
      </c>
      <c r="CP76" s="2">
        <f t="shared" si="74"/>
        <v>30.09</v>
      </c>
      <c r="CQ76" s="2">
        <f t="shared" si="75"/>
        <v>0.28000000000000003</v>
      </c>
      <c r="CR76" s="2">
        <f t="shared" si="76"/>
        <v>0.73</v>
      </c>
      <c r="CS76" s="2">
        <f t="shared" si="77"/>
        <v>0.17</v>
      </c>
      <c r="CT76" s="2">
        <f t="shared" si="78"/>
        <v>29.08</v>
      </c>
      <c r="CU76" s="2">
        <f t="shared" si="79"/>
        <v>0</v>
      </c>
      <c r="CV76" s="2">
        <f t="shared" si="80"/>
        <v>2</v>
      </c>
      <c r="CW76" s="2">
        <f t="shared" si="81"/>
        <v>0</v>
      </c>
      <c r="CX76" s="2">
        <f t="shared" si="82"/>
        <v>0</v>
      </c>
      <c r="CY76" s="2">
        <f t="shared" si="83"/>
        <v>0</v>
      </c>
      <c r="CZ76" s="2">
        <f t="shared" si="84"/>
        <v>0</v>
      </c>
      <c r="DA76" s="2"/>
      <c r="DB76" s="2"/>
      <c r="DC76" s="2" t="s">
        <v>3</v>
      </c>
      <c r="DD76" s="2" t="s">
        <v>3</v>
      </c>
      <c r="DE76" s="2" t="s">
        <v>3</v>
      </c>
      <c r="DF76" s="2" t="s">
        <v>3</v>
      </c>
      <c r="DG76" s="2" t="s">
        <v>3</v>
      </c>
      <c r="DH76" s="2" t="s">
        <v>3</v>
      </c>
      <c r="DI76" s="2" t="s">
        <v>3</v>
      </c>
      <c r="DJ76" s="2" t="s">
        <v>3</v>
      </c>
      <c r="DK76" s="2" t="s">
        <v>3</v>
      </c>
      <c r="DL76" s="2" t="s">
        <v>3</v>
      </c>
      <c r="DM76" s="2" t="s">
        <v>3</v>
      </c>
      <c r="DN76" s="2">
        <v>114</v>
      </c>
      <c r="DO76" s="2">
        <v>67</v>
      </c>
      <c r="DP76" s="2">
        <v>1.0469999999999999</v>
      </c>
      <c r="DQ76" s="2">
        <v>1</v>
      </c>
      <c r="DR76" s="2"/>
      <c r="DS76" s="2"/>
      <c r="DT76" s="2"/>
      <c r="DU76" s="2">
        <v>1013</v>
      </c>
      <c r="DV76" s="2" t="s">
        <v>25</v>
      </c>
      <c r="DW76" s="2" t="s">
        <v>25</v>
      </c>
      <c r="DX76" s="2">
        <v>1</v>
      </c>
      <c r="DY76" s="2"/>
      <c r="DZ76" s="2"/>
      <c r="EA76" s="2"/>
      <c r="EB76" s="2"/>
      <c r="EC76" s="2"/>
      <c r="ED76" s="2"/>
      <c r="EE76" s="2">
        <v>21987688</v>
      </c>
      <c r="EF76" s="2">
        <v>40</v>
      </c>
      <c r="EG76" s="2" t="s">
        <v>19</v>
      </c>
      <c r="EH76" s="2">
        <v>0</v>
      </c>
      <c r="EI76" s="2" t="s">
        <v>3</v>
      </c>
      <c r="EJ76" s="2">
        <v>2</v>
      </c>
      <c r="EK76" s="2">
        <v>336</v>
      </c>
      <c r="EL76" s="2" t="s">
        <v>46</v>
      </c>
      <c r="EM76" s="2" t="s">
        <v>47</v>
      </c>
      <c r="EN76" s="2"/>
      <c r="EO76" s="2" t="s">
        <v>3</v>
      </c>
      <c r="EP76" s="2"/>
      <c r="EQ76" s="2">
        <v>131072</v>
      </c>
      <c r="ER76" s="2">
        <v>30.09</v>
      </c>
      <c r="ES76" s="2">
        <v>0.28000000000000003</v>
      </c>
      <c r="ET76" s="2">
        <v>0.73</v>
      </c>
      <c r="EU76" s="2">
        <v>0.17</v>
      </c>
      <c r="EV76" s="2">
        <v>29.08</v>
      </c>
      <c r="EW76" s="2">
        <v>2</v>
      </c>
      <c r="EX76" s="2">
        <v>0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5"/>
        <v>0</v>
      </c>
      <c r="FS76" s="2">
        <v>0</v>
      </c>
      <c r="FT76" s="2"/>
      <c r="FU76" s="2"/>
      <c r="FV76" s="2"/>
      <c r="FW76" s="2"/>
      <c r="FX76" s="2">
        <v>114</v>
      </c>
      <c r="FY76" s="2">
        <v>67</v>
      </c>
      <c r="FZ76" s="2"/>
      <c r="GA76" s="2" t="s">
        <v>3</v>
      </c>
      <c r="GB76" s="2"/>
      <c r="GC76" s="2"/>
      <c r="GD76" s="2">
        <v>1</v>
      </c>
      <c r="GE76" s="2"/>
      <c r="GF76" s="2">
        <v>430733507</v>
      </c>
      <c r="GG76" s="2">
        <v>2</v>
      </c>
      <c r="GH76" s="2">
        <v>1</v>
      </c>
      <c r="GI76" s="2">
        <v>-2</v>
      </c>
      <c r="GJ76" s="2">
        <v>0</v>
      </c>
      <c r="GK76" s="2">
        <v>0</v>
      </c>
      <c r="GL76" s="2">
        <f t="shared" si="86"/>
        <v>0</v>
      </c>
      <c r="GM76" s="2">
        <f>ROUND(O76+X76+Y76,2)+GX76</f>
        <v>30.09</v>
      </c>
      <c r="GN76" s="2">
        <f>IF(OR(BI76=0,BI76=1),ROUND(O76+X76+Y76,2),0)</f>
        <v>0</v>
      </c>
      <c r="GO76" s="2">
        <f>IF(BI76=2,ROUND(O76+X76+Y76,2),0)</f>
        <v>30.09</v>
      </c>
      <c r="GP76" s="2">
        <f>IF(BI76=4,ROUND(O76+X76+Y76,2)+GX76,0)</f>
        <v>0</v>
      </c>
      <c r="GQ76" s="2"/>
      <c r="GR76" s="2">
        <v>0</v>
      </c>
      <c r="GS76" s="2">
        <v>3</v>
      </c>
      <c r="GT76" s="2">
        <v>0</v>
      </c>
      <c r="GU76" s="2" t="s">
        <v>3</v>
      </c>
      <c r="GV76" s="2">
        <f t="shared" si="87"/>
        <v>0</v>
      </c>
      <c r="GW76" s="2">
        <v>1</v>
      </c>
      <c r="GX76" s="2">
        <f t="shared" si="88"/>
        <v>0</v>
      </c>
      <c r="GY76" s="2"/>
      <c r="GZ76" s="2"/>
      <c r="HA76" s="2">
        <v>0</v>
      </c>
      <c r="HB76" s="2">
        <v>0</v>
      </c>
      <c r="HC76" s="2">
        <f t="shared" si="89"/>
        <v>0</v>
      </c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ROW(SmtRes!A56)</f>
        <v>56</v>
      </c>
      <c r="D77">
        <f>ROW(EtalonRes!A62)</f>
        <v>62</v>
      </c>
      <c r="E77" t="s">
        <v>152</v>
      </c>
      <c r="F77" t="s">
        <v>153</v>
      </c>
      <c r="G77" t="s">
        <v>154</v>
      </c>
      <c r="H77" t="s">
        <v>25</v>
      </c>
      <c r="I77">
        <v>1</v>
      </c>
      <c r="J77">
        <v>0</v>
      </c>
      <c r="O77">
        <f t="shared" si="60"/>
        <v>638.88</v>
      </c>
      <c r="P77">
        <f t="shared" si="61"/>
        <v>1.51</v>
      </c>
      <c r="Q77">
        <f t="shared" si="62"/>
        <v>6.62</v>
      </c>
      <c r="R77">
        <f t="shared" si="63"/>
        <v>3.69</v>
      </c>
      <c r="S77">
        <f t="shared" si="64"/>
        <v>630.75</v>
      </c>
      <c r="T77">
        <f t="shared" si="65"/>
        <v>0</v>
      </c>
      <c r="U77">
        <f t="shared" si="66"/>
        <v>2</v>
      </c>
      <c r="V77">
        <f t="shared" si="67"/>
        <v>0</v>
      </c>
      <c r="W77">
        <f t="shared" si="68"/>
        <v>0</v>
      </c>
      <c r="X77">
        <f t="shared" si="69"/>
        <v>485.68</v>
      </c>
      <c r="Y77">
        <f t="shared" si="70"/>
        <v>258.61</v>
      </c>
      <c r="AA77">
        <v>55106052</v>
      </c>
      <c r="AB77">
        <f t="shared" si="71"/>
        <v>30.09</v>
      </c>
      <c r="AC77">
        <f t="shared" si="90"/>
        <v>0.28000000000000003</v>
      </c>
      <c r="AD77">
        <f t="shared" si="47"/>
        <v>0.73</v>
      </c>
      <c r="AE77">
        <f t="shared" si="48"/>
        <v>0.17</v>
      </c>
      <c r="AF77">
        <f t="shared" si="49"/>
        <v>29.08</v>
      </c>
      <c r="AG77">
        <f t="shared" si="72"/>
        <v>0</v>
      </c>
      <c r="AH77">
        <f t="shared" si="50"/>
        <v>2</v>
      </c>
      <c r="AI77">
        <f t="shared" si="51"/>
        <v>0</v>
      </c>
      <c r="AJ77">
        <f t="shared" si="73"/>
        <v>0</v>
      </c>
      <c r="AK77">
        <v>30.09</v>
      </c>
      <c r="AL77">
        <v>0.28000000000000003</v>
      </c>
      <c r="AM77">
        <v>0.73</v>
      </c>
      <c r="AN77">
        <v>0.17</v>
      </c>
      <c r="AO77">
        <v>29.08</v>
      </c>
      <c r="AP77">
        <v>0</v>
      </c>
      <c r="AQ77">
        <v>2</v>
      </c>
      <c r="AR77">
        <v>0</v>
      </c>
      <c r="AS77">
        <v>0</v>
      </c>
      <c r="AT77">
        <v>77</v>
      </c>
      <c r="AU77">
        <v>41</v>
      </c>
      <c r="AV77">
        <v>1</v>
      </c>
      <c r="AW77">
        <v>1</v>
      </c>
      <c r="AZ77">
        <v>1</v>
      </c>
      <c r="BA77">
        <v>21.69</v>
      </c>
      <c r="BB77">
        <v>9.07</v>
      </c>
      <c r="BC77">
        <v>5.39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2</v>
      </c>
      <c r="BJ77" t="s">
        <v>155</v>
      </c>
      <c r="BM77">
        <v>336</v>
      </c>
      <c r="BN77">
        <v>0</v>
      </c>
      <c r="BO77" t="s">
        <v>153</v>
      </c>
      <c r="BP77">
        <v>1</v>
      </c>
      <c r="BQ77">
        <v>40</v>
      </c>
      <c r="BR77">
        <v>0</v>
      </c>
      <c r="BS77">
        <v>21.69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77</v>
      </c>
      <c r="CA77">
        <v>41</v>
      </c>
      <c r="CE77">
        <v>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4"/>
        <v>638.88</v>
      </c>
      <c r="CQ77">
        <f t="shared" si="75"/>
        <v>1.5092000000000001</v>
      </c>
      <c r="CR77">
        <f t="shared" si="76"/>
        <v>6.6211000000000002</v>
      </c>
      <c r="CS77">
        <f t="shared" si="77"/>
        <v>3.6873000000000005</v>
      </c>
      <c r="CT77">
        <f t="shared" si="78"/>
        <v>630.74519999999995</v>
      </c>
      <c r="CU77">
        <f t="shared" si="79"/>
        <v>0</v>
      </c>
      <c r="CV77">
        <f t="shared" si="80"/>
        <v>2</v>
      </c>
      <c r="CW77">
        <f t="shared" si="81"/>
        <v>0</v>
      </c>
      <c r="CX77">
        <f t="shared" si="82"/>
        <v>0</v>
      </c>
      <c r="CY77">
        <f t="shared" si="83"/>
        <v>485.67750000000001</v>
      </c>
      <c r="CZ77">
        <f t="shared" si="84"/>
        <v>258.60749999999996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114</v>
      </c>
      <c r="DO77">
        <v>67</v>
      </c>
      <c r="DP77">
        <v>1.0469999999999999</v>
      </c>
      <c r="DQ77">
        <v>1</v>
      </c>
      <c r="DU77">
        <v>1013</v>
      </c>
      <c r="DV77" t="s">
        <v>25</v>
      </c>
      <c r="DW77" t="s">
        <v>25</v>
      </c>
      <c r="DX77">
        <v>1</v>
      </c>
      <c r="EE77">
        <v>21987688</v>
      </c>
      <c r="EF77">
        <v>40</v>
      </c>
      <c r="EG77" t="s">
        <v>19</v>
      </c>
      <c r="EH77">
        <v>0</v>
      </c>
      <c r="EI77" t="s">
        <v>3</v>
      </c>
      <c r="EJ77">
        <v>2</v>
      </c>
      <c r="EK77">
        <v>336</v>
      </c>
      <c r="EL77" t="s">
        <v>46</v>
      </c>
      <c r="EM77" t="s">
        <v>47</v>
      </c>
      <c r="EO77" t="s">
        <v>3</v>
      </c>
      <c r="EQ77">
        <v>131072</v>
      </c>
      <c r="ER77">
        <v>30.09</v>
      </c>
      <c r="ES77">
        <v>0.28000000000000003</v>
      </c>
      <c r="ET77">
        <v>0.73</v>
      </c>
      <c r="EU77">
        <v>0.17</v>
      </c>
      <c r="EV77">
        <v>29.08</v>
      </c>
      <c r="EW77">
        <v>2</v>
      </c>
      <c r="EX77">
        <v>0</v>
      </c>
      <c r="EY77">
        <v>0</v>
      </c>
      <c r="FQ77">
        <v>0</v>
      </c>
      <c r="FR77">
        <f t="shared" si="85"/>
        <v>0</v>
      </c>
      <c r="FS77">
        <v>0</v>
      </c>
      <c r="FX77">
        <v>114</v>
      </c>
      <c r="FY77">
        <v>67</v>
      </c>
      <c r="GA77" t="s">
        <v>3</v>
      </c>
      <c r="GD77">
        <v>0</v>
      </c>
      <c r="GF77">
        <v>430733507</v>
      </c>
      <c r="GG77">
        <v>2</v>
      </c>
      <c r="GH77">
        <v>1</v>
      </c>
      <c r="GI77">
        <v>2</v>
      </c>
      <c r="GJ77">
        <v>0</v>
      </c>
      <c r="GK77">
        <f>ROUND(R77*(S12)/100,2)</f>
        <v>5.79</v>
      </c>
      <c r="GL77">
        <f t="shared" si="86"/>
        <v>0</v>
      </c>
      <c r="GM77">
        <f>ROUND(O77+X77+Y77+GK77,2)+GX77</f>
        <v>1388.96</v>
      </c>
      <c r="GN77">
        <f>IF(OR(BI77=0,BI77=1),ROUND(O77+X77+Y77+GK77,2),0)</f>
        <v>0</v>
      </c>
      <c r="GO77">
        <f>IF(BI77=2,ROUND(O77+X77+Y77+GK77,2),0)</f>
        <v>1388.96</v>
      </c>
      <c r="GP77">
        <f>IF(BI77=4,ROUND(O77+X77+Y77+GK77,2)+GX77,0)</f>
        <v>0</v>
      </c>
      <c r="GR77">
        <v>0</v>
      </c>
      <c r="GS77">
        <v>3</v>
      </c>
      <c r="GT77">
        <v>0</v>
      </c>
      <c r="GU77" t="s">
        <v>3</v>
      </c>
      <c r="GV77">
        <f t="shared" si="87"/>
        <v>0</v>
      </c>
      <c r="GW77">
        <v>1</v>
      </c>
      <c r="GX77">
        <f t="shared" si="88"/>
        <v>0</v>
      </c>
      <c r="HA77">
        <v>0</v>
      </c>
      <c r="HB77">
        <v>0</v>
      </c>
      <c r="HC77">
        <f t="shared" si="89"/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ROW(SmtRes!A57)</f>
        <v>57</v>
      </c>
      <c r="D78" s="2">
        <f>ROW(EtalonRes!A63)</f>
        <v>63</v>
      </c>
      <c r="E78" s="2" t="s">
        <v>156</v>
      </c>
      <c r="F78" s="2" t="s">
        <v>157</v>
      </c>
      <c r="G78" s="2" t="s">
        <v>158</v>
      </c>
      <c r="H78" s="2" t="s">
        <v>159</v>
      </c>
      <c r="I78" s="2">
        <v>5</v>
      </c>
      <c r="J78" s="2">
        <v>0</v>
      </c>
      <c r="K78" s="2"/>
      <c r="L78" s="2"/>
      <c r="M78" s="2"/>
      <c r="N78" s="2"/>
      <c r="O78" s="2">
        <f t="shared" si="60"/>
        <v>519.04</v>
      </c>
      <c r="P78" s="2">
        <f t="shared" si="61"/>
        <v>0</v>
      </c>
      <c r="Q78" s="2">
        <f t="shared" si="62"/>
        <v>0</v>
      </c>
      <c r="R78" s="2">
        <f t="shared" si="63"/>
        <v>0</v>
      </c>
      <c r="S78" s="2">
        <f t="shared" si="64"/>
        <v>519.04</v>
      </c>
      <c r="T78" s="2">
        <f t="shared" si="65"/>
        <v>0</v>
      </c>
      <c r="U78" s="2">
        <f t="shared" si="66"/>
        <v>24.24</v>
      </c>
      <c r="V78" s="2">
        <f t="shared" si="67"/>
        <v>0</v>
      </c>
      <c r="W78" s="2">
        <f t="shared" si="68"/>
        <v>0</v>
      </c>
      <c r="X78" s="2">
        <f t="shared" si="69"/>
        <v>0</v>
      </c>
      <c r="Y78" s="2">
        <f t="shared" si="70"/>
        <v>0</v>
      </c>
      <c r="Z78" s="2"/>
      <c r="AA78" s="2">
        <v>55106055</v>
      </c>
      <c r="AB78" s="2">
        <f t="shared" si="71"/>
        <v>103.80800000000001</v>
      </c>
      <c r="AC78" s="2">
        <f t="shared" si="90"/>
        <v>0</v>
      </c>
      <c r="AD78" s="2">
        <f>ROUND((ET78),6)</f>
        <v>0</v>
      </c>
      <c r="AE78" s="2">
        <f>ROUND((EU78),6)</f>
        <v>0</v>
      </c>
      <c r="AF78" s="2">
        <f>ROUND(((EV78*0.8)),6)</f>
        <v>103.80800000000001</v>
      </c>
      <c r="AG78" s="2">
        <f t="shared" si="72"/>
        <v>0</v>
      </c>
      <c r="AH78" s="2">
        <f>((EW78*0.8))</f>
        <v>4.8479999999999999</v>
      </c>
      <c r="AI78" s="2">
        <f>(EX78)</f>
        <v>0</v>
      </c>
      <c r="AJ78" s="2">
        <f t="shared" si="73"/>
        <v>0</v>
      </c>
      <c r="AK78" s="2">
        <v>129.76</v>
      </c>
      <c r="AL78" s="2">
        <v>0</v>
      </c>
      <c r="AM78" s="2">
        <v>0</v>
      </c>
      <c r="AN78" s="2">
        <v>0</v>
      </c>
      <c r="AO78" s="2">
        <v>129.76</v>
      </c>
      <c r="AP78" s="2">
        <v>0</v>
      </c>
      <c r="AQ78" s="2">
        <v>6.06</v>
      </c>
      <c r="AR78" s="2">
        <v>0</v>
      </c>
      <c r="AS78" s="2">
        <v>0</v>
      </c>
      <c r="AT78" s="2">
        <v>0</v>
      </c>
      <c r="AU78" s="2">
        <v>0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3</v>
      </c>
      <c r="BE78" s="2" t="s">
        <v>3</v>
      </c>
      <c r="BF78" s="2" t="s">
        <v>3</v>
      </c>
      <c r="BG78" s="2" t="s">
        <v>3</v>
      </c>
      <c r="BH78" s="2">
        <v>0</v>
      </c>
      <c r="BI78" s="2">
        <v>4</v>
      </c>
      <c r="BJ78" s="2" t="s">
        <v>160</v>
      </c>
      <c r="BK78" s="2"/>
      <c r="BL78" s="2"/>
      <c r="BM78" s="2">
        <v>2007</v>
      </c>
      <c r="BN78" s="2">
        <v>0</v>
      </c>
      <c r="BO78" s="2" t="s">
        <v>3</v>
      </c>
      <c r="BP78" s="2">
        <v>0</v>
      </c>
      <c r="BQ78" s="2">
        <v>0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3</v>
      </c>
      <c r="BZ78" s="2">
        <v>0</v>
      </c>
      <c r="CA78" s="2">
        <v>0</v>
      </c>
      <c r="CB78" s="2"/>
      <c r="CC78" s="2"/>
      <c r="CD78" s="2"/>
      <c r="CE78" s="2">
        <v>0</v>
      </c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3</v>
      </c>
      <c r="CO78" s="2">
        <v>0</v>
      </c>
      <c r="CP78" s="2">
        <f t="shared" si="74"/>
        <v>519.04</v>
      </c>
      <c r="CQ78" s="2">
        <f>AC78*BC78</f>
        <v>0</v>
      </c>
      <c r="CR78" s="2">
        <f>AD78*BB78</f>
        <v>0</v>
      </c>
      <c r="CS78" s="2">
        <f>AE78*BS78</f>
        <v>0</v>
      </c>
      <c r="CT78" s="2">
        <f>AF78*BA78</f>
        <v>103.80800000000001</v>
      </c>
      <c r="CU78" s="2">
        <f t="shared" si="79"/>
        <v>0</v>
      </c>
      <c r="CV78" s="2">
        <f>AH78</f>
        <v>4.8479999999999999</v>
      </c>
      <c r="CW78" s="2">
        <f t="shared" si="81"/>
        <v>0</v>
      </c>
      <c r="CX78" s="2">
        <f t="shared" si="82"/>
        <v>0</v>
      </c>
      <c r="CY78" s="2">
        <f t="shared" si="83"/>
        <v>0</v>
      </c>
      <c r="CZ78" s="2">
        <f t="shared" si="84"/>
        <v>0</v>
      </c>
      <c r="DA78" s="2"/>
      <c r="DB78" s="2"/>
      <c r="DC78" s="2" t="s">
        <v>3</v>
      </c>
      <c r="DD78" s="2" t="s">
        <v>3</v>
      </c>
      <c r="DE78" s="2" t="s">
        <v>3</v>
      </c>
      <c r="DF78" s="2" t="s">
        <v>3</v>
      </c>
      <c r="DG78" s="2" t="s">
        <v>161</v>
      </c>
      <c r="DH78" s="2" t="s">
        <v>3</v>
      </c>
      <c r="DI78" s="2" t="s">
        <v>161</v>
      </c>
      <c r="DJ78" s="2" t="s">
        <v>3</v>
      </c>
      <c r="DK78" s="2" t="s">
        <v>3</v>
      </c>
      <c r="DL78" s="2" t="s">
        <v>3</v>
      </c>
      <c r="DM78" s="2" t="s">
        <v>3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22653800</v>
      </c>
      <c r="DV78" s="2" t="s">
        <v>159</v>
      </c>
      <c r="DW78" s="2" t="s">
        <v>159</v>
      </c>
      <c r="DX78" s="2">
        <v>0</v>
      </c>
      <c r="DY78" s="2"/>
      <c r="DZ78" s="2"/>
      <c r="EA78" s="2"/>
      <c r="EB78" s="2"/>
      <c r="EC78" s="2"/>
      <c r="ED78" s="2"/>
      <c r="EE78" s="2">
        <v>0</v>
      </c>
      <c r="EF78" s="2">
        <v>0</v>
      </c>
      <c r="EG78" s="2" t="s">
        <v>3</v>
      </c>
      <c r="EH78" s="2">
        <v>0</v>
      </c>
      <c r="EI78" s="2" t="s">
        <v>3</v>
      </c>
      <c r="EJ78" s="2">
        <v>0</v>
      </c>
      <c r="EK78" s="2">
        <v>2007</v>
      </c>
      <c r="EL78" s="2" t="s">
        <v>3</v>
      </c>
      <c r="EM78" s="2" t="s">
        <v>3</v>
      </c>
      <c r="EN78" s="2"/>
      <c r="EO78" s="2" t="s">
        <v>3</v>
      </c>
      <c r="EP78" s="2"/>
      <c r="EQ78" s="2">
        <v>131072</v>
      </c>
      <c r="ER78" s="2">
        <v>129.76</v>
      </c>
      <c r="ES78" s="2">
        <v>0</v>
      </c>
      <c r="ET78" s="2">
        <v>0</v>
      </c>
      <c r="EU78" s="2">
        <v>0</v>
      </c>
      <c r="EV78" s="2">
        <v>129.76</v>
      </c>
      <c r="EW78" s="2">
        <v>6.06</v>
      </c>
      <c r="EX78" s="2">
        <v>0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5"/>
        <v>0</v>
      </c>
      <c r="FS78" s="2">
        <v>0</v>
      </c>
      <c r="FT78" s="2"/>
      <c r="FU78" s="2"/>
      <c r="FV78" s="2"/>
      <c r="FW78" s="2"/>
      <c r="FX78" s="2">
        <v>0</v>
      </c>
      <c r="FY78" s="2">
        <v>0</v>
      </c>
      <c r="FZ78" s="2"/>
      <c r="GA78" s="2" t="s">
        <v>3</v>
      </c>
      <c r="GB78" s="2"/>
      <c r="GC78" s="2"/>
      <c r="GD78" s="2">
        <v>1</v>
      </c>
      <c r="GE78" s="2"/>
      <c r="GF78" s="2">
        <v>1839164997</v>
      </c>
      <c r="GG78" s="2">
        <v>2</v>
      </c>
      <c r="GH78" s="2">
        <v>1</v>
      </c>
      <c r="GI78" s="2">
        <v>-2</v>
      </c>
      <c r="GJ78" s="2">
        <v>0</v>
      </c>
      <c r="GK78" s="2">
        <v>0</v>
      </c>
      <c r="GL78" s="2">
        <f t="shared" si="86"/>
        <v>0</v>
      </c>
      <c r="GM78" s="2">
        <f>ROUND(O78+X78+Y78,2)+GX78</f>
        <v>519.04</v>
      </c>
      <c r="GN78" s="2">
        <f>IF(OR(BI78=0,BI78=1),ROUND(O78+X78+Y78,2),0)</f>
        <v>0</v>
      </c>
      <c r="GO78" s="2">
        <f>IF(BI78=2,ROUND(O78+X78+Y78,2),0)</f>
        <v>0</v>
      </c>
      <c r="GP78" s="2">
        <f>IF(BI78=4,ROUND(O78+X78+Y78,2)+GX78,0)</f>
        <v>519.04</v>
      </c>
      <c r="GQ78" s="2"/>
      <c r="GR78" s="2">
        <v>0</v>
      </c>
      <c r="GS78" s="2">
        <v>0</v>
      </c>
      <c r="GT78" s="2">
        <v>0</v>
      </c>
      <c r="GU78" s="2" t="s">
        <v>3</v>
      </c>
      <c r="GV78" s="2">
        <f t="shared" si="87"/>
        <v>0</v>
      </c>
      <c r="GW78" s="2">
        <v>1</v>
      </c>
      <c r="GX78" s="2">
        <f t="shared" si="88"/>
        <v>0</v>
      </c>
      <c r="GY78" s="2"/>
      <c r="GZ78" s="2"/>
      <c r="HA78" s="2">
        <v>0</v>
      </c>
      <c r="HB78" s="2">
        <v>0</v>
      </c>
      <c r="HC78" s="2">
        <f t="shared" si="89"/>
        <v>0</v>
      </c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ROW(SmtRes!A58)</f>
        <v>58</v>
      </c>
      <c r="D79">
        <f>ROW(EtalonRes!A64)</f>
        <v>64</v>
      </c>
      <c r="E79" t="s">
        <v>156</v>
      </c>
      <c r="F79" t="s">
        <v>157</v>
      </c>
      <c r="G79" t="s">
        <v>158</v>
      </c>
      <c r="H79" t="s">
        <v>159</v>
      </c>
      <c r="I79">
        <v>5</v>
      </c>
      <c r="J79">
        <v>0</v>
      </c>
      <c r="O79">
        <f t="shared" si="60"/>
        <v>11257.98</v>
      </c>
      <c r="P79">
        <f t="shared" si="61"/>
        <v>0</v>
      </c>
      <c r="Q79">
        <f t="shared" si="62"/>
        <v>0</v>
      </c>
      <c r="R79">
        <f t="shared" si="63"/>
        <v>0</v>
      </c>
      <c r="S79">
        <f t="shared" si="64"/>
        <v>11257.98</v>
      </c>
      <c r="T79">
        <f t="shared" si="65"/>
        <v>0</v>
      </c>
      <c r="U79">
        <f t="shared" si="66"/>
        <v>24.24</v>
      </c>
      <c r="V79">
        <f t="shared" si="67"/>
        <v>0</v>
      </c>
      <c r="W79">
        <f t="shared" si="68"/>
        <v>0</v>
      </c>
      <c r="X79">
        <f t="shared" si="69"/>
        <v>7655.43</v>
      </c>
      <c r="Y79">
        <f t="shared" si="70"/>
        <v>4615.7700000000004</v>
      </c>
      <c r="AA79">
        <v>55106052</v>
      </c>
      <c r="AB79">
        <f t="shared" si="71"/>
        <v>103.80800000000001</v>
      </c>
      <c r="AC79">
        <f t="shared" si="90"/>
        <v>0</v>
      </c>
      <c r="AD79">
        <f>ROUND((ET79),6)</f>
        <v>0</v>
      </c>
      <c r="AE79">
        <f>ROUND((EU79),6)</f>
        <v>0</v>
      </c>
      <c r="AF79">
        <f>ROUND(((EV79*0.8)),6)</f>
        <v>103.80800000000001</v>
      </c>
      <c r="AG79">
        <f t="shared" si="72"/>
        <v>0</v>
      </c>
      <c r="AH79">
        <f>((EW79*0.8))</f>
        <v>4.8479999999999999</v>
      </c>
      <c r="AI79">
        <f>(EX79)</f>
        <v>0</v>
      </c>
      <c r="AJ79">
        <f t="shared" si="73"/>
        <v>0</v>
      </c>
      <c r="AK79">
        <v>129.76</v>
      </c>
      <c r="AL79">
        <v>0</v>
      </c>
      <c r="AM79">
        <v>0</v>
      </c>
      <c r="AN79">
        <v>0</v>
      </c>
      <c r="AO79">
        <v>129.76</v>
      </c>
      <c r="AP79">
        <v>0</v>
      </c>
      <c r="AQ79">
        <v>6.06</v>
      </c>
      <c r="AR79">
        <v>0</v>
      </c>
      <c r="AS79">
        <v>0</v>
      </c>
      <c r="AT79">
        <v>68</v>
      </c>
      <c r="AU79">
        <v>41</v>
      </c>
      <c r="AV79">
        <v>1</v>
      </c>
      <c r="AW79">
        <v>1</v>
      </c>
      <c r="AZ79">
        <v>1</v>
      </c>
      <c r="BA79">
        <v>21.69</v>
      </c>
      <c r="BB79">
        <v>21.69</v>
      </c>
      <c r="BC79">
        <v>21.69</v>
      </c>
      <c r="BD79" t="s">
        <v>3</v>
      </c>
      <c r="BE79" t="s">
        <v>3</v>
      </c>
      <c r="BF79" t="s">
        <v>3</v>
      </c>
      <c r="BG79" t="s">
        <v>3</v>
      </c>
      <c r="BH79">
        <v>0</v>
      </c>
      <c r="BI79">
        <v>4</v>
      </c>
      <c r="BJ79" t="s">
        <v>160</v>
      </c>
      <c r="BM79">
        <v>2007</v>
      </c>
      <c r="BN79">
        <v>0</v>
      </c>
      <c r="BO79" t="s">
        <v>3</v>
      </c>
      <c r="BP79">
        <v>0</v>
      </c>
      <c r="BQ79">
        <v>0</v>
      </c>
      <c r="BR79">
        <v>0</v>
      </c>
      <c r="BS79">
        <v>21.69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68</v>
      </c>
      <c r="CA79">
        <v>41</v>
      </c>
      <c r="CE79">
        <v>0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4"/>
        <v>11257.98</v>
      </c>
      <c r="CQ79">
        <f>AC79*BC79</f>
        <v>0</v>
      </c>
      <c r="CR79">
        <f>AD79*BB79</f>
        <v>0</v>
      </c>
      <c r="CS79">
        <f>AE79*BS79</f>
        <v>0</v>
      </c>
      <c r="CT79">
        <f>AF79*BA79</f>
        <v>2251.5955200000003</v>
      </c>
      <c r="CU79">
        <f t="shared" si="79"/>
        <v>0</v>
      </c>
      <c r="CV79">
        <f>AH79</f>
        <v>4.8479999999999999</v>
      </c>
      <c r="CW79">
        <f t="shared" si="81"/>
        <v>0</v>
      </c>
      <c r="CX79">
        <f t="shared" si="82"/>
        <v>0</v>
      </c>
      <c r="CY79">
        <f t="shared" si="83"/>
        <v>7655.4264000000003</v>
      </c>
      <c r="CZ79">
        <f t="shared" si="84"/>
        <v>4615.7717999999995</v>
      </c>
      <c r="DC79" t="s">
        <v>3</v>
      </c>
      <c r="DD79" t="s">
        <v>3</v>
      </c>
      <c r="DE79" t="s">
        <v>3</v>
      </c>
      <c r="DF79" t="s">
        <v>3</v>
      </c>
      <c r="DG79" t="s">
        <v>161</v>
      </c>
      <c r="DH79" t="s">
        <v>3</v>
      </c>
      <c r="DI79" t="s">
        <v>161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22653800</v>
      </c>
      <c r="DV79" t="s">
        <v>159</v>
      </c>
      <c r="DW79" t="s">
        <v>159</v>
      </c>
      <c r="DX79">
        <v>0</v>
      </c>
      <c r="EE79">
        <v>0</v>
      </c>
      <c r="EF79">
        <v>0</v>
      </c>
      <c r="EG79" t="s">
        <v>3</v>
      </c>
      <c r="EH79">
        <v>0</v>
      </c>
      <c r="EI79" t="s">
        <v>3</v>
      </c>
      <c r="EJ79">
        <v>0</v>
      </c>
      <c r="EK79">
        <v>2007</v>
      </c>
      <c r="EL79" t="s">
        <v>3</v>
      </c>
      <c r="EM79" t="s">
        <v>3</v>
      </c>
      <c r="EO79" t="s">
        <v>3</v>
      </c>
      <c r="EQ79">
        <v>131072</v>
      </c>
      <c r="ER79">
        <v>129.76</v>
      </c>
      <c r="ES79">
        <v>0</v>
      </c>
      <c r="ET79">
        <v>0</v>
      </c>
      <c r="EU79">
        <v>0</v>
      </c>
      <c r="EV79">
        <v>129.76</v>
      </c>
      <c r="EW79">
        <v>6.06</v>
      </c>
      <c r="EX79">
        <v>0</v>
      </c>
      <c r="EY79">
        <v>0</v>
      </c>
      <c r="FQ79">
        <v>0</v>
      </c>
      <c r="FR79">
        <f t="shared" si="85"/>
        <v>0</v>
      </c>
      <c r="FS79">
        <v>0</v>
      </c>
      <c r="FX79">
        <v>0</v>
      </c>
      <c r="FY79">
        <v>0</v>
      </c>
      <c r="GA79" t="s">
        <v>3</v>
      </c>
      <c r="GD79">
        <v>0</v>
      </c>
      <c r="GF79">
        <v>1839164997</v>
      </c>
      <c r="GG79">
        <v>2</v>
      </c>
      <c r="GH79">
        <v>1</v>
      </c>
      <c r="GI79">
        <v>2</v>
      </c>
      <c r="GJ79">
        <v>0</v>
      </c>
      <c r="GK79">
        <f>ROUND(R79*(S12)/100,2)</f>
        <v>0</v>
      </c>
      <c r="GL79">
        <f t="shared" si="86"/>
        <v>0</v>
      </c>
      <c r="GM79">
        <f>ROUND(O79+X79+Y79+GK79,2)+GX79</f>
        <v>23529.18</v>
      </c>
      <c r="GN79">
        <f>IF(OR(BI79=0,BI79=1),ROUND(O79+X79+Y79+GK79,2),0)</f>
        <v>0</v>
      </c>
      <c r="GO79">
        <f>IF(BI79=2,ROUND(O79+X79+Y79+GK79,2),0)</f>
        <v>0</v>
      </c>
      <c r="GP79">
        <f>IF(BI79=4,ROUND(O79+X79+Y79+GK79,2)+GX79,0)</f>
        <v>23529.18</v>
      </c>
      <c r="GR79">
        <v>0</v>
      </c>
      <c r="GS79">
        <v>3</v>
      </c>
      <c r="GT79">
        <v>0</v>
      </c>
      <c r="GU79" t="s">
        <v>3</v>
      </c>
      <c r="GV79">
        <f t="shared" si="87"/>
        <v>0</v>
      </c>
      <c r="GW79">
        <v>1</v>
      </c>
      <c r="GX79">
        <f t="shared" si="88"/>
        <v>0</v>
      </c>
      <c r="HA79">
        <v>0</v>
      </c>
      <c r="HB79">
        <v>0</v>
      </c>
      <c r="HC79">
        <f t="shared" si="89"/>
        <v>0</v>
      </c>
      <c r="IK79">
        <v>0</v>
      </c>
    </row>
    <row r="81" spans="1:255" x14ac:dyDescent="0.2">
      <c r="A81" s="1">
        <v>4</v>
      </c>
      <c r="B81" s="1">
        <v>1</v>
      </c>
      <c r="C81" s="1"/>
      <c r="D81" s="1">
        <f>ROW(A100)</f>
        <v>100</v>
      </c>
      <c r="E81" s="1"/>
      <c r="F81" s="1" t="s">
        <v>162</v>
      </c>
      <c r="G81" s="1" t="s">
        <v>163</v>
      </c>
      <c r="H81" s="1" t="s">
        <v>3</v>
      </c>
      <c r="I81" s="1">
        <v>0</v>
      </c>
      <c r="J81" s="1"/>
      <c r="K81" s="1">
        <v>0</v>
      </c>
      <c r="L81" s="1"/>
      <c r="M81" s="1"/>
      <c r="N81" s="1"/>
      <c r="O81" s="1"/>
      <c r="P81" s="1"/>
      <c r="Q81" s="1"/>
      <c r="R81" s="1"/>
      <c r="S81" s="1"/>
      <c r="T81" s="1"/>
      <c r="U81" s="1" t="s">
        <v>3</v>
      </c>
      <c r="V81" s="1">
        <v>0</v>
      </c>
      <c r="W81" s="1"/>
      <c r="X81" s="1"/>
      <c r="Y81" s="1"/>
      <c r="Z81" s="1"/>
      <c r="AA81" s="1"/>
      <c r="AB81" s="1" t="s">
        <v>3</v>
      </c>
      <c r="AC81" s="1" t="s">
        <v>3</v>
      </c>
      <c r="AD81" s="1" t="s">
        <v>3</v>
      </c>
      <c r="AE81" s="1" t="s">
        <v>3</v>
      </c>
      <c r="AF81" s="1" t="s">
        <v>3</v>
      </c>
      <c r="AG81" s="1" t="s">
        <v>3</v>
      </c>
      <c r="AH81" s="1"/>
      <c r="AI81" s="1"/>
      <c r="AJ81" s="1"/>
      <c r="AK81" s="1"/>
      <c r="AL81" s="1"/>
      <c r="AM81" s="1"/>
      <c r="AN81" s="1"/>
      <c r="AO81" s="1"/>
      <c r="AP81" s="1" t="s">
        <v>3</v>
      </c>
      <c r="AQ81" s="1" t="s">
        <v>3</v>
      </c>
      <c r="AR81" s="1" t="s">
        <v>3</v>
      </c>
      <c r="AS81" s="1"/>
      <c r="AT81" s="1"/>
      <c r="AU81" s="1"/>
      <c r="AV81" s="1"/>
      <c r="AW81" s="1"/>
      <c r="AX81" s="1"/>
      <c r="AY81" s="1"/>
      <c r="AZ81" s="1" t="s">
        <v>3</v>
      </c>
      <c r="BA81" s="1"/>
      <c r="BB81" s="1" t="s">
        <v>3</v>
      </c>
      <c r="BC81" s="1" t="s">
        <v>3</v>
      </c>
      <c r="BD81" s="1" t="s">
        <v>3</v>
      </c>
      <c r="BE81" s="1" t="s">
        <v>3</v>
      </c>
      <c r="BF81" s="1" t="s">
        <v>3</v>
      </c>
      <c r="BG81" s="1" t="s">
        <v>3</v>
      </c>
      <c r="BH81" s="1" t="s">
        <v>3</v>
      </c>
      <c r="BI81" s="1" t="s">
        <v>3</v>
      </c>
      <c r="BJ81" s="1" t="s">
        <v>3</v>
      </c>
      <c r="BK81" s="1" t="s">
        <v>3</v>
      </c>
      <c r="BL81" s="1" t="s">
        <v>3</v>
      </c>
      <c r="BM81" s="1" t="s">
        <v>3</v>
      </c>
      <c r="BN81" s="1" t="s">
        <v>3</v>
      </c>
      <c r="BO81" s="1" t="s">
        <v>3</v>
      </c>
      <c r="BP81" s="1" t="s">
        <v>3</v>
      </c>
      <c r="BQ81" s="1"/>
      <c r="BR81" s="1"/>
      <c r="BS81" s="1"/>
      <c r="BT81" s="1"/>
      <c r="BU81" s="1"/>
      <c r="BV81" s="1"/>
      <c r="BW81" s="1"/>
      <c r="BX81" s="1">
        <v>0</v>
      </c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>
        <v>0</v>
      </c>
    </row>
    <row r="83" spans="1:255" x14ac:dyDescent="0.2">
      <c r="A83" s="3">
        <v>52</v>
      </c>
      <c r="B83" s="3">
        <f t="shared" ref="B83:G83" si="95">B100</f>
        <v>1</v>
      </c>
      <c r="C83" s="3">
        <f t="shared" si="95"/>
        <v>4</v>
      </c>
      <c r="D83" s="3">
        <f t="shared" si="95"/>
        <v>81</v>
      </c>
      <c r="E83" s="3">
        <f t="shared" si="95"/>
        <v>0</v>
      </c>
      <c r="F83" s="3" t="str">
        <f t="shared" si="95"/>
        <v>Новый раздел</v>
      </c>
      <c r="G83" s="3" t="str">
        <f t="shared" si="95"/>
        <v>Оборудование</v>
      </c>
      <c r="H83" s="3"/>
      <c r="I83" s="3"/>
      <c r="J83" s="3"/>
      <c r="K83" s="3"/>
      <c r="L83" s="3"/>
      <c r="M83" s="3"/>
      <c r="N83" s="3"/>
      <c r="O83" s="3">
        <f t="shared" ref="O83:AT83" si="96">O100</f>
        <v>31380.37</v>
      </c>
      <c r="P83" s="3">
        <f t="shared" si="96"/>
        <v>31380.37</v>
      </c>
      <c r="Q83" s="3">
        <f t="shared" si="96"/>
        <v>0</v>
      </c>
      <c r="R83" s="3">
        <f t="shared" si="96"/>
        <v>0</v>
      </c>
      <c r="S83" s="3">
        <f t="shared" si="96"/>
        <v>0</v>
      </c>
      <c r="T83" s="3">
        <f t="shared" si="96"/>
        <v>0</v>
      </c>
      <c r="U83" s="3">
        <f t="shared" si="96"/>
        <v>0</v>
      </c>
      <c r="V83" s="3">
        <f t="shared" si="96"/>
        <v>0</v>
      </c>
      <c r="W83" s="3">
        <f t="shared" si="96"/>
        <v>0</v>
      </c>
      <c r="X83" s="3">
        <f t="shared" si="96"/>
        <v>0</v>
      </c>
      <c r="Y83" s="3">
        <f t="shared" si="96"/>
        <v>0</v>
      </c>
      <c r="Z83" s="3">
        <f t="shared" si="96"/>
        <v>0</v>
      </c>
      <c r="AA83" s="3">
        <f t="shared" si="96"/>
        <v>0</v>
      </c>
      <c r="AB83" s="3">
        <f t="shared" si="96"/>
        <v>31380.37</v>
      </c>
      <c r="AC83" s="3">
        <f t="shared" si="96"/>
        <v>31380.37</v>
      </c>
      <c r="AD83" s="3">
        <f t="shared" si="96"/>
        <v>0</v>
      </c>
      <c r="AE83" s="3">
        <f t="shared" si="96"/>
        <v>0</v>
      </c>
      <c r="AF83" s="3">
        <f t="shared" si="96"/>
        <v>0</v>
      </c>
      <c r="AG83" s="3">
        <f t="shared" si="96"/>
        <v>0</v>
      </c>
      <c r="AH83" s="3">
        <f t="shared" si="96"/>
        <v>0</v>
      </c>
      <c r="AI83" s="3">
        <f t="shared" si="96"/>
        <v>0</v>
      </c>
      <c r="AJ83" s="3">
        <f t="shared" si="96"/>
        <v>0</v>
      </c>
      <c r="AK83" s="3">
        <f t="shared" si="96"/>
        <v>0</v>
      </c>
      <c r="AL83" s="3">
        <f t="shared" si="96"/>
        <v>0</v>
      </c>
      <c r="AM83" s="3">
        <f t="shared" si="96"/>
        <v>0</v>
      </c>
      <c r="AN83" s="3">
        <f t="shared" si="96"/>
        <v>0</v>
      </c>
      <c r="AO83" s="3">
        <f t="shared" si="96"/>
        <v>0</v>
      </c>
      <c r="AP83" s="3">
        <f t="shared" si="96"/>
        <v>31380.37</v>
      </c>
      <c r="AQ83" s="3">
        <f t="shared" si="96"/>
        <v>0</v>
      </c>
      <c r="AR83" s="3">
        <f t="shared" si="96"/>
        <v>31380.37</v>
      </c>
      <c r="AS83" s="3">
        <f t="shared" si="96"/>
        <v>0</v>
      </c>
      <c r="AT83" s="3">
        <f t="shared" si="96"/>
        <v>0</v>
      </c>
      <c r="AU83" s="3">
        <f t="shared" ref="AU83:BZ83" si="97">AU100</f>
        <v>0</v>
      </c>
      <c r="AV83" s="3">
        <f t="shared" si="97"/>
        <v>31380.37</v>
      </c>
      <c r="AW83" s="3">
        <f t="shared" si="97"/>
        <v>0</v>
      </c>
      <c r="AX83" s="3">
        <f t="shared" si="97"/>
        <v>0</v>
      </c>
      <c r="AY83" s="3">
        <f t="shared" si="97"/>
        <v>0</v>
      </c>
      <c r="AZ83" s="3">
        <f t="shared" si="97"/>
        <v>31380.37</v>
      </c>
      <c r="BA83" s="3">
        <f t="shared" si="97"/>
        <v>0</v>
      </c>
      <c r="BB83" s="3">
        <f t="shared" si="97"/>
        <v>0</v>
      </c>
      <c r="BC83" s="3">
        <f t="shared" si="97"/>
        <v>0</v>
      </c>
      <c r="BD83" s="3">
        <f t="shared" si="97"/>
        <v>0</v>
      </c>
      <c r="BE83" s="3">
        <f t="shared" si="97"/>
        <v>0</v>
      </c>
      <c r="BF83" s="3">
        <f t="shared" si="97"/>
        <v>0</v>
      </c>
      <c r="BG83" s="3">
        <f t="shared" si="97"/>
        <v>0</v>
      </c>
      <c r="BH83" s="3">
        <f t="shared" si="97"/>
        <v>0</v>
      </c>
      <c r="BI83" s="3">
        <f t="shared" si="97"/>
        <v>0</v>
      </c>
      <c r="BJ83" s="3">
        <f t="shared" si="97"/>
        <v>0</v>
      </c>
      <c r="BK83" s="3">
        <f t="shared" si="97"/>
        <v>0</v>
      </c>
      <c r="BL83" s="3">
        <f t="shared" si="97"/>
        <v>0</v>
      </c>
      <c r="BM83" s="3">
        <f t="shared" si="97"/>
        <v>0</v>
      </c>
      <c r="BN83" s="3">
        <f t="shared" si="97"/>
        <v>0</v>
      </c>
      <c r="BO83" s="3">
        <f t="shared" si="97"/>
        <v>0</v>
      </c>
      <c r="BP83" s="3">
        <f t="shared" si="97"/>
        <v>0</v>
      </c>
      <c r="BQ83" s="3">
        <f t="shared" si="97"/>
        <v>0</v>
      </c>
      <c r="BR83" s="3">
        <f t="shared" si="97"/>
        <v>0</v>
      </c>
      <c r="BS83" s="3">
        <f t="shared" si="97"/>
        <v>0</v>
      </c>
      <c r="BT83" s="3">
        <f t="shared" si="97"/>
        <v>0</v>
      </c>
      <c r="BU83" s="3">
        <f t="shared" si="97"/>
        <v>0</v>
      </c>
      <c r="BV83" s="3">
        <f t="shared" si="97"/>
        <v>0</v>
      </c>
      <c r="BW83" s="3">
        <f t="shared" si="97"/>
        <v>0</v>
      </c>
      <c r="BX83" s="3">
        <f t="shared" si="97"/>
        <v>0</v>
      </c>
      <c r="BY83" s="3">
        <f t="shared" si="97"/>
        <v>31380.37</v>
      </c>
      <c r="BZ83" s="3">
        <f t="shared" si="97"/>
        <v>0</v>
      </c>
      <c r="CA83" s="3">
        <f t="shared" ref="CA83:DF83" si="98">CA100</f>
        <v>31380.37</v>
      </c>
      <c r="CB83" s="3">
        <f t="shared" si="98"/>
        <v>0</v>
      </c>
      <c r="CC83" s="3">
        <f t="shared" si="98"/>
        <v>0</v>
      </c>
      <c r="CD83" s="3">
        <f t="shared" si="98"/>
        <v>0</v>
      </c>
      <c r="CE83" s="3">
        <f t="shared" si="98"/>
        <v>31380.37</v>
      </c>
      <c r="CF83" s="3">
        <f t="shared" si="98"/>
        <v>0</v>
      </c>
      <c r="CG83" s="3">
        <f t="shared" si="98"/>
        <v>0</v>
      </c>
      <c r="CH83" s="3">
        <f t="shared" si="98"/>
        <v>0</v>
      </c>
      <c r="CI83" s="3">
        <f t="shared" si="98"/>
        <v>31380.37</v>
      </c>
      <c r="CJ83" s="3">
        <f t="shared" si="98"/>
        <v>0</v>
      </c>
      <c r="CK83" s="3">
        <f t="shared" si="98"/>
        <v>0</v>
      </c>
      <c r="CL83" s="3">
        <f t="shared" si="98"/>
        <v>0</v>
      </c>
      <c r="CM83" s="3">
        <f t="shared" si="98"/>
        <v>0</v>
      </c>
      <c r="CN83" s="3">
        <f t="shared" si="98"/>
        <v>0</v>
      </c>
      <c r="CO83" s="3">
        <f t="shared" si="98"/>
        <v>0</v>
      </c>
      <c r="CP83" s="3">
        <f t="shared" si="98"/>
        <v>0</v>
      </c>
      <c r="CQ83" s="3">
        <f t="shared" si="98"/>
        <v>0</v>
      </c>
      <c r="CR83" s="3">
        <f t="shared" si="98"/>
        <v>0</v>
      </c>
      <c r="CS83" s="3">
        <f t="shared" si="98"/>
        <v>0</v>
      </c>
      <c r="CT83" s="3">
        <f t="shared" si="98"/>
        <v>0</v>
      </c>
      <c r="CU83" s="3">
        <f t="shared" si="98"/>
        <v>0</v>
      </c>
      <c r="CV83" s="3">
        <f t="shared" si="98"/>
        <v>0</v>
      </c>
      <c r="CW83" s="3">
        <f t="shared" si="98"/>
        <v>0</v>
      </c>
      <c r="CX83" s="3">
        <f t="shared" si="98"/>
        <v>0</v>
      </c>
      <c r="CY83" s="3">
        <f t="shared" si="98"/>
        <v>0</v>
      </c>
      <c r="CZ83" s="3">
        <f t="shared" si="98"/>
        <v>0</v>
      </c>
      <c r="DA83" s="3">
        <f t="shared" si="98"/>
        <v>0</v>
      </c>
      <c r="DB83" s="3">
        <f t="shared" si="98"/>
        <v>0</v>
      </c>
      <c r="DC83" s="3">
        <f t="shared" si="98"/>
        <v>0</v>
      </c>
      <c r="DD83" s="3">
        <f t="shared" si="98"/>
        <v>0</v>
      </c>
      <c r="DE83" s="3">
        <f t="shared" si="98"/>
        <v>0</v>
      </c>
      <c r="DF83" s="3">
        <f t="shared" si="98"/>
        <v>0</v>
      </c>
      <c r="DG83" s="4">
        <f t="shared" ref="DG83:EL83" si="99">DG100</f>
        <v>160024.21</v>
      </c>
      <c r="DH83" s="4">
        <f t="shared" si="99"/>
        <v>160024.21</v>
      </c>
      <c r="DI83" s="4">
        <f t="shared" si="99"/>
        <v>0</v>
      </c>
      <c r="DJ83" s="4">
        <f t="shared" si="99"/>
        <v>0</v>
      </c>
      <c r="DK83" s="4">
        <f t="shared" si="99"/>
        <v>0</v>
      </c>
      <c r="DL83" s="4">
        <f t="shared" si="99"/>
        <v>0</v>
      </c>
      <c r="DM83" s="4">
        <f t="shared" si="99"/>
        <v>0</v>
      </c>
      <c r="DN83" s="4">
        <f t="shared" si="99"/>
        <v>0</v>
      </c>
      <c r="DO83" s="4">
        <f t="shared" si="99"/>
        <v>0</v>
      </c>
      <c r="DP83" s="4">
        <f t="shared" si="99"/>
        <v>0</v>
      </c>
      <c r="DQ83" s="4">
        <f t="shared" si="99"/>
        <v>0</v>
      </c>
      <c r="DR83" s="4">
        <f t="shared" si="99"/>
        <v>0</v>
      </c>
      <c r="DS83" s="4">
        <f t="shared" si="99"/>
        <v>0</v>
      </c>
      <c r="DT83" s="4">
        <f t="shared" si="99"/>
        <v>160024.21</v>
      </c>
      <c r="DU83" s="4">
        <f t="shared" si="99"/>
        <v>160024.21</v>
      </c>
      <c r="DV83" s="4">
        <f t="shared" si="99"/>
        <v>0</v>
      </c>
      <c r="DW83" s="4">
        <f t="shared" si="99"/>
        <v>0</v>
      </c>
      <c r="DX83" s="4">
        <f t="shared" si="99"/>
        <v>0</v>
      </c>
      <c r="DY83" s="4">
        <f t="shared" si="99"/>
        <v>0</v>
      </c>
      <c r="DZ83" s="4">
        <f t="shared" si="99"/>
        <v>0</v>
      </c>
      <c r="EA83" s="4">
        <f t="shared" si="99"/>
        <v>0</v>
      </c>
      <c r="EB83" s="4">
        <f t="shared" si="99"/>
        <v>0</v>
      </c>
      <c r="EC83" s="4">
        <f t="shared" si="99"/>
        <v>0</v>
      </c>
      <c r="ED83" s="4">
        <f t="shared" si="99"/>
        <v>0</v>
      </c>
      <c r="EE83" s="4">
        <f t="shared" si="99"/>
        <v>0</v>
      </c>
      <c r="EF83" s="4">
        <f t="shared" si="99"/>
        <v>0</v>
      </c>
      <c r="EG83" s="4">
        <f t="shared" si="99"/>
        <v>0</v>
      </c>
      <c r="EH83" s="4">
        <f t="shared" si="99"/>
        <v>160024.21</v>
      </c>
      <c r="EI83" s="4">
        <f t="shared" si="99"/>
        <v>0</v>
      </c>
      <c r="EJ83" s="4">
        <f t="shared" si="99"/>
        <v>160024.21</v>
      </c>
      <c r="EK83" s="4">
        <f t="shared" si="99"/>
        <v>0</v>
      </c>
      <c r="EL83" s="4">
        <f t="shared" si="99"/>
        <v>0</v>
      </c>
      <c r="EM83" s="4">
        <f t="shared" ref="EM83:FR83" si="100">EM100</f>
        <v>0</v>
      </c>
      <c r="EN83" s="4">
        <f t="shared" si="100"/>
        <v>160024.21</v>
      </c>
      <c r="EO83" s="4">
        <f t="shared" si="100"/>
        <v>0</v>
      </c>
      <c r="EP83" s="4">
        <f t="shared" si="100"/>
        <v>0</v>
      </c>
      <c r="EQ83" s="4">
        <f t="shared" si="100"/>
        <v>0</v>
      </c>
      <c r="ER83" s="4">
        <f t="shared" si="100"/>
        <v>160024.21</v>
      </c>
      <c r="ES83" s="4">
        <f t="shared" si="100"/>
        <v>0</v>
      </c>
      <c r="ET83" s="4">
        <f t="shared" si="100"/>
        <v>0</v>
      </c>
      <c r="EU83" s="4">
        <f t="shared" si="100"/>
        <v>0</v>
      </c>
      <c r="EV83" s="4">
        <f t="shared" si="100"/>
        <v>0</v>
      </c>
      <c r="EW83" s="4">
        <f t="shared" si="100"/>
        <v>0</v>
      </c>
      <c r="EX83" s="4">
        <f t="shared" si="100"/>
        <v>0</v>
      </c>
      <c r="EY83" s="4">
        <f t="shared" si="100"/>
        <v>0</v>
      </c>
      <c r="EZ83" s="4">
        <f t="shared" si="100"/>
        <v>0</v>
      </c>
      <c r="FA83" s="4">
        <f t="shared" si="100"/>
        <v>0</v>
      </c>
      <c r="FB83" s="4">
        <f t="shared" si="100"/>
        <v>0</v>
      </c>
      <c r="FC83" s="4">
        <f t="shared" si="100"/>
        <v>0</v>
      </c>
      <c r="FD83" s="4">
        <f t="shared" si="100"/>
        <v>0</v>
      </c>
      <c r="FE83" s="4">
        <f t="shared" si="100"/>
        <v>0</v>
      </c>
      <c r="FF83" s="4">
        <f t="shared" si="100"/>
        <v>0</v>
      </c>
      <c r="FG83" s="4">
        <f t="shared" si="100"/>
        <v>0</v>
      </c>
      <c r="FH83" s="4">
        <f t="shared" si="100"/>
        <v>0</v>
      </c>
      <c r="FI83" s="4">
        <f t="shared" si="100"/>
        <v>0</v>
      </c>
      <c r="FJ83" s="4">
        <f t="shared" si="100"/>
        <v>0</v>
      </c>
      <c r="FK83" s="4">
        <f t="shared" si="100"/>
        <v>0</v>
      </c>
      <c r="FL83" s="4">
        <f t="shared" si="100"/>
        <v>0</v>
      </c>
      <c r="FM83" s="4">
        <f t="shared" si="100"/>
        <v>0</v>
      </c>
      <c r="FN83" s="4">
        <f t="shared" si="100"/>
        <v>0</v>
      </c>
      <c r="FO83" s="4">
        <f t="shared" si="100"/>
        <v>0</v>
      </c>
      <c r="FP83" s="4">
        <f t="shared" si="100"/>
        <v>0</v>
      </c>
      <c r="FQ83" s="4">
        <f t="shared" si="100"/>
        <v>160024.21</v>
      </c>
      <c r="FR83" s="4">
        <f t="shared" si="100"/>
        <v>0</v>
      </c>
      <c r="FS83" s="4">
        <f t="shared" ref="FS83:GX83" si="101">FS100</f>
        <v>160024.21</v>
      </c>
      <c r="FT83" s="4">
        <f t="shared" si="101"/>
        <v>0</v>
      </c>
      <c r="FU83" s="4">
        <f t="shared" si="101"/>
        <v>0</v>
      </c>
      <c r="FV83" s="4">
        <f t="shared" si="101"/>
        <v>0</v>
      </c>
      <c r="FW83" s="4">
        <f t="shared" si="101"/>
        <v>160024.21</v>
      </c>
      <c r="FX83" s="4">
        <f t="shared" si="101"/>
        <v>0</v>
      </c>
      <c r="FY83" s="4">
        <f t="shared" si="101"/>
        <v>0</v>
      </c>
      <c r="FZ83" s="4">
        <f t="shared" si="101"/>
        <v>0</v>
      </c>
      <c r="GA83" s="4">
        <f t="shared" si="101"/>
        <v>160024.21</v>
      </c>
      <c r="GB83" s="4">
        <f t="shared" si="101"/>
        <v>0</v>
      </c>
      <c r="GC83" s="4">
        <f t="shared" si="101"/>
        <v>0</v>
      </c>
      <c r="GD83" s="4">
        <f t="shared" si="101"/>
        <v>0</v>
      </c>
      <c r="GE83" s="4">
        <f t="shared" si="101"/>
        <v>0</v>
      </c>
      <c r="GF83" s="4">
        <f t="shared" si="101"/>
        <v>0</v>
      </c>
      <c r="GG83" s="4">
        <f t="shared" si="101"/>
        <v>0</v>
      </c>
      <c r="GH83" s="4">
        <f t="shared" si="101"/>
        <v>0</v>
      </c>
      <c r="GI83" s="4">
        <f t="shared" si="101"/>
        <v>0</v>
      </c>
      <c r="GJ83" s="4">
        <f t="shared" si="101"/>
        <v>0</v>
      </c>
      <c r="GK83" s="4">
        <f t="shared" si="101"/>
        <v>0</v>
      </c>
      <c r="GL83" s="4">
        <f t="shared" si="101"/>
        <v>0</v>
      </c>
      <c r="GM83" s="4">
        <f t="shared" si="101"/>
        <v>0</v>
      </c>
      <c r="GN83" s="4">
        <f t="shared" si="101"/>
        <v>0</v>
      </c>
      <c r="GO83" s="4">
        <f t="shared" si="101"/>
        <v>0</v>
      </c>
      <c r="GP83" s="4">
        <f t="shared" si="101"/>
        <v>0</v>
      </c>
      <c r="GQ83" s="4">
        <f t="shared" si="101"/>
        <v>0</v>
      </c>
      <c r="GR83" s="4">
        <f t="shared" si="101"/>
        <v>0</v>
      </c>
      <c r="GS83" s="4">
        <f t="shared" si="101"/>
        <v>0</v>
      </c>
      <c r="GT83" s="4">
        <f t="shared" si="101"/>
        <v>0</v>
      </c>
      <c r="GU83" s="4">
        <f t="shared" si="101"/>
        <v>0</v>
      </c>
      <c r="GV83" s="4">
        <f t="shared" si="101"/>
        <v>0</v>
      </c>
      <c r="GW83" s="4">
        <f t="shared" si="101"/>
        <v>0</v>
      </c>
      <c r="GX83" s="4">
        <f t="shared" si="101"/>
        <v>0</v>
      </c>
    </row>
    <row r="85" spans="1:255" x14ac:dyDescent="0.2">
      <c r="A85" s="2">
        <v>17</v>
      </c>
      <c r="B85" s="2">
        <v>1</v>
      </c>
      <c r="C85" s="2"/>
      <c r="D85" s="2"/>
      <c r="E85" s="2" t="s">
        <v>164</v>
      </c>
      <c r="F85" s="2" t="s">
        <v>165</v>
      </c>
      <c r="G85" s="2" t="s">
        <v>166</v>
      </c>
      <c r="H85" s="2" t="s">
        <v>167</v>
      </c>
      <c r="I85" s="2">
        <v>4</v>
      </c>
      <c r="J85" s="2">
        <v>0</v>
      </c>
      <c r="K85" s="2"/>
      <c r="L85" s="2"/>
      <c r="M85" s="2"/>
      <c r="N85" s="2"/>
      <c r="O85" s="2">
        <f t="shared" ref="O85:O98" si="102">ROUND(CP85,2)</f>
        <v>4097.76</v>
      </c>
      <c r="P85" s="2">
        <f t="shared" ref="P85:P98" si="103">ROUND(CQ85*I85,2)</f>
        <v>4097.76</v>
      </c>
      <c r="Q85" s="2">
        <f t="shared" ref="Q85:Q98" si="104">ROUND(CR85*I85,2)</f>
        <v>0</v>
      </c>
      <c r="R85" s="2">
        <f t="shared" ref="R85:R98" si="105">ROUND(CS85*I85,2)</f>
        <v>0</v>
      </c>
      <c r="S85" s="2">
        <f t="shared" ref="S85:S98" si="106">ROUND(CT85*I85,2)</f>
        <v>0</v>
      </c>
      <c r="T85" s="2">
        <f t="shared" ref="T85:T98" si="107">ROUND(CU85*I85,2)</f>
        <v>0</v>
      </c>
      <c r="U85" s="2">
        <f t="shared" ref="U85:U98" si="108">CV85*I85</f>
        <v>0</v>
      </c>
      <c r="V85" s="2">
        <f t="shared" ref="V85:V98" si="109">CW85*I85</f>
        <v>0</v>
      </c>
      <c r="W85" s="2">
        <f t="shared" ref="W85:W98" si="110">ROUND(CX85*I85,2)</f>
        <v>0</v>
      </c>
      <c r="X85" s="2">
        <f t="shared" ref="X85:X98" si="111">ROUND(CY85,2)</f>
        <v>0</v>
      </c>
      <c r="Y85" s="2">
        <f t="shared" ref="Y85:Y98" si="112">ROUND(CZ85,2)</f>
        <v>0</v>
      </c>
      <c r="Z85" s="2"/>
      <c r="AA85" s="2">
        <v>55106055</v>
      </c>
      <c r="AB85" s="2">
        <f t="shared" ref="AB85:AB98" si="113">ROUND((AC85+AD85+AF85),6)</f>
        <v>1024.44</v>
      </c>
      <c r="AC85" s="2">
        <f t="shared" ref="AC85:AC98" si="114">ROUND((ES85),6)</f>
        <v>1024.44</v>
      </c>
      <c r="AD85" s="2">
        <f t="shared" ref="AD85:AD98" si="115">ROUND((ET85),6)</f>
        <v>0</v>
      </c>
      <c r="AE85" s="2">
        <f t="shared" ref="AE85:AE98" si="116">ROUND((EU85),6)</f>
        <v>0</v>
      </c>
      <c r="AF85" s="2">
        <f t="shared" ref="AF85:AF98" si="117">ROUND((EV85),6)</f>
        <v>0</v>
      </c>
      <c r="AG85" s="2">
        <f t="shared" ref="AG85:AG98" si="118">ROUND((AP85),6)</f>
        <v>0</v>
      </c>
      <c r="AH85" s="2">
        <f t="shared" ref="AH85:AH98" si="119">(EW85)</f>
        <v>0</v>
      </c>
      <c r="AI85" s="2">
        <f t="shared" ref="AI85:AI98" si="120">(EX85)</f>
        <v>0</v>
      </c>
      <c r="AJ85" s="2">
        <f t="shared" ref="AJ85:AJ98" si="121">(AS85)</f>
        <v>0</v>
      </c>
      <c r="AK85" s="2">
        <v>1024.44</v>
      </c>
      <c r="AL85" s="2">
        <v>1024.44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1</v>
      </c>
      <c r="AW85" s="2">
        <v>1</v>
      </c>
      <c r="AX85" s="2"/>
      <c r="AY85" s="2"/>
      <c r="AZ85" s="2">
        <v>1</v>
      </c>
      <c r="BA85" s="2">
        <v>1</v>
      </c>
      <c r="BB85" s="2">
        <v>1</v>
      </c>
      <c r="BC85" s="2">
        <v>1</v>
      </c>
      <c r="BD85" s="2" t="s">
        <v>3</v>
      </c>
      <c r="BE85" s="2" t="s">
        <v>3</v>
      </c>
      <c r="BF85" s="2" t="s">
        <v>3</v>
      </c>
      <c r="BG85" s="2" t="s">
        <v>3</v>
      </c>
      <c r="BH85" s="2">
        <v>3</v>
      </c>
      <c r="BI85" s="2">
        <v>3</v>
      </c>
      <c r="BJ85" s="2" t="s">
        <v>165</v>
      </c>
      <c r="BK85" s="2"/>
      <c r="BL85" s="2"/>
      <c r="BM85" s="2">
        <v>746</v>
      </c>
      <c r="BN85" s="2">
        <v>0</v>
      </c>
      <c r="BO85" s="2" t="s">
        <v>3</v>
      </c>
      <c r="BP85" s="2">
        <v>0</v>
      </c>
      <c r="BQ85" s="2">
        <v>130</v>
      </c>
      <c r="BR85" s="2">
        <v>0</v>
      </c>
      <c r="BS85" s="2">
        <v>1</v>
      </c>
      <c r="BT85" s="2">
        <v>1</v>
      </c>
      <c r="BU85" s="2">
        <v>1</v>
      </c>
      <c r="BV85" s="2">
        <v>1</v>
      </c>
      <c r="BW85" s="2">
        <v>1</v>
      </c>
      <c r="BX85" s="2">
        <v>1</v>
      </c>
      <c r="BY85" s="2" t="s">
        <v>3</v>
      </c>
      <c r="BZ85" s="2">
        <v>0</v>
      </c>
      <c r="CA85" s="2">
        <v>0</v>
      </c>
      <c r="CB85" s="2"/>
      <c r="CC85" s="2"/>
      <c r="CD85" s="2"/>
      <c r="CE85" s="2">
        <v>0</v>
      </c>
      <c r="CF85" s="2">
        <v>0</v>
      </c>
      <c r="CG85" s="2">
        <v>0</v>
      </c>
      <c r="CH85" s="2"/>
      <c r="CI85" s="2"/>
      <c r="CJ85" s="2"/>
      <c r="CK85" s="2"/>
      <c r="CL85" s="2"/>
      <c r="CM85" s="2">
        <v>0</v>
      </c>
      <c r="CN85" s="2" t="s">
        <v>3</v>
      </c>
      <c r="CO85" s="2">
        <v>0</v>
      </c>
      <c r="CP85" s="2">
        <f t="shared" ref="CP85:CP98" si="122">(P85+Q85+S85)</f>
        <v>4097.76</v>
      </c>
      <c r="CQ85" s="2">
        <f t="shared" ref="CQ85:CQ98" si="123">(AC85*BC85*AW85)</f>
        <v>1024.44</v>
      </c>
      <c r="CR85" s="2">
        <f t="shared" ref="CR85:CR98" si="124">(AD85*BB85*AV85)</f>
        <v>0</v>
      </c>
      <c r="CS85" s="2">
        <f t="shared" ref="CS85:CS98" si="125">(AE85*BS85*AV85)</f>
        <v>0</v>
      </c>
      <c r="CT85" s="2">
        <f t="shared" ref="CT85:CT98" si="126">(AF85*BA85*AV85)</f>
        <v>0</v>
      </c>
      <c r="CU85" s="2">
        <f t="shared" ref="CU85:CU98" si="127">AG85</f>
        <v>0</v>
      </c>
      <c r="CV85" s="2">
        <f t="shared" ref="CV85:CV98" si="128">(AH85*AV85)</f>
        <v>0</v>
      </c>
      <c r="CW85" s="2">
        <f t="shared" ref="CW85:CW98" si="129">AI85</f>
        <v>0</v>
      </c>
      <c r="CX85" s="2">
        <f t="shared" ref="CX85:CX98" si="130">AJ85</f>
        <v>0</v>
      </c>
      <c r="CY85" s="2">
        <f t="shared" ref="CY85:CY98" si="131">S85*(BZ85/100)</f>
        <v>0</v>
      </c>
      <c r="CZ85" s="2">
        <f t="shared" ref="CZ85:CZ98" si="132">S85*(CA85/100)</f>
        <v>0</v>
      </c>
      <c r="DA85" s="2"/>
      <c r="DB85" s="2"/>
      <c r="DC85" s="2" t="s">
        <v>3</v>
      </c>
      <c r="DD85" s="2" t="s">
        <v>3</v>
      </c>
      <c r="DE85" s="2" t="s">
        <v>3</v>
      </c>
      <c r="DF85" s="2" t="s">
        <v>3</v>
      </c>
      <c r="DG85" s="2" t="s">
        <v>3</v>
      </c>
      <c r="DH85" s="2" t="s">
        <v>3</v>
      </c>
      <c r="DI85" s="2" t="s">
        <v>3</v>
      </c>
      <c r="DJ85" s="2" t="s">
        <v>3</v>
      </c>
      <c r="DK85" s="2" t="s">
        <v>3</v>
      </c>
      <c r="DL85" s="2" t="s">
        <v>3</v>
      </c>
      <c r="DM85" s="2" t="s">
        <v>3</v>
      </c>
      <c r="DN85" s="2">
        <v>0</v>
      </c>
      <c r="DO85" s="2">
        <v>0</v>
      </c>
      <c r="DP85" s="2">
        <v>1</v>
      </c>
      <c r="DQ85" s="2">
        <v>1</v>
      </c>
      <c r="DR85" s="2"/>
      <c r="DS85" s="2"/>
      <c r="DT85" s="2"/>
      <c r="DU85" s="2">
        <v>1013</v>
      </c>
      <c r="DV85" s="2" t="s">
        <v>167</v>
      </c>
      <c r="DW85" s="2" t="s">
        <v>167</v>
      </c>
      <c r="DX85" s="2">
        <v>1</v>
      </c>
      <c r="DY85" s="2"/>
      <c r="DZ85" s="2"/>
      <c r="EA85" s="2"/>
      <c r="EB85" s="2"/>
      <c r="EC85" s="2"/>
      <c r="ED85" s="2"/>
      <c r="EE85" s="2">
        <v>21988098</v>
      </c>
      <c r="EF85" s="2">
        <v>130</v>
      </c>
      <c r="EG85" s="2" t="s">
        <v>168</v>
      </c>
      <c r="EH85" s="2">
        <v>0</v>
      </c>
      <c r="EI85" s="2" t="s">
        <v>3</v>
      </c>
      <c r="EJ85" s="2">
        <v>3</v>
      </c>
      <c r="EK85" s="2">
        <v>746</v>
      </c>
      <c r="EL85" s="2" t="s">
        <v>169</v>
      </c>
      <c r="EM85" s="2" t="s">
        <v>170</v>
      </c>
      <c r="EN85" s="2"/>
      <c r="EO85" s="2" t="s">
        <v>3</v>
      </c>
      <c r="EP85" s="2"/>
      <c r="EQ85" s="2">
        <v>131072</v>
      </c>
      <c r="ER85" s="2">
        <v>1024.44</v>
      </c>
      <c r="ES85" s="2">
        <v>1024.44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>
        <v>0</v>
      </c>
      <c r="FR85" s="2">
        <f t="shared" ref="FR85:FR98" si="133">ROUND(IF(AND(BH85=3,BI85=3),P85,0),2)</f>
        <v>4097.76</v>
      </c>
      <c r="FS85" s="2">
        <v>0</v>
      </c>
      <c r="FT85" s="2"/>
      <c r="FU85" s="2"/>
      <c r="FV85" s="2"/>
      <c r="FW85" s="2"/>
      <c r="FX85" s="2">
        <v>0</v>
      </c>
      <c r="FY85" s="2">
        <v>0</v>
      </c>
      <c r="FZ85" s="2"/>
      <c r="GA85" s="2" t="s">
        <v>3</v>
      </c>
      <c r="GB85" s="2"/>
      <c r="GC85" s="2"/>
      <c r="GD85" s="2">
        <v>0</v>
      </c>
      <c r="GE85" s="2"/>
      <c r="GF85" s="2">
        <v>-218678575</v>
      </c>
      <c r="GG85" s="2">
        <v>2</v>
      </c>
      <c r="GH85" s="2">
        <v>1</v>
      </c>
      <c r="GI85" s="2">
        <v>-2</v>
      </c>
      <c r="GJ85" s="2">
        <v>0</v>
      </c>
      <c r="GK85" s="2">
        <f>ROUND(R85*(R12)/100,2)</f>
        <v>0</v>
      </c>
      <c r="GL85" s="2">
        <f t="shared" ref="GL85:GL98" si="134">ROUND(IF(AND(BH85=3,BI85=3,FS85&lt;&gt;0),P85,0),2)</f>
        <v>0</v>
      </c>
      <c r="GM85" s="2">
        <f t="shared" ref="GM85:GM98" si="135">ROUND(O85+X85+Y85+GK85,2)+GX85</f>
        <v>4097.76</v>
      </c>
      <c r="GN85" s="2">
        <f t="shared" ref="GN85:GN98" si="136">IF(OR(BI85=0,BI85=1),ROUND(O85+X85+Y85+GK85,2),0)</f>
        <v>0</v>
      </c>
      <c r="GO85" s="2">
        <f t="shared" ref="GO85:GO98" si="137">IF(BI85=2,ROUND(O85+X85+Y85+GK85,2),0)</f>
        <v>0</v>
      </c>
      <c r="GP85" s="2">
        <f t="shared" ref="GP85:GP98" si="138">IF(BI85=4,ROUND(O85+X85+Y85+GK85,2)+GX85,0)</f>
        <v>0</v>
      </c>
      <c r="GQ85" s="2"/>
      <c r="GR85" s="2">
        <v>0</v>
      </c>
      <c r="GS85" s="2">
        <v>0</v>
      </c>
      <c r="GT85" s="2">
        <v>0</v>
      </c>
      <c r="GU85" s="2" t="s">
        <v>3</v>
      </c>
      <c r="GV85" s="2">
        <f t="shared" ref="GV85:GV98" si="139">ROUND((GT85),6)</f>
        <v>0</v>
      </c>
      <c r="GW85" s="2">
        <v>1</v>
      </c>
      <c r="GX85" s="2">
        <f t="shared" ref="GX85:GX98" si="140">ROUND(HC85*I85,2)</f>
        <v>0</v>
      </c>
      <c r="GY85" s="2"/>
      <c r="GZ85" s="2"/>
      <c r="HA85" s="2">
        <v>0</v>
      </c>
      <c r="HB85" s="2">
        <v>0</v>
      </c>
      <c r="HC85" s="2">
        <f t="shared" ref="HC85:HC98" si="141">GV85*GW85</f>
        <v>0</v>
      </c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>
        <v>0</v>
      </c>
      <c r="IL85" s="2"/>
      <c r="IM85" s="2"/>
      <c r="IN85" s="2"/>
      <c r="IO85" s="2"/>
      <c r="IP85" s="2"/>
      <c r="IQ85" s="2"/>
      <c r="IR85" s="2"/>
      <c r="IS85" s="2"/>
      <c r="IT85" s="2"/>
      <c r="IU85" s="2"/>
    </row>
    <row r="86" spans="1:255" x14ac:dyDescent="0.2">
      <c r="A86">
        <v>17</v>
      </c>
      <c r="B86">
        <v>1</v>
      </c>
      <c r="E86" t="s">
        <v>164</v>
      </c>
      <c r="F86" t="s">
        <v>165</v>
      </c>
      <c r="G86" t="s">
        <v>166</v>
      </c>
      <c r="H86" t="s">
        <v>167</v>
      </c>
      <c r="I86">
        <v>4</v>
      </c>
      <c r="J86">
        <v>0</v>
      </c>
      <c r="O86">
        <f t="shared" si="102"/>
        <v>10941.02</v>
      </c>
      <c r="P86">
        <f t="shared" si="103"/>
        <v>10941.02</v>
      </c>
      <c r="Q86">
        <f t="shared" si="104"/>
        <v>0</v>
      </c>
      <c r="R86">
        <f t="shared" si="105"/>
        <v>0</v>
      </c>
      <c r="S86">
        <f t="shared" si="106"/>
        <v>0</v>
      </c>
      <c r="T86">
        <f t="shared" si="107"/>
        <v>0</v>
      </c>
      <c r="U86">
        <f t="shared" si="108"/>
        <v>0</v>
      </c>
      <c r="V86">
        <f t="shared" si="109"/>
        <v>0</v>
      </c>
      <c r="W86">
        <f t="shared" si="110"/>
        <v>0</v>
      </c>
      <c r="X86">
        <f t="shared" si="111"/>
        <v>0</v>
      </c>
      <c r="Y86">
        <f t="shared" si="112"/>
        <v>0</v>
      </c>
      <c r="AA86">
        <v>55106052</v>
      </c>
      <c r="AB86">
        <f t="shared" si="113"/>
        <v>1024.44</v>
      </c>
      <c r="AC86">
        <f t="shared" si="114"/>
        <v>1024.44</v>
      </c>
      <c r="AD86">
        <f t="shared" si="115"/>
        <v>0</v>
      </c>
      <c r="AE86">
        <f t="shared" si="116"/>
        <v>0</v>
      </c>
      <c r="AF86">
        <f t="shared" si="117"/>
        <v>0</v>
      </c>
      <c r="AG86">
        <f t="shared" si="118"/>
        <v>0</v>
      </c>
      <c r="AH86">
        <f t="shared" si="119"/>
        <v>0</v>
      </c>
      <c r="AI86">
        <f t="shared" si="120"/>
        <v>0</v>
      </c>
      <c r="AJ86">
        <f t="shared" si="121"/>
        <v>0</v>
      </c>
      <c r="AK86">
        <v>1024.44</v>
      </c>
      <c r="AL86">
        <v>1024.44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1</v>
      </c>
      <c r="AZ86">
        <v>1</v>
      </c>
      <c r="BA86">
        <v>1</v>
      </c>
      <c r="BB86">
        <v>1</v>
      </c>
      <c r="BC86">
        <v>2.67</v>
      </c>
      <c r="BD86" t="s">
        <v>3</v>
      </c>
      <c r="BE86" t="s">
        <v>3</v>
      </c>
      <c r="BF86" t="s">
        <v>3</v>
      </c>
      <c r="BG86" t="s">
        <v>3</v>
      </c>
      <c r="BH86">
        <v>3</v>
      </c>
      <c r="BI86">
        <v>3</v>
      </c>
      <c r="BJ86" t="s">
        <v>165</v>
      </c>
      <c r="BM86">
        <v>746</v>
      </c>
      <c r="BN86">
        <v>0</v>
      </c>
      <c r="BO86" t="s">
        <v>3</v>
      </c>
      <c r="BP86">
        <v>0</v>
      </c>
      <c r="BQ86">
        <v>130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0</v>
      </c>
      <c r="CA86">
        <v>0</v>
      </c>
      <c r="CE86">
        <v>0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122"/>
        <v>10941.02</v>
      </c>
      <c r="CQ86">
        <f t="shared" si="123"/>
        <v>2735.2548000000002</v>
      </c>
      <c r="CR86">
        <f t="shared" si="124"/>
        <v>0</v>
      </c>
      <c r="CS86">
        <f t="shared" si="125"/>
        <v>0</v>
      </c>
      <c r="CT86">
        <f t="shared" si="126"/>
        <v>0</v>
      </c>
      <c r="CU86">
        <f t="shared" si="127"/>
        <v>0</v>
      </c>
      <c r="CV86">
        <f t="shared" si="128"/>
        <v>0</v>
      </c>
      <c r="CW86">
        <f t="shared" si="129"/>
        <v>0</v>
      </c>
      <c r="CX86">
        <f t="shared" si="130"/>
        <v>0</v>
      </c>
      <c r="CY86">
        <f t="shared" si="131"/>
        <v>0</v>
      </c>
      <c r="CZ86">
        <f t="shared" si="132"/>
        <v>0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1013</v>
      </c>
      <c r="DV86" t="s">
        <v>167</v>
      </c>
      <c r="DW86" t="s">
        <v>167</v>
      </c>
      <c r="DX86">
        <v>1</v>
      </c>
      <c r="EE86">
        <v>21988098</v>
      </c>
      <c r="EF86">
        <v>130</v>
      </c>
      <c r="EG86" t="s">
        <v>168</v>
      </c>
      <c r="EH86">
        <v>0</v>
      </c>
      <c r="EI86" t="s">
        <v>3</v>
      </c>
      <c r="EJ86">
        <v>3</v>
      </c>
      <c r="EK86">
        <v>746</v>
      </c>
      <c r="EL86" t="s">
        <v>169</v>
      </c>
      <c r="EM86" t="s">
        <v>170</v>
      </c>
      <c r="EO86" t="s">
        <v>3</v>
      </c>
      <c r="EQ86">
        <v>131072</v>
      </c>
      <c r="ER86">
        <v>1024.44</v>
      </c>
      <c r="ES86">
        <v>1024.44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FQ86">
        <v>0</v>
      </c>
      <c r="FR86">
        <f t="shared" si="133"/>
        <v>10941.02</v>
      </c>
      <c r="FS86">
        <v>0</v>
      </c>
      <c r="FX86">
        <v>0</v>
      </c>
      <c r="FY86">
        <v>0</v>
      </c>
      <c r="GA86" t="s">
        <v>3</v>
      </c>
      <c r="GD86">
        <v>0</v>
      </c>
      <c r="GF86">
        <v>-218678575</v>
      </c>
      <c r="GG86">
        <v>2</v>
      </c>
      <c r="GH86">
        <v>1</v>
      </c>
      <c r="GI86">
        <v>2</v>
      </c>
      <c r="GJ86">
        <v>0</v>
      </c>
      <c r="GK86">
        <f>ROUND(R86*(S12)/100,2)</f>
        <v>0</v>
      </c>
      <c r="GL86">
        <f t="shared" si="134"/>
        <v>0</v>
      </c>
      <c r="GM86">
        <f t="shared" si="135"/>
        <v>10941.02</v>
      </c>
      <c r="GN86">
        <f t="shared" si="136"/>
        <v>0</v>
      </c>
      <c r="GO86">
        <f t="shared" si="137"/>
        <v>0</v>
      </c>
      <c r="GP86">
        <f t="shared" si="138"/>
        <v>0</v>
      </c>
      <c r="GR86">
        <v>0</v>
      </c>
      <c r="GS86">
        <v>3</v>
      </c>
      <c r="GT86">
        <v>0</v>
      </c>
      <c r="GU86" t="s">
        <v>3</v>
      </c>
      <c r="GV86">
        <f t="shared" si="139"/>
        <v>0</v>
      </c>
      <c r="GW86">
        <v>1</v>
      </c>
      <c r="GX86">
        <f t="shared" si="140"/>
        <v>0</v>
      </c>
      <c r="HA86">
        <v>0</v>
      </c>
      <c r="HB86">
        <v>0</v>
      </c>
      <c r="HC86">
        <f t="shared" si="141"/>
        <v>0</v>
      </c>
      <c r="IK86">
        <v>0</v>
      </c>
    </row>
    <row r="87" spans="1:255" x14ac:dyDescent="0.2">
      <c r="A87" s="2">
        <v>17</v>
      </c>
      <c r="B87" s="2">
        <v>1</v>
      </c>
      <c r="C87" s="2"/>
      <c r="D87" s="2"/>
      <c r="E87" s="2" t="s">
        <v>171</v>
      </c>
      <c r="F87" s="2" t="s">
        <v>172</v>
      </c>
      <c r="G87" s="2" t="s">
        <v>173</v>
      </c>
      <c r="H87" s="2" t="s">
        <v>51</v>
      </c>
      <c r="I87" s="2">
        <v>3</v>
      </c>
      <c r="J87" s="2">
        <v>0</v>
      </c>
      <c r="K87" s="2"/>
      <c r="L87" s="2"/>
      <c r="M87" s="2"/>
      <c r="N87" s="2"/>
      <c r="O87" s="2">
        <f t="shared" si="102"/>
        <v>2001.72</v>
      </c>
      <c r="P87" s="2">
        <f t="shared" si="103"/>
        <v>2001.72</v>
      </c>
      <c r="Q87" s="2">
        <f t="shared" si="104"/>
        <v>0</v>
      </c>
      <c r="R87" s="2">
        <f t="shared" si="105"/>
        <v>0</v>
      </c>
      <c r="S87" s="2">
        <f t="shared" si="106"/>
        <v>0</v>
      </c>
      <c r="T87" s="2">
        <f t="shared" si="107"/>
        <v>0</v>
      </c>
      <c r="U87" s="2">
        <f t="shared" si="108"/>
        <v>0</v>
      </c>
      <c r="V87" s="2">
        <f t="shared" si="109"/>
        <v>0</v>
      </c>
      <c r="W87" s="2">
        <f t="shared" si="110"/>
        <v>0</v>
      </c>
      <c r="X87" s="2">
        <f t="shared" si="111"/>
        <v>0</v>
      </c>
      <c r="Y87" s="2">
        <f t="shared" si="112"/>
        <v>0</v>
      </c>
      <c r="Z87" s="2"/>
      <c r="AA87" s="2">
        <v>55106055</v>
      </c>
      <c r="AB87" s="2">
        <f t="shared" si="113"/>
        <v>667.24</v>
      </c>
      <c r="AC87" s="2">
        <f t="shared" si="114"/>
        <v>667.24</v>
      </c>
      <c r="AD87" s="2">
        <f t="shared" si="115"/>
        <v>0</v>
      </c>
      <c r="AE87" s="2">
        <f t="shared" si="116"/>
        <v>0</v>
      </c>
      <c r="AF87" s="2">
        <f t="shared" si="117"/>
        <v>0</v>
      </c>
      <c r="AG87" s="2">
        <f t="shared" si="118"/>
        <v>0</v>
      </c>
      <c r="AH87" s="2">
        <f t="shared" si="119"/>
        <v>0</v>
      </c>
      <c r="AI87" s="2">
        <f t="shared" si="120"/>
        <v>0</v>
      </c>
      <c r="AJ87" s="2">
        <f t="shared" si="121"/>
        <v>0</v>
      </c>
      <c r="AK87" s="2">
        <v>667.24</v>
      </c>
      <c r="AL87" s="2">
        <v>667.24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1</v>
      </c>
      <c r="AW87" s="2">
        <v>1</v>
      </c>
      <c r="AX87" s="2"/>
      <c r="AY87" s="2"/>
      <c r="AZ87" s="2">
        <v>1</v>
      </c>
      <c r="BA87" s="2">
        <v>1</v>
      </c>
      <c r="BB87" s="2">
        <v>1</v>
      </c>
      <c r="BC87" s="2">
        <v>1</v>
      </c>
      <c r="BD87" s="2" t="s">
        <v>3</v>
      </c>
      <c r="BE87" s="2" t="s">
        <v>3</v>
      </c>
      <c r="BF87" s="2" t="s">
        <v>3</v>
      </c>
      <c r="BG87" s="2" t="s">
        <v>3</v>
      </c>
      <c r="BH87" s="2">
        <v>3</v>
      </c>
      <c r="BI87" s="2">
        <v>3</v>
      </c>
      <c r="BJ87" s="2" t="s">
        <v>174</v>
      </c>
      <c r="BK87" s="2"/>
      <c r="BL87" s="2"/>
      <c r="BM87" s="2">
        <v>746</v>
      </c>
      <c r="BN87" s="2">
        <v>0</v>
      </c>
      <c r="BO87" s="2" t="s">
        <v>3</v>
      </c>
      <c r="BP87" s="2">
        <v>0</v>
      </c>
      <c r="BQ87" s="2">
        <v>130</v>
      </c>
      <c r="BR87" s="2">
        <v>0</v>
      </c>
      <c r="BS87" s="2">
        <v>1</v>
      </c>
      <c r="BT87" s="2">
        <v>1</v>
      </c>
      <c r="BU87" s="2">
        <v>1</v>
      </c>
      <c r="BV87" s="2">
        <v>1</v>
      </c>
      <c r="BW87" s="2">
        <v>1</v>
      </c>
      <c r="BX87" s="2">
        <v>1</v>
      </c>
      <c r="BY87" s="2" t="s">
        <v>3</v>
      </c>
      <c r="BZ87" s="2">
        <v>0</v>
      </c>
      <c r="CA87" s="2">
        <v>0</v>
      </c>
      <c r="CB87" s="2"/>
      <c r="CC87" s="2"/>
      <c r="CD87" s="2"/>
      <c r="CE87" s="2">
        <v>0</v>
      </c>
      <c r="CF87" s="2">
        <v>0</v>
      </c>
      <c r="CG87" s="2">
        <v>0</v>
      </c>
      <c r="CH87" s="2"/>
      <c r="CI87" s="2"/>
      <c r="CJ87" s="2"/>
      <c r="CK87" s="2"/>
      <c r="CL87" s="2"/>
      <c r="CM87" s="2">
        <v>0</v>
      </c>
      <c r="CN87" s="2" t="s">
        <v>3</v>
      </c>
      <c r="CO87" s="2">
        <v>0</v>
      </c>
      <c r="CP87" s="2">
        <f t="shared" si="122"/>
        <v>2001.72</v>
      </c>
      <c r="CQ87" s="2">
        <f t="shared" si="123"/>
        <v>667.24</v>
      </c>
      <c r="CR87" s="2">
        <f t="shared" si="124"/>
        <v>0</v>
      </c>
      <c r="CS87" s="2">
        <f t="shared" si="125"/>
        <v>0</v>
      </c>
      <c r="CT87" s="2">
        <f t="shared" si="126"/>
        <v>0</v>
      </c>
      <c r="CU87" s="2">
        <f t="shared" si="127"/>
        <v>0</v>
      </c>
      <c r="CV87" s="2">
        <f t="shared" si="128"/>
        <v>0</v>
      </c>
      <c r="CW87" s="2">
        <f t="shared" si="129"/>
        <v>0</v>
      </c>
      <c r="CX87" s="2">
        <f t="shared" si="130"/>
        <v>0</v>
      </c>
      <c r="CY87" s="2">
        <f t="shared" si="131"/>
        <v>0</v>
      </c>
      <c r="CZ87" s="2">
        <f t="shared" si="132"/>
        <v>0</v>
      </c>
      <c r="DA87" s="2"/>
      <c r="DB87" s="2"/>
      <c r="DC87" s="2" t="s">
        <v>3</v>
      </c>
      <c r="DD87" s="2" t="s">
        <v>3</v>
      </c>
      <c r="DE87" s="2" t="s">
        <v>3</v>
      </c>
      <c r="DF87" s="2" t="s">
        <v>3</v>
      </c>
      <c r="DG87" s="2" t="s">
        <v>3</v>
      </c>
      <c r="DH87" s="2" t="s">
        <v>3</v>
      </c>
      <c r="DI87" s="2" t="s">
        <v>3</v>
      </c>
      <c r="DJ87" s="2" t="s">
        <v>3</v>
      </c>
      <c r="DK87" s="2" t="s">
        <v>3</v>
      </c>
      <c r="DL87" s="2" t="s">
        <v>3</v>
      </c>
      <c r="DM87" s="2" t="s">
        <v>3</v>
      </c>
      <c r="DN87" s="2">
        <v>0</v>
      </c>
      <c r="DO87" s="2">
        <v>0</v>
      </c>
      <c r="DP87" s="2">
        <v>1</v>
      </c>
      <c r="DQ87" s="2">
        <v>1</v>
      </c>
      <c r="DR87" s="2"/>
      <c r="DS87" s="2"/>
      <c r="DT87" s="2"/>
      <c r="DU87" s="2">
        <v>1010</v>
      </c>
      <c r="DV87" s="2" t="s">
        <v>51</v>
      </c>
      <c r="DW87" s="2" t="s">
        <v>51</v>
      </c>
      <c r="DX87" s="2">
        <v>1</v>
      </c>
      <c r="DY87" s="2"/>
      <c r="DZ87" s="2"/>
      <c r="EA87" s="2"/>
      <c r="EB87" s="2"/>
      <c r="EC87" s="2"/>
      <c r="ED87" s="2"/>
      <c r="EE87" s="2">
        <v>21988098</v>
      </c>
      <c r="EF87" s="2">
        <v>130</v>
      </c>
      <c r="EG87" s="2" t="s">
        <v>168</v>
      </c>
      <c r="EH87" s="2">
        <v>0</v>
      </c>
      <c r="EI87" s="2" t="s">
        <v>3</v>
      </c>
      <c r="EJ87" s="2">
        <v>3</v>
      </c>
      <c r="EK87" s="2">
        <v>746</v>
      </c>
      <c r="EL87" s="2" t="s">
        <v>169</v>
      </c>
      <c r="EM87" s="2" t="s">
        <v>170</v>
      </c>
      <c r="EN87" s="2"/>
      <c r="EO87" s="2" t="s">
        <v>3</v>
      </c>
      <c r="EP87" s="2"/>
      <c r="EQ87" s="2">
        <v>131072</v>
      </c>
      <c r="ER87" s="2">
        <v>667.24</v>
      </c>
      <c r="ES87" s="2">
        <v>667.24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>
        <v>0</v>
      </c>
      <c r="FR87" s="2">
        <f t="shared" si="133"/>
        <v>2001.72</v>
      </c>
      <c r="FS87" s="2">
        <v>0</v>
      </c>
      <c r="FT87" s="2"/>
      <c r="FU87" s="2"/>
      <c r="FV87" s="2"/>
      <c r="FW87" s="2"/>
      <c r="FX87" s="2">
        <v>0</v>
      </c>
      <c r="FY87" s="2">
        <v>0</v>
      </c>
      <c r="FZ87" s="2"/>
      <c r="GA87" s="2" t="s">
        <v>3</v>
      </c>
      <c r="GB87" s="2"/>
      <c r="GC87" s="2"/>
      <c r="GD87" s="2">
        <v>0</v>
      </c>
      <c r="GE87" s="2"/>
      <c r="GF87" s="2">
        <v>1680792693</v>
      </c>
      <c r="GG87" s="2">
        <v>2</v>
      </c>
      <c r="GH87" s="2">
        <v>1</v>
      </c>
      <c r="GI87" s="2">
        <v>-2</v>
      </c>
      <c r="GJ87" s="2">
        <v>0</v>
      </c>
      <c r="GK87" s="2">
        <f>ROUND(R87*(R12)/100,2)</f>
        <v>0</v>
      </c>
      <c r="GL87" s="2">
        <f t="shared" si="134"/>
        <v>0</v>
      </c>
      <c r="GM87" s="2">
        <f t="shared" si="135"/>
        <v>2001.72</v>
      </c>
      <c r="GN87" s="2">
        <f t="shared" si="136"/>
        <v>0</v>
      </c>
      <c r="GO87" s="2">
        <f t="shared" si="137"/>
        <v>0</v>
      </c>
      <c r="GP87" s="2">
        <f t="shared" si="138"/>
        <v>0</v>
      </c>
      <c r="GQ87" s="2"/>
      <c r="GR87" s="2">
        <v>0</v>
      </c>
      <c r="GS87" s="2">
        <v>0</v>
      </c>
      <c r="GT87" s="2">
        <v>0</v>
      </c>
      <c r="GU87" s="2" t="s">
        <v>3</v>
      </c>
      <c r="GV87" s="2">
        <f t="shared" si="139"/>
        <v>0</v>
      </c>
      <c r="GW87" s="2">
        <v>1</v>
      </c>
      <c r="GX87" s="2">
        <f t="shared" si="140"/>
        <v>0</v>
      </c>
      <c r="GY87" s="2"/>
      <c r="GZ87" s="2"/>
      <c r="HA87" s="2">
        <v>0</v>
      </c>
      <c r="HB87" s="2">
        <v>0</v>
      </c>
      <c r="HC87" s="2">
        <f t="shared" si="141"/>
        <v>0</v>
      </c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>
        <v>0</v>
      </c>
      <c r="IL87" s="2"/>
      <c r="IM87" s="2"/>
      <c r="IN87" s="2"/>
      <c r="IO87" s="2"/>
      <c r="IP87" s="2"/>
      <c r="IQ87" s="2"/>
      <c r="IR87" s="2"/>
      <c r="IS87" s="2"/>
      <c r="IT87" s="2"/>
      <c r="IU87" s="2"/>
    </row>
    <row r="88" spans="1:255" x14ac:dyDescent="0.2">
      <c r="A88">
        <v>17</v>
      </c>
      <c r="B88">
        <v>1</v>
      </c>
      <c r="E88" t="s">
        <v>171</v>
      </c>
      <c r="F88" t="s">
        <v>172</v>
      </c>
      <c r="G88" t="s">
        <v>173</v>
      </c>
      <c r="H88" t="s">
        <v>51</v>
      </c>
      <c r="I88">
        <v>3</v>
      </c>
      <c r="J88">
        <v>0</v>
      </c>
      <c r="O88">
        <f t="shared" si="102"/>
        <v>8787.5499999999993</v>
      </c>
      <c r="P88">
        <f t="shared" si="103"/>
        <v>8787.5499999999993</v>
      </c>
      <c r="Q88">
        <f t="shared" si="104"/>
        <v>0</v>
      </c>
      <c r="R88">
        <f t="shared" si="105"/>
        <v>0</v>
      </c>
      <c r="S88">
        <f t="shared" si="106"/>
        <v>0</v>
      </c>
      <c r="T88">
        <f t="shared" si="107"/>
        <v>0</v>
      </c>
      <c r="U88">
        <f t="shared" si="108"/>
        <v>0</v>
      </c>
      <c r="V88">
        <f t="shared" si="109"/>
        <v>0</v>
      </c>
      <c r="W88">
        <f t="shared" si="110"/>
        <v>0</v>
      </c>
      <c r="X88">
        <f t="shared" si="111"/>
        <v>0</v>
      </c>
      <c r="Y88">
        <f t="shared" si="112"/>
        <v>0</v>
      </c>
      <c r="AA88">
        <v>55106052</v>
      </c>
      <c r="AB88">
        <f t="shared" si="113"/>
        <v>667.24</v>
      </c>
      <c r="AC88">
        <f t="shared" si="114"/>
        <v>667.24</v>
      </c>
      <c r="AD88">
        <f t="shared" si="115"/>
        <v>0</v>
      </c>
      <c r="AE88">
        <f t="shared" si="116"/>
        <v>0</v>
      </c>
      <c r="AF88">
        <f t="shared" si="117"/>
        <v>0</v>
      </c>
      <c r="AG88">
        <f t="shared" si="118"/>
        <v>0</v>
      </c>
      <c r="AH88">
        <f t="shared" si="119"/>
        <v>0</v>
      </c>
      <c r="AI88">
        <f t="shared" si="120"/>
        <v>0</v>
      </c>
      <c r="AJ88">
        <f t="shared" si="121"/>
        <v>0</v>
      </c>
      <c r="AK88">
        <v>667.24</v>
      </c>
      <c r="AL88">
        <v>667.24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1</v>
      </c>
      <c r="AW88">
        <v>1</v>
      </c>
      <c r="AZ88">
        <v>1</v>
      </c>
      <c r="BA88">
        <v>1</v>
      </c>
      <c r="BB88">
        <v>1</v>
      </c>
      <c r="BC88">
        <v>4.3899999999999997</v>
      </c>
      <c r="BD88" t="s">
        <v>3</v>
      </c>
      <c r="BE88" t="s">
        <v>3</v>
      </c>
      <c r="BF88" t="s">
        <v>3</v>
      </c>
      <c r="BG88" t="s">
        <v>3</v>
      </c>
      <c r="BH88">
        <v>3</v>
      </c>
      <c r="BI88">
        <v>3</v>
      </c>
      <c r="BJ88" t="s">
        <v>174</v>
      </c>
      <c r="BM88">
        <v>746</v>
      </c>
      <c r="BN88">
        <v>0</v>
      </c>
      <c r="BO88" t="s">
        <v>3</v>
      </c>
      <c r="BP88">
        <v>0</v>
      </c>
      <c r="BQ88">
        <v>130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0</v>
      </c>
      <c r="CA88">
        <v>0</v>
      </c>
      <c r="CE88">
        <v>0</v>
      </c>
      <c r="CF88">
        <v>0</v>
      </c>
      <c r="CG88">
        <v>0</v>
      </c>
      <c r="CM88">
        <v>0</v>
      </c>
      <c r="CN88" t="s">
        <v>3</v>
      </c>
      <c r="CO88">
        <v>0</v>
      </c>
      <c r="CP88">
        <f t="shared" si="122"/>
        <v>8787.5499999999993</v>
      </c>
      <c r="CQ88">
        <f t="shared" si="123"/>
        <v>2929.1835999999998</v>
      </c>
      <c r="CR88">
        <f t="shared" si="124"/>
        <v>0</v>
      </c>
      <c r="CS88">
        <f t="shared" si="125"/>
        <v>0</v>
      </c>
      <c r="CT88">
        <f t="shared" si="126"/>
        <v>0</v>
      </c>
      <c r="CU88">
        <f t="shared" si="127"/>
        <v>0</v>
      </c>
      <c r="CV88">
        <f t="shared" si="128"/>
        <v>0</v>
      </c>
      <c r="CW88">
        <f t="shared" si="129"/>
        <v>0</v>
      </c>
      <c r="CX88">
        <f t="shared" si="130"/>
        <v>0</v>
      </c>
      <c r="CY88">
        <f t="shared" si="131"/>
        <v>0</v>
      </c>
      <c r="CZ88">
        <f t="shared" si="132"/>
        <v>0</v>
      </c>
      <c r="DC88" t="s">
        <v>3</v>
      </c>
      <c r="DD88" t="s">
        <v>3</v>
      </c>
      <c r="DE88" t="s">
        <v>3</v>
      </c>
      <c r="DF88" t="s">
        <v>3</v>
      </c>
      <c r="DG88" t="s">
        <v>3</v>
      </c>
      <c r="DH88" t="s">
        <v>3</v>
      </c>
      <c r="DI88" t="s">
        <v>3</v>
      </c>
      <c r="DJ88" t="s">
        <v>3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1010</v>
      </c>
      <c r="DV88" t="s">
        <v>51</v>
      </c>
      <c r="DW88" t="s">
        <v>51</v>
      </c>
      <c r="DX88">
        <v>1</v>
      </c>
      <c r="EE88">
        <v>21988098</v>
      </c>
      <c r="EF88">
        <v>130</v>
      </c>
      <c r="EG88" t="s">
        <v>168</v>
      </c>
      <c r="EH88">
        <v>0</v>
      </c>
      <c r="EI88" t="s">
        <v>3</v>
      </c>
      <c r="EJ88">
        <v>3</v>
      </c>
      <c r="EK88">
        <v>746</v>
      </c>
      <c r="EL88" t="s">
        <v>169</v>
      </c>
      <c r="EM88" t="s">
        <v>170</v>
      </c>
      <c r="EO88" t="s">
        <v>3</v>
      </c>
      <c r="EQ88">
        <v>131072</v>
      </c>
      <c r="ER88">
        <v>667.24</v>
      </c>
      <c r="ES88">
        <v>667.24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FQ88">
        <v>0</v>
      </c>
      <c r="FR88">
        <f t="shared" si="133"/>
        <v>8787.5499999999993</v>
      </c>
      <c r="FS88">
        <v>0</v>
      </c>
      <c r="FX88">
        <v>0</v>
      </c>
      <c r="FY88">
        <v>0</v>
      </c>
      <c r="GA88" t="s">
        <v>3</v>
      </c>
      <c r="GD88">
        <v>0</v>
      </c>
      <c r="GF88">
        <v>1680792693</v>
      </c>
      <c r="GG88">
        <v>2</v>
      </c>
      <c r="GH88">
        <v>1</v>
      </c>
      <c r="GI88">
        <v>2</v>
      </c>
      <c r="GJ88">
        <v>0</v>
      </c>
      <c r="GK88">
        <f>ROUND(R88*(S12)/100,2)</f>
        <v>0</v>
      </c>
      <c r="GL88">
        <f t="shared" si="134"/>
        <v>0</v>
      </c>
      <c r="GM88">
        <f t="shared" si="135"/>
        <v>8787.5499999999993</v>
      </c>
      <c r="GN88">
        <f t="shared" si="136"/>
        <v>0</v>
      </c>
      <c r="GO88">
        <f t="shared" si="137"/>
        <v>0</v>
      </c>
      <c r="GP88">
        <f t="shared" si="138"/>
        <v>0</v>
      </c>
      <c r="GR88">
        <v>0</v>
      </c>
      <c r="GS88">
        <v>3</v>
      </c>
      <c r="GT88">
        <v>0</v>
      </c>
      <c r="GU88" t="s">
        <v>3</v>
      </c>
      <c r="GV88">
        <f t="shared" si="139"/>
        <v>0</v>
      </c>
      <c r="GW88">
        <v>1</v>
      </c>
      <c r="GX88">
        <f t="shared" si="140"/>
        <v>0</v>
      </c>
      <c r="HA88">
        <v>0</v>
      </c>
      <c r="HB88">
        <v>0</v>
      </c>
      <c r="HC88">
        <f t="shared" si="141"/>
        <v>0</v>
      </c>
      <c r="IK88">
        <v>0</v>
      </c>
    </row>
    <row r="89" spans="1:255" x14ac:dyDescent="0.2">
      <c r="A89" s="2">
        <v>17</v>
      </c>
      <c r="B89" s="2">
        <v>1</v>
      </c>
      <c r="C89" s="2"/>
      <c r="D89" s="2"/>
      <c r="E89" s="2" t="s">
        <v>175</v>
      </c>
      <c r="F89" s="2" t="s">
        <v>176</v>
      </c>
      <c r="G89" s="2" t="s">
        <v>288</v>
      </c>
      <c r="H89" s="2" t="s">
        <v>167</v>
      </c>
      <c r="I89" s="2">
        <v>7</v>
      </c>
      <c r="J89" s="2">
        <v>0</v>
      </c>
      <c r="K89" s="2"/>
      <c r="L89" s="2"/>
      <c r="M89" s="2"/>
      <c r="N89" s="2"/>
      <c r="O89" s="2">
        <f t="shared" si="102"/>
        <v>23087.75</v>
      </c>
      <c r="P89" s="2">
        <f t="shared" si="103"/>
        <v>23087.75</v>
      </c>
      <c r="Q89" s="2">
        <f t="shared" si="104"/>
        <v>0</v>
      </c>
      <c r="R89" s="2">
        <f t="shared" si="105"/>
        <v>0</v>
      </c>
      <c r="S89" s="2">
        <f t="shared" si="106"/>
        <v>0</v>
      </c>
      <c r="T89" s="2">
        <f t="shared" si="107"/>
        <v>0</v>
      </c>
      <c r="U89" s="2">
        <f t="shared" si="108"/>
        <v>0</v>
      </c>
      <c r="V89" s="2">
        <f t="shared" si="109"/>
        <v>0</v>
      </c>
      <c r="W89" s="2">
        <f t="shared" si="110"/>
        <v>0</v>
      </c>
      <c r="X89" s="2">
        <f t="shared" si="111"/>
        <v>0</v>
      </c>
      <c r="Y89" s="2">
        <f t="shared" si="112"/>
        <v>0</v>
      </c>
      <c r="Z89" s="2"/>
      <c r="AA89" s="2">
        <v>55106055</v>
      </c>
      <c r="AB89" s="2">
        <f t="shared" si="113"/>
        <v>3298.25</v>
      </c>
      <c r="AC89" s="2">
        <f t="shared" si="114"/>
        <v>3298.25</v>
      </c>
      <c r="AD89" s="2">
        <f t="shared" si="115"/>
        <v>0</v>
      </c>
      <c r="AE89" s="2">
        <f t="shared" si="116"/>
        <v>0</v>
      </c>
      <c r="AF89" s="2">
        <f t="shared" si="117"/>
        <v>0</v>
      </c>
      <c r="AG89" s="2">
        <f t="shared" si="118"/>
        <v>0</v>
      </c>
      <c r="AH89" s="2">
        <f t="shared" si="119"/>
        <v>0</v>
      </c>
      <c r="AI89" s="2">
        <f t="shared" si="120"/>
        <v>0</v>
      </c>
      <c r="AJ89" s="2">
        <f t="shared" si="121"/>
        <v>0</v>
      </c>
      <c r="AK89" s="2">
        <v>3298.25</v>
      </c>
      <c r="AL89" s="2">
        <v>3298.25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1</v>
      </c>
      <c r="AW89" s="2">
        <v>1</v>
      </c>
      <c r="AX89" s="2"/>
      <c r="AY89" s="2"/>
      <c r="AZ89" s="2">
        <v>1</v>
      </c>
      <c r="BA89" s="2">
        <v>1</v>
      </c>
      <c r="BB89" s="2">
        <v>1</v>
      </c>
      <c r="BC89" s="2">
        <v>1</v>
      </c>
      <c r="BD89" s="2" t="s">
        <v>3</v>
      </c>
      <c r="BE89" s="2" t="s">
        <v>3</v>
      </c>
      <c r="BF89" s="2" t="s">
        <v>3</v>
      </c>
      <c r="BG89" s="2" t="s">
        <v>3</v>
      </c>
      <c r="BH89" s="2">
        <v>3</v>
      </c>
      <c r="BI89" s="2">
        <v>3</v>
      </c>
      <c r="BJ89" s="2" t="s">
        <v>177</v>
      </c>
      <c r="BK89" s="2"/>
      <c r="BL89" s="2"/>
      <c r="BM89" s="2">
        <v>746</v>
      </c>
      <c r="BN89" s="2">
        <v>0</v>
      </c>
      <c r="BO89" s="2" t="s">
        <v>3</v>
      </c>
      <c r="BP89" s="2">
        <v>0</v>
      </c>
      <c r="BQ89" s="2">
        <v>130</v>
      </c>
      <c r="BR89" s="2">
        <v>0</v>
      </c>
      <c r="BS89" s="2">
        <v>1</v>
      </c>
      <c r="BT89" s="2">
        <v>1</v>
      </c>
      <c r="BU89" s="2">
        <v>1</v>
      </c>
      <c r="BV89" s="2">
        <v>1</v>
      </c>
      <c r="BW89" s="2">
        <v>1</v>
      </c>
      <c r="BX89" s="2">
        <v>1</v>
      </c>
      <c r="BY89" s="2" t="s">
        <v>3</v>
      </c>
      <c r="BZ89" s="2">
        <v>0</v>
      </c>
      <c r="CA89" s="2">
        <v>0</v>
      </c>
      <c r="CB89" s="2"/>
      <c r="CC89" s="2"/>
      <c r="CD89" s="2"/>
      <c r="CE89" s="2">
        <v>0</v>
      </c>
      <c r="CF89" s="2">
        <v>0</v>
      </c>
      <c r="CG89" s="2">
        <v>0</v>
      </c>
      <c r="CH89" s="2"/>
      <c r="CI89" s="2"/>
      <c r="CJ89" s="2"/>
      <c r="CK89" s="2"/>
      <c r="CL89" s="2"/>
      <c r="CM89" s="2">
        <v>0</v>
      </c>
      <c r="CN89" s="2" t="s">
        <v>3</v>
      </c>
      <c r="CO89" s="2">
        <v>0</v>
      </c>
      <c r="CP89" s="2">
        <f t="shared" si="122"/>
        <v>23087.75</v>
      </c>
      <c r="CQ89" s="2">
        <f t="shared" si="123"/>
        <v>3298.25</v>
      </c>
      <c r="CR89" s="2">
        <f t="shared" si="124"/>
        <v>0</v>
      </c>
      <c r="CS89" s="2">
        <f t="shared" si="125"/>
        <v>0</v>
      </c>
      <c r="CT89" s="2">
        <f t="shared" si="126"/>
        <v>0</v>
      </c>
      <c r="CU89" s="2">
        <f t="shared" si="127"/>
        <v>0</v>
      </c>
      <c r="CV89" s="2">
        <f t="shared" si="128"/>
        <v>0</v>
      </c>
      <c r="CW89" s="2">
        <f t="shared" si="129"/>
        <v>0</v>
      </c>
      <c r="CX89" s="2">
        <f t="shared" si="130"/>
        <v>0</v>
      </c>
      <c r="CY89" s="2">
        <f t="shared" si="131"/>
        <v>0</v>
      </c>
      <c r="CZ89" s="2">
        <f t="shared" si="132"/>
        <v>0</v>
      </c>
      <c r="DA89" s="2"/>
      <c r="DB89" s="2"/>
      <c r="DC89" s="2" t="s">
        <v>3</v>
      </c>
      <c r="DD89" s="2" t="s">
        <v>3</v>
      </c>
      <c r="DE89" s="2" t="s">
        <v>3</v>
      </c>
      <c r="DF89" s="2" t="s">
        <v>3</v>
      </c>
      <c r="DG89" s="2" t="s">
        <v>3</v>
      </c>
      <c r="DH89" s="2" t="s">
        <v>3</v>
      </c>
      <c r="DI89" s="2" t="s">
        <v>3</v>
      </c>
      <c r="DJ89" s="2" t="s">
        <v>3</v>
      </c>
      <c r="DK89" s="2" t="s">
        <v>3</v>
      </c>
      <c r="DL89" s="2" t="s">
        <v>3</v>
      </c>
      <c r="DM89" s="2" t="s">
        <v>3</v>
      </c>
      <c r="DN89" s="2">
        <v>0</v>
      </c>
      <c r="DO89" s="2">
        <v>0</v>
      </c>
      <c r="DP89" s="2">
        <v>1</v>
      </c>
      <c r="DQ89" s="2">
        <v>1</v>
      </c>
      <c r="DR89" s="2"/>
      <c r="DS89" s="2"/>
      <c r="DT89" s="2"/>
      <c r="DU89" s="2">
        <v>1013</v>
      </c>
      <c r="DV89" s="2" t="s">
        <v>167</v>
      </c>
      <c r="DW89" s="2" t="s">
        <v>167</v>
      </c>
      <c r="DX89" s="2">
        <v>1</v>
      </c>
      <c r="DY89" s="2"/>
      <c r="DZ89" s="2"/>
      <c r="EA89" s="2"/>
      <c r="EB89" s="2"/>
      <c r="EC89" s="2"/>
      <c r="ED89" s="2"/>
      <c r="EE89" s="2">
        <v>21988098</v>
      </c>
      <c r="EF89" s="2">
        <v>130</v>
      </c>
      <c r="EG89" s="2" t="s">
        <v>168</v>
      </c>
      <c r="EH89" s="2">
        <v>0</v>
      </c>
      <c r="EI89" s="2" t="s">
        <v>3</v>
      </c>
      <c r="EJ89" s="2">
        <v>3</v>
      </c>
      <c r="EK89" s="2">
        <v>746</v>
      </c>
      <c r="EL89" s="2" t="s">
        <v>169</v>
      </c>
      <c r="EM89" s="2" t="s">
        <v>170</v>
      </c>
      <c r="EN89" s="2"/>
      <c r="EO89" s="2" t="s">
        <v>3</v>
      </c>
      <c r="EP89" s="2"/>
      <c r="EQ89" s="2">
        <v>131072</v>
      </c>
      <c r="ER89" s="2">
        <v>3298.25</v>
      </c>
      <c r="ES89" s="2">
        <v>3298.25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>
        <v>0</v>
      </c>
      <c r="FR89" s="2">
        <f t="shared" si="133"/>
        <v>23087.75</v>
      </c>
      <c r="FS89" s="2">
        <v>0</v>
      </c>
      <c r="FT89" s="2"/>
      <c r="FU89" s="2"/>
      <c r="FV89" s="2"/>
      <c r="FW89" s="2"/>
      <c r="FX89" s="2">
        <v>0</v>
      </c>
      <c r="FY89" s="2">
        <v>0</v>
      </c>
      <c r="FZ89" s="2"/>
      <c r="GA89" s="2" t="s">
        <v>3</v>
      </c>
      <c r="GB89" s="2"/>
      <c r="GC89" s="2"/>
      <c r="GD89" s="2">
        <v>0</v>
      </c>
      <c r="GE89" s="2"/>
      <c r="GF89" s="2">
        <v>-1285856882</v>
      </c>
      <c r="GG89" s="2">
        <v>2</v>
      </c>
      <c r="GH89" s="2">
        <v>1</v>
      </c>
      <c r="GI89" s="2">
        <v>-2</v>
      </c>
      <c r="GJ89" s="2">
        <v>0</v>
      </c>
      <c r="GK89" s="2">
        <f>ROUND(R89*(R12)/100,2)</f>
        <v>0</v>
      </c>
      <c r="GL89" s="2">
        <f t="shared" si="134"/>
        <v>0</v>
      </c>
      <c r="GM89" s="2">
        <f t="shared" si="135"/>
        <v>23087.75</v>
      </c>
      <c r="GN89" s="2">
        <f t="shared" si="136"/>
        <v>0</v>
      </c>
      <c r="GO89" s="2">
        <f t="shared" si="137"/>
        <v>0</v>
      </c>
      <c r="GP89" s="2">
        <f t="shared" si="138"/>
        <v>0</v>
      </c>
      <c r="GQ89" s="2"/>
      <c r="GR89" s="2">
        <v>0</v>
      </c>
      <c r="GS89" s="2">
        <v>3</v>
      </c>
      <c r="GT89" s="2">
        <v>0</v>
      </c>
      <c r="GU89" s="2" t="s">
        <v>3</v>
      </c>
      <c r="GV89" s="2">
        <f t="shared" si="139"/>
        <v>0</v>
      </c>
      <c r="GW89" s="2">
        <v>1</v>
      </c>
      <c r="GX89" s="2">
        <f t="shared" si="140"/>
        <v>0</v>
      </c>
      <c r="GY89" s="2"/>
      <c r="GZ89" s="2"/>
      <c r="HA89" s="2">
        <v>0</v>
      </c>
      <c r="HB89" s="2">
        <v>0</v>
      </c>
      <c r="HC89" s="2">
        <f t="shared" si="141"/>
        <v>0</v>
      </c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>
        <v>0</v>
      </c>
      <c r="IL89" s="2"/>
      <c r="IM89" s="2"/>
      <c r="IN89" s="2"/>
      <c r="IO89" s="2"/>
      <c r="IP89" s="2"/>
      <c r="IQ89" s="2"/>
      <c r="IR89" s="2"/>
      <c r="IS89" s="2"/>
      <c r="IT89" s="2"/>
      <c r="IU89" s="2"/>
    </row>
    <row r="90" spans="1:255" x14ac:dyDescent="0.2">
      <c r="A90">
        <v>17</v>
      </c>
      <c r="B90">
        <v>1</v>
      </c>
      <c r="E90" t="s">
        <v>175</v>
      </c>
      <c r="F90" t="s">
        <v>176</v>
      </c>
      <c r="G90" t="s">
        <v>288</v>
      </c>
      <c r="H90" t="s">
        <v>167</v>
      </c>
      <c r="I90">
        <v>7</v>
      </c>
      <c r="J90">
        <v>0</v>
      </c>
      <c r="O90">
        <f t="shared" si="102"/>
        <v>71802.899999999994</v>
      </c>
      <c r="P90">
        <f t="shared" si="103"/>
        <v>71802.899999999994</v>
      </c>
      <c r="Q90">
        <f t="shared" si="104"/>
        <v>0</v>
      </c>
      <c r="R90">
        <f t="shared" si="105"/>
        <v>0</v>
      </c>
      <c r="S90">
        <f t="shared" si="106"/>
        <v>0</v>
      </c>
      <c r="T90">
        <f t="shared" si="107"/>
        <v>0</v>
      </c>
      <c r="U90">
        <f t="shared" si="108"/>
        <v>0</v>
      </c>
      <c r="V90">
        <f t="shared" si="109"/>
        <v>0</v>
      </c>
      <c r="W90">
        <f t="shared" si="110"/>
        <v>0</v>
      </c>
      <c r="X90">
        <f t="shared" si="111"/>
        <v>0</v>
      </c>
      <c r="Y90">
        <f t="shared" si="112"/>
        <v>0</v>
      </c>
      <c r="AA90">
        <v>55106052</v>
      </c>
      <c r="AB90">
        <f t="shared" si="113"/>
        <v>3298.25</v>
      </c>
      <c r="AC90">
        <f t="shared" si="114"/>
        <v>3298.25</v>
      </c>
      <c r="AD90">
        <f t="shared" si="115"/>
        <v>0</v>
      </c>
      <c r="AE90">
        <f t="shared" si="116"/>
        <v>0</v>
      </c>
      <c r="AF90">
        <f t="shared" si="117"/>
        <v>0</v>
      </c>
      <c r="AG90">
        <f t="shared" si="118"/>
        <v>0</v>
      </c>
      <c r="AH90">
        <f t="shared" si="119"/>
        <v>0</v>
      </c>
      <c r="AI90">
        <f t="shared" si="120"/>
        <v>0</v>
      </c>
      <c r="AJ90">
        <f t="shared" si="121"/>
        <v>0</v>
      </c>
      <c r="AK90">
        <v>3298.25</v>
      </c>
      <c r="AL90">
        <v>3298.25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1</v>
      </c>
      <c r="AW90">
        <v>1</v>
      </c>
      <c r="AZ90">
        <v>1</v>
      </c>
      <c r="BA90">
        <v>1</v>
      </c>
      <c r="BB90">
        <v>1</v>
      </c>
      <c r="BC90">
        <v>3.11</v>
      </c>
      <c r="BD90" t="s">
        <v>3</v>
      </c>
      <c r="BE90" t="s">
        <v>3</v>
      </c>
      <c r="BF90" t="s">
        <v>3</v>
      </c>
      <c r="BG90" t="s">
        <v>3</v>
      </c>
      <c r="BH90">
        <v>3</v>
      </c>
      <c r="BI90">
        <v>3</v>
      </c>
      <c r="BJ90" t="s">
        <v>177</v>
      </c>
      <c r="BM90">
        <v>746</v>
      </c>
      <c r="BN90">
        <v>0</v>
      </c>
      <c r="BO90" t="s">
        <v>3</v>
      </c>
      <c r="BP90">
        <v>0</v>
      </c>
      <c r="BQ90">
        <v>130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0</v>
      </c>
      <c r="CA90">
        <v>0</v>
      </c>
      <c r="CE90">
        <v>0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122"/>
        <v>71802.899999999994</v>
      </c>
      <c r="CQ90">
        <f t="shared" si="123"/>
        <v>10257.557499999999</v>
      </c>
      <c r="CR90">
        <f t="shared" si="124"/>
        <v>0</v>
      </c>
      <c r="CS90">
        <f t="shared" si="125"/>
        <v>0</v>
      </c>
      <c r="CT90">
        <f t="shared" si="126"/>
        <v>0</v>
      </c>
      <c r="CU90">
        <f t="shared" si="127"/>
        <v>0</v>
      </c>
      <c r="CV90">
        <f t="shared" si="128"/>
        <v>0</v>
      </c>
      <c r="CW90">
        <f t="shared" si="129"/>
        <v>0</v>
      </c>
      <c r="CX90">
        <f t="shared" si="130"/>
        <v>0</v>
      </c>
      <c r="CY90">
        <f t="shared" si="131"/>
        <v>0</v>
      </c>
      <c r="CZ90">
        <f t="shared" si="132"/>
        <v>0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1013</v>
      </c>
      <c r="DV90" t="s">
        <v>167</v>
      </c>
      <c r="DW90" t="s">
        <v>167</v>
      </c>
      <c r="DX90">
        <v>1</v>
      </c>
      <c r="EE90">
        <v>21988098</v>
      </c>
      <c r="EF90">
        <v>130</v>
      </c>
      <c r="EG90" t="s">
        <v>168</v>
      </c>
      <c r="EH90">
        <v>0</v>
      </c>
      <c r="EI90" t="s">
        <v>3</v>
      </c>
      <c r="EJ90">
        <v>3</v>
      </c>
      <c r="EK90">
        <v>746</v>
      </c>
      <c r="EL90" t="s">
        <v>169</v>
      </c>
      <c r="EM90" t="s">
        <v>170</v>
      </c>
      <c r="EO90" t="s">
        <v>3</v>
      </c>
      <c r="EQ90">
        <v>131072</v>
      </c>
      <c r="ER90">
        <v>3298.25</v>
      </c>
      <c r="ES90">
        <v>3298.25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FQ90">
        <v>0</v>
      </c>
      <c r="FR90">
        <f t="shared" si="133"/>
        <v>71802.899999999994</v>
      </c>
      <c r="FS90">
        <v>0</v>
      </c>
      <c r="FX90">
        <v>0</v>
      </c>
      <c r="FY90">
        <v>0</v>
      </c>
      <c r="GA90" t="s">
        <v>3</v>
      </c>
      <c r="GD90">
        <v>0</v>
      </c>
      <c r="GF90">
        <v>-1285856882</v>
      </c>
      <c r="GG90">
        <v>2</v>
      </c>
      <c r="GH90">
        <v>1</v>
      </c>
      <c r="GI90">
        <v>2</v>
      </c>
      <c r="GJ90">
        <v>0</v>
      </c>
      <c r="GK90">
        <f>ROUND(R90*(S12)/100,2)</f>
        <v>0</v>
      </c>
      <c r="GL90">
        <f t="shared" si="134"/>
        <v>0</v>
      </c>
      <c r="GM90">
        <f t="shared" si="135"/>
        <v>71802.899999999994</v>
      </c>
      <c r="GN90">
        <f t="shared" si="136"/>
        <v>0</v>
      </c>
      <c r="GO90">
        <f t="shared" si="137"/>
        <v>0</v>
      </c>
      <c r="GP90">
        <f t="shared" si="138"/>
        <v>0</v>
      </c>
      <c r="GR90">
        <v>0</v>
      </c>
      <c r="GS90">
        <v>3</v>
      </c>
      <c r="GT90">
        <v>0</v>
      </c>
      <c r="GU90" t="s">
        <v>3</v>
      </c>
      <c r="GV90">
        <f t="shared" si="139"/>
        <v>0</v>
      </c>
      <c r="GW90">
        <v>1</v>
      </c>
      <c r="GX90">
        <f t="shared" si="140"/>
        <v>0</v>
      </c>
      <c r="HA90">
        <v>0</v>
      </c>
      <c r="HB90">
        <v>0</v>
      </c>
      <c r="HC90">
        <f t="shared" si="141"/>
        <v>0</v>
      </c>
      <c r="IK90">
        <v>0</v>
      </c>
    </row>
    <row r="91" spans="1:255" x14ac:dyDescent="0.2">
      <c r="A91" s="2">
        <v>17</v>
      </c>
      <c r="B91" s="2">
        <v>1</v>
      </c>
      <c r="C91" s="2"/>
      <c r="D91" s="2"/>
      <c r="E91" s="2" t="s">
        <v>178</v>
      </c>
      <c r="F91" s="2" t="s">
        <v>179</v>
      </c>
      <c r="G91" s="2" t="s">
        <v>180</v>
      </c>
      <c r="H91" s="2" t="s">
        <v>51</v>
      </c>
      <c r="I91" s="2">
        <v>1</v>
      </c>
      <c r="J91" s="2">
        <v>0</v>
      </c>
      <c r="K91" s="2"/>
      <c r="L91" s="2"/>
      <c r="M91" s="2"/>
      <c r="N91" s="2"/>
      <c r="O91" s="2">
        <f t="shared" si="102"/>
        <v>89.39</v>
      </c>
      <c r="P91" s="2">
        <f t="shared" si="103"/>
        <v>89.39</v>
      </c>
      <c r="Q91" s="2">
        <f t="shared" si="104"/>
        <v>0</v>
      </c>
      <c r="R91" s="2">
        <f t="shared" si="105"/>
        <v>0</v>
      </c>
      <c r="S91" s="2">
        <f t="shared" si="106"/>
        <v>0</v>
      </c>
      <c r="T91" s="2">
        <f t="shared" si="107"/>
        <v>0</v>
      </c>
      <c r="U91" s="2">
        <f t="shared" si="108"/>
        <v>0</v>
      </c>
      <c r="V91" s="2">
        <f t="shared" si="109"/>
        <v>0</v>
      </c>
      <c r="W91" s="2">
        <f t="shared" si="110"/>
        <v>0</v>
      </c>
      <c r="X91" s="2">
        <f t="shared" si="111"/>
        <v>0</v>
      </c>
      <c r="Y91" s="2">
        <f t="shared" si="112"/>
        <v>0</v>
      </c>
      <c r="Z91" s="2"/>
      <c r="AA91" s="2">
        <v>55106055</v>
      </c>
      <c r="AB91" s="2">
        <f t="shared" si="113"/>
        <v>89.39</v>
      </c>
      <c r="AC91" s="2">
        <f t="shared" si="114"/>
        <v>89.39</v>
      </c>
      <c r="AD91" s="2">
        <f t="shared" si="115"/>
        <v>0</v>
      </c>
      <c r="AE91" s="2">
        <f t="shared" si="116"/>
        <v>0</v>
      </c>
      <c r="AF91" s="2">
        <f t="shared" si="117"/>
        <v>0</v>
      </c>
      <c r="AG91" s="2">
        <f t="shared" si="118"/>
        <v>0</v>
      </c>
      <c r="AH91" s="2">
        <f t="shared" si="119"/>
        <v>0</v>
      </c>
      <c r="AI91" s="2">
        <f t="shared" si="120"/>
        <v>0</v>
      </c>
      <c r="AJ91" s="2">
        <f t="shared" si="121"/>
        <v>0</v>
      </c>
      <c r="AK91" s="2">
        <v>89.39</v>
      </c>
      <c r="AL91" s="2">
        <v>89.39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1</v>
      </c>
      <c r="AW91" s="2">
        <v>1</v>
      </c>
      <c r="AX91" s="2"/>
      <c r="AY91" s="2"/>
      <c r="AZ91" s="2">
        <v>1</v>
      </c>
      <c r="BA91" s="2">
        <v>1</v>
      </c>
      <c r="BB91" s="2">
        <v>1</v>
      </c>
      <c r="BC91" s="2">
        <v>1</v>
      </c>
      <c r="BD91" s="2" t="s">
        <v>3</v>
      </c>
      <c r="BE91" s="2" t="s">
        <v>3</v>
      </c>
      <c r="BF91" s="2" t="s">
        <v>3</v>
      </c>
      <c r="BG91" s="2" t="s">
        <v>3</v>
      </c>
      <c r="BH91" s="2">
        <v>3</v>
      </c>
      <c r="BI91" s="2">
        <v>3</v>
      </c>
      <c r="BJ91" s="2" t="s">
        <v>181</v>
      </c>
      <c r="BK91" s="2"/>
      <c r="BL91" s="2"/>
      <c r="BM91" s="2">
        <v>746</v>
      </c>
      <c r="BN91" s="2">
        <v>0</v>
      </c>
      <c r="BO91" s="2" t="s">
        <v>3</v>
      </c>
      <c r="BP91" s="2">
        <v>0</v>
      </c>
      <c r="BQ91" s="2">
        <v>130</v>
      </c>
      <c r="BR91" s="2">
        <v>0</v>
      </c>
      <c r="BS91" s="2">
        <v>1</v>
      </c>
      <c r="BT91" s="2">
        <v>1</v>
      </c>
      <c r="BU91" s="2">
        <v>1</v>
      </c>
      <c r="BV91" s="2">
        <v>1</v>
      </c>
      <c r="BW91" s="2">
        <v>1</v>
      </c>
      <c r="BX91" s="2">
        <v>1</v>
      </c>
      <c r="BY91" s="2" t="s">
        <v>3</v>
      </c>
      <c r="BZ91" s="2">
        <v>0</v>
      </c>
      <c r="CA91" s="2">
        <v>0</v>
      </c>
      <c r="CB91" s="2"/>
      <c r="CC91" s="2"/>
      <c r="CD91" s="2"/>
      <c r="CE91" s="2">
        <v>0</v>
      </c>
      <c r="CF91" s="2">
        <v>0</v>
      </c>
      <c r="CG91" s="2">
        <v>0</v>
      </c>
      <c r="CH91" s="2"/>
      <c r="CI91" s="2"/>
      <c r="CJ91" s="2"/>
      <c r="CK91" s="2"/>
      <c r="CL91" s="2"/>
      <c r="CM91" s="2">
        <v>0</v>
      </c>
      <c r="CN91" s="2" t="s">
        <v>3</v>
      </c>
      <c r="CO91" s="2">
        <v>0</v>
      </c>
      <c r="CP91" s="2">
        <f t="shared" si="122"/>
        <v>89.39</v>
      </c>
      <c r="CQ91" s="2">
        <f t="shared" si="123"/>
        <v>89.39</v>
      </c>
      <c r="CR91" s="2">
        <f t="shared" si="124"/>
        <v>0</v>
      </c>
      <c r="CS91" s="2">
        <f t="shared" si="125"/>
        <v>0</v>
      </c>
      <c r="CT91" s="2">
        <f t="shared" si="126"/>
        <v>0</v>
      </c>
      <c r="CU91" s="2">
        <f t="shared" si="127"/>
        <v>0</v>
      </c>
      <c r="CV91" s="2">
        <f t="shared" si="128"/>
        <v>0</v>
      </c>
      <c r="CW91" s="2">
        <f t="shared" si="129"/>
        <v>0</v>
      </c>
      <c r="CX91" s="2">
        <f t="shared" si="130"/>
        <v>0</v>
      </c>
      <c r="CY91" s="2">
        <f t="shared" si="131"/>
        <v>0</v>
      </c>
      <c r="CZ91" s="2">
        <f t="shared" si="132"/>
        <v>0</v>
      </c>
      <c r="DA91" s="2"/>
      <c r="DB91" s="2"/>
      <c r="DC91" s="2" t="s">
        <v>3</v>
      </c>
      <c r="DD91" s="2" t="s">
        <v>3</v>
      </c>
      <c r="DE91" s="2" t="s">
        <v>3</v>
      </c>
      <c r="DF91" s="2" t="s">
        <v>3</v>
      </c>
      <c r="DG91" s="2" t="s">
        <v>3</v>
      </c>
      <c r="DH91" s="2" t="s">
        <v>3</v>
      </c>
      <c r="DI91" s="2" t="s">
        <v>3</v>
      </c>
      <c r="DJ91" s="2" t="s">
        <v>3</v>
      </c>
      <c r="DK91" s="2" t="s">
        <v>3</v>
      </c>
      <c r="DL91" s="2" t="s">
        <v>3</v>
      </c>
      <c r="DM91" s="2" t="s">
        <v>3</v>
      </c>
      <c r="DN91" s="2">
        <v>0</v>
      </c>
      <c r="DO91" s="2">
        <v>0</v>
      </c>
      <c r="DP91" s="2">
        <v>1</v>
      </c>
      <c r="DQ91" s="2">
        <v>1</v>
      </c>
      <c r="DR91" s="2"/>
      <c r="DS91" s="2"/>
      <c r="DT91" s="2"/>
      <c r="DU91" s="2">
        <v>1010</v>
      </c>
      <c r="DV91" s="2" t="s">
        <v>51</v>
      </c>
      <c r="DW91" s="2" t="s">
        <v>51</v>
      </c>
      <c r="DX91" s="2">
        <v>1</v>
      </c>
      <c r="DY91" s="2"/>
      <c r="DZ91" s="2"/>
      <c r="EA91" s="2"/>
      <c r="EB91" s="2"/>
      <c r="EC91" s="2"/>
      <c r="ED91" s="2"/>
      <c r="EE91" s="2">
        <v>21988098</v>
      </c>
      <c r="EF91" s="2">
        <v>130</v>
      </c>
      <c r="EG91" s="2" t="s">
        <v>168</v>
      </c>
      <c r="EH91" s="2">
        <v>0</v>
      </c>
      <c r="EI91" s="2" t="s">
        <v>3</v>
      </c>
      <c r="EJ91" s="2">
        <v>3</v>
      </c>
      <c r="EK91" s="2">
        <v>746</v>
      </c>
      <c r="EL91" s="2" t="s">
        <v>169</v>
      </c>
      <c r="EM91" s="2" t="s">
        <v>170</v>
      </c>
      <c r="EN91" s="2"/>
      <c r="EO91" s="2" t="s">
        <v>3</v>
      </c>
      <c r="EP91" s="2"/>
      <c r="EQ91" s="2">
        <v>131072</v>
      </c>
      <c r="ER91" s="2">
        <v>89.39</v>
      </c>
      <c r="ES91" s="2">
        <v>89.39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>
        <v>0</v>
      </c>
      <c r="FR91" s="2">
        <f t="shared" si="133"/>
        <v>89.39</v>
      </c>
      <c r="FS91" s="2">
        <v>0</v>
      </c>
      <c r="FT91" s="2"/>
      <c r="FU91" s="2"/>
      <c r="FV91" s="2"/>
      <c r="FW91" s="2"/>
      <c r="FX91" s="2">
        <v>0</v>
      </c>
      <c r="FY91" s="2">
        <v>0</v>
      </c>
      <c r="FZ91" s="2"/>
      <c r="GA91" s="2" t="s">
        <v>3</v>
      </c>
      <c r="GB91" s="2"/>
      <c r="GC91" s="2"/>
      <c r="GD91" s="2">
        <v>0</v>
      </c>
      <c r="GE91" s="2"/>
      <c r="GF91" s="2">
        <v>-2090318031</v>
      </c>
      <c r="GG91" s="2">
        <v>2</v>
      </c>
      <c r="GH91" s="2">
        <v>1</v>
      </c>
      <c r="GI91" s="2">
        <v>-2</v>
      </c>
      <c r="GJ91" s="2">
        <v>0</v>
      </c>
      <c r="GK91" s="2">
        <f>ROUND(R91*(R12)/100,2)</f>
        <v>0</v>
      </c>
      <c r="GL91" s="2">
        <f t="shared" si="134"/>
        <v>0</v>
      </c>
      <c r="GM91" s="2">
        <f t="shared" si="135"/>
        <v>89.39</v>
      </c>
      <c r="GN91" s="2">
        <f t="shared" si="136"/>
        <v>0</v>
      </c>
      <c r="GO91" s="2">
        <f t="shared" si="137"/>
        <v>0</v>
      </c>
      <c r="GP91" s="2">
        <f t="shared" si="138"/>
        <v>0</v>
      </c>
      <c r="GQ91" s="2"/>
      <c r="GR91" s="2">
        <v>0</v>
      </c>
      <c r="GS91" s="2">
        <v>3</v>
      </c>
      <c r="GT91" s="2">
        <v>0</v>
      </c>
      <c r="GU91" s="2" t="s">
        <v>3</v>
      </c>
      <c r="GV91" s="2">
        <f t="shared" si="139"/>
        <v>0</v>
      </c>
      <c r="GW91" s="2">
        <v>1</v>
      </c>
      <c r="GX91" s="2">
        <f t="shared" si="140"/>
        <v>0</v>
      </c>
      <c r="GY91" s="2"/>
      <c r="GZ91" s="2"/>
      <c r="HA91" s="2">
        <v>0</v>
      </c>
      <c r="HB91" s="2">
        <v>0</v>
      </c>
      <c r="HC91" s="2">
        <f t="shared" si="141"/>
        <v>0</v>
      </c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>
        <v>0</v>
      </c>
      <c r="IL91" s="2"/>
      <c r="IM91" s="2"/>
      <c r="IN91" s="2"/>
      <c r="IO91" s="2"/>
      <c r="IP91" s="2"/>
      <c r="IQ91" s="2"/>
      <c r="IR91" s="2"/>
      <c r="IS91" s="2"/>
      <c r="IT91" s="2"/>
      <c r="IU91" s="2"/>
    </row>
    <row r="92" spans="1:255" x14ac:dyDescent="0.2">
      <c r="A92">
        <v>17</v>
      </c>
      <c r="B92">
        <v>1</v>
      </c>
      <c r="E92" t="s">
        <v>178</v>
      </c>
      <c r="F92" t="s">
        <v>179</v>
      </c>
      <c r="G92" t="s">
        <v>180</v>
      </c>
      <c r="H92" t="s">
        <v>51</v>
      </c>
      <c r="I92">
        <v>1</v>
      </c>
      <c r="J92">
        <v>0</v>
      </c>
      <c r="O92">
        <f t="shared" si="102"/>
        <v>439.8</v>
      </c>
      <c r="P92">
        <f t="shared" si="103"/>
        <v>439.8</v>
      </c>
      <c r="Q92">
        <f t="shared" si="104"/>
        <v>0</v>
      </c>
      <c r="R92">
        <f t="shared" si="105"/>
        <v>0</v>
      </c>
      <c r="S92">
        <f t="shared" si="106"/>
        <v>0</v>
      </c>
      <c r="T92">
        <f t="shared" si="107"/>
        <v>0</v>
      </c>
      <c r="U92">
        <f t="shared" si="108"/>
        <v>0</v>
      </c>
      <c r="V92">
        <f t="shared" si="109"/>
        <v>0</v>
      </c>
      <c r="W92">
        <f t="shared" si="110"/>
        <v>0</v>
      </c>
      <c r="X92">
        <f t="shared" si="111"/>
        <v>0</v>
      </c>
      <c r="Y92">
        <f t="shared" si="112"/>
        <v>0</v>
      </c>
      <c r="AA92">
        <v>55106052</v>
      </c>
      <c r="AB92">
        <f t="shared" si="113"/>
        <v>89.39</v>
      </c>
      <c r="AC92">
        <f t="shared" si="114"/>
        <v>89.39</v>
      </c>
      <c r="AD92">
        <f t="shared" si="115"/>
        <v>0</v>
      </c>
      <c r="AE92">
        <f t="shared" si="116"/>
        <v>0</v>
      </c>
      <c r="AF92">
        <f t="shared" si="117"/>
        <v>0</v>
      </c>
      <c r="AG92">
        <f t="shared" si="118"/>
        <v>0</v>
      </c>
      <c r="AH92">
        <f t="shared" si="119"/>
        <v>0</v>
      </c>
      <c r="AI92">
        <f t="shared" si="120"/>
        <v>0</v>
      </c>
      <c r="AJ92">
        <f t="shared" si="121"/>
        <v>0</v>
      </c>
      <c r="AK92">
        <v>89.39</v>
      </c>
      <c r="AL92">
        <v>89.39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4.92</v>
      </c>
      <c r="BD92" t="s">
        <v>3</v>
      </c>
      <c r="BE92" t="s">
        <v>3</v>
      </c>
      <c r="BF92" t="s">
        <v>3</v>
      </c>
      <c r="BG92" t="s">
        <v>3</v>
      </c>
      <c r="BH92">
        <v>3</v>
      </c>
      <c r="BI92">
        <v>3</v>
      </c>
      <c r="BJ92" t="s">
        <v>181</v>
      </c>
      <c r="BM92">
        <v>746</v>
      </c>
      <c r="BN92">
        <v>0</v>
      </c>
      <c r="BO92" t="s">
        <v>3</v>
      </c>
      <c r="BP92">
        <v>0</v>
      </c>
      <c r="BQ92">
        <v>130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0</v>
      </c>
      <c r="CA92">
        <v>0</v>
      </c>
      <c r="CE92">
        <v>0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122"/>
        <v>439.8</v>
      </c>
      <c r="CQ92">
        <f t="shared" si="123"/>
        <v>439.79879999999997</v>
      </c>
      <c r="CR92">
        <f t="shared" si="124"/>
        <v>0</v>
      </c>
      <c r="CS92">
        <f t="shared" si="125"/>
        <v>0</v>
      </c>
      <c r="CT92">
        <f t="shared" si="126"/>
        <v>0</v>
      </c>
      <c r="CU92">
        <f t="shared" si="127"/>
        <v>0</v>
      </c>
      <c r="CV92">
        <f t="shared" si="128"/>
        <v>0</v>
      </c>
      <c r="CW92">
        <f t="shared" si="129"/>
        <v>0</v>
      </c>
      <c r="CX92">
        <f t="shared" si="130"/>
        <v>0</v>
      </c>
      <c r="CY92">
        <f t="shared" si="131"/>
        <v>0</v>
      </c>
      <c r="CZ92">
        <f t="shared" si="132"/>
        <v>0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1010</v>
      </c>
      <c r="DV92" t="s">
        <v>51</v>
      </c>
      <c r="DW92" t="s">
        <v>51</v>
      </c>
      <c r="DX92">
        <v>1</v>
      </c>
      <c r="EE92">
        <v>21988098</v>
      </c>
      <c r="EF92">
        <v>130</v>
      </c>
      <c r="EG92" t="s">
        <v>168</v>
      </c>
      <c r="EH92">
        <v>0</v>
      </c>
      <c r="EI92" t="s">
        <v>3</v>
      </c>
      <c r="EJ92">
        <v>3</v>
      </c>
      <c r="EK92">
        <v>746</v>
      </c>
      <c r="EL92" t="s">
        <v>169</v>
      </c>
      <c r="EM92" t="s">
        <v>170</v>
      </c>
      <c r="EO92" t="s">
        <v>3</v>
      </c>
      <c r="EQ92">
        <v>131072</v>
      </c>
      <c r="ER92">
        <v>89.39</v>
      </c>
      <c r="ES92">
        <v>89.39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FQ92">
        <v>0</v>
      </c>
      <c r="FR92">
        <f t="shared" si="133"/>
        <v>439.8</v>
      </c>
      <c r="FS92">
        <v>0</v>
      </c>
      <c r="FX92">
        <v>0</v>
      </c>
      <c r="FY92">
        <v>0</v>
      </c>
      <c r="GA92" t="s">
        <v>3</v>
      </c>
      <c r="GD92">
        <v>0</v>
      </c>
      <c r="GF92">
        <v>-2090318031</v>
      </c>
      <c r="GG92">
        <v>2</v>
      </c>
      <c r="GH92">
        <v>1</v>
      </c>
      <c r="GI92">
        <v>2</v>
      </c>
      <c r="GJ92">
        <v>0</v>
      </c>
      <c r="GK92">
        <f>ROUND(R92*(S12)/100,2)</f>
        <v>0</v>
      </c>
      <c r="GL92">
        <f t="shared" si="134"/>
        <v>0</v>
      </c>
      <c r="GM92">
        <f t="shared" si="135"/>
        <v>439.8</v>
      </c>
      <c r="GN92">
        <f t="shared" si="136"/>
        <v>0</v>
      </c>
      <c r="GO92">
        <f t="shared" si="137"/>
        <v>0</v>
      </c>
      <c r="GP92">
        <f t="shared" si="138"/>
        <v>0</v>
      </c>
      <c r="GR92">
        <v>0</v>
      </c>
      <c r="GS92">
        <v>3</v>
      </c>
      <c r="GT92">
        <v>0</v>
      </c>
      <c r="GU92" t="s">
        <v>3</v>
      </c>
      <c r="GV92">
        <f t="shared" si="139"/>
        <v>0</v>
      </c>
      <c r="GW92">
        <v>1</v>
      </c>
      <c r="GX92">
        <f t="shared" si="140"/>
        <v>0</v>
      </c>
      <c r="HA92">
        <v>0</v>
      </c>
      <c r="HB92">
        <v>0</v>
      </c>
      <c r="HC92">
        <f t="shared" si="141"/>
        <v>0</v>
      </c>
      <c r="IK92">
        <v>0</v>
      </c>
    </row>
    <row r="93" spans="1:255" x14ac:dyDescent="0.2">
      <c r="A93" s="2">
        <v>17</v>
      </c>
      <c r="B93" s="2">
        <v>1</v>
      </c>
      <c r="C93" s="2"/>
      <c r="D93" s="2"/>
      <c r="E93" s="2" t="s">
        <v>182</v>
      </c>
      <c r="F93" s="2" t="s">
        <v>49</v>
      </c>
      <c r="G93" s="2" t="s">
        <v>183</v>
      </c>
      <c r="H93" s="2" t="s">
        <v>51</v>
      </c>
      <c r="I93" s="2">
        <v>5</v>
      </c>
      <c r="J93" s="2">
        <v>0</v>
      </c>
      <c r="K93" s="2"/>
      <c r="L93" s="2"/>
      <c r="M93" s="2"/>
      <c r="N93" s="2"/>
      <c r="O93" s="2">
        <f t="shared" si="102"/>
        <v>1941.05</v>
      </c>
      <c r="P93" s="2">
        <f t="shared" si="103"/>
        <v>1941.05</v>
      </c>
      <c r="Q93" s="2">
        <f t="shared" si="104"/>
        <v>0</v>
      </c>
      <c r="R93" s="2">
        <f t="shared" si="105"/>
        <v>0</v>
      </c>
      <c r="S93" s="2">
        <f t="shared" si="106"/>
        <v>0</v>
      </c>
      <c r="T93" s="2">
        <f t="shared" si="107"/>
        <v>0</v>
      </c>
      <c r="U93" s="2">
        <f t="shared" si="108"/>
        <v>0</v>
      </c>
      <c r="V93" s="2">
        <f t="shared" si="109"/>
        <v>0</v>
      </c>
      <c r="W93" s="2">
        <f t="shared" si="110"/>
        <v>0</v>
      </c>
      <c r="X93" s="2">
        <f t="shared" si="111"/>
        <v>0</v>
      </c>
      <c r="Y93" s="2">
        <f t="shared" si="112"/>
        <v>0</v>
      </c>
      <c r="Z93" s="2"/>
      <c r="AA93" s="2">
        <v>55106055</v>
      </c>
      <c r="AB93" s="2">
        <f t="shared" si="113"/>
        <v>388.21</v>
      </c>
      <c r="AC93" s="2">
        <f t="shared" si="114"/>
        <v>388.21</v>
      </c>
      <c r="AD93" s="2">
        <f t="shared" si="115"/>
        <v>0</v>
      </c>
      <c r="AE93" s="2">
        <f t="shared" si="116"/>
        <v>0</v>
      </c>
      <c r="AF93" s="2">
        <f t="shared" si="117"/>
        <v>0</v>
      </c>
      <c r="AG93" s="2">
        <f t="shared" si="118"/>
        <v>0</v>
      </c>
      <c r="AH93" s="2">
        <f t="shared" si="119"/>
        <v>0</v>
      </c>
      <c r="AI93" s="2">
        <f t="shared" si="120"/>
        <v>0</v>
      </c>
      <c r="AJ93" s="2">
        <f t="shared" si="121"/>
        <v>0</v>
      </c>
      <c r="AK93" s="2">
        <v>388.21000000000004</v>
      </c>
      <c r="AL93" s="2">
        <v>388.21000000000004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1</v>
      </c>
      <c r="AW93" s="2">
        <v>1</v>
      </c>
      <c r="AX93" s="2"/>
      <c r="AY93" s="2"/>
      <c r="AZ93" s="2">
        <v>1</v>
      </c>
      <c r="BA93" s="2">
        <v>1</v>
      </c>
      <c r="BB93" s="2">
        <v>1</v>
      </c>
      <c r="BC93" s="2">
        <v>1</v>
      </c>
      <c r="BD93" s="2" t="s">
        <v>3</v>
      </c>
      <c r="BE93" s="2" t="s">
        <v>3</v>
      </c>
      <c r="BF93" s="2" t="s">
        <v>3</v>
      </c>
      <c r="BG93" s="2" t="s">
        <v>3</v>
      </c>
      <c r="BH93" s="2">
        <v>3</v>
      </c>
      <c r="BI93" s="2">
        <v>3</v>
      </c>
      <c r="BJ93" s="2" t="s">
        <v>3</v>
      </c>
      <c r="BK93" s="2"/>
      <c r="BL93" s="2"/>
      <c r="BM93" s="2">
        <v>400002</v>
      </c>
      <c r="BN93" s="2">
        <v>0</v>
      </c>
      <c r="BO93" s="2" t="s">
        <v>3</v>
      </c>
      <c r="BP93" s="2">
        <v>0</v>
      </c>
      <c r="BQ93" s="2">
        <v>202</v>
      </c>
      <c r="BR93" s="2">
        <v>0</v>
      </c>
      <c r="BS93" s="2">
        <v>1</v>
      </c>
      <c r="BT93" s="2">
        <v>1</v>
      </c>
      <c r="BU93" s="2">
        <v>1</v>
      </c>
      <c r="BV93" s="2">
        <v>1</v>
      </c>
      <c r="BW93" s="2">
        <v>1</v>
      </c>
      <c r="BX93" s="2">
        <v>1</v>
      </c>
      <c r="BY93" s="2" t="s">
        <v>3</v>
      </c>
      <c r="BZ93" s="2">
        <v>0</v>
      </c>
      <c r="CA93" s="2">
        <v>0</v>
      </c>
      <c r="CB93" s="2"/>
      <c r="CC93" s="2"/>
      <c r="CD93" s="2"/>
      <c r="CE93" s="2">
        <v>0</v>
      </c>
      <c r="CF93" s="2">
        <v>0</v>
      </c>
      <c r="CG93" s="2">
        <v>0</v>
      </c>
      <c r="CH93" s="2"/>
      <c r="CI93" s="2"/>
      <c r="CJ93" s="2"/>
      <c r="CK93" s="2"/>
      <c r="CL93" s="2"/>
      <c r="CM93" s="2">
        <v>0</v>
      </c>
      <c r="CN93" s="2" t="s">
        <v>3</v>
      </c>
      <c r="CO93" s="2">
        <v>0</v>
      </c>
      <c r="CP93" s="2">
        <f t="shared" si="122"/>
        <v>1941.05</v>
      </c>
      <c r="CQ93" s="2">
        <f t="shared" si="123"/>
        <v>388.21</v>
      </c>
      <c r="CR93" s="2">
        <f t="shared" si="124"/>
        <v>0</v>
      </c>
      <c r="CS93" s="2">
        <f t="shared" si="125"/>
        <v>0</v>
      </c>
      <c r="CT93" s="2">
        <f t="shared" si="126"/>
        <v>0</v>
      </c>
      <c r="CU93" s="2">
        <f t="shared" si="127"/>
        <v>0</v>
      </c>
      <c r="CV93" s="2">
        <f t="shared" si="128"/>
        <v>0</v>
      </c>
      <c r="CW93" s="2">
        <f t="shared" si="129"/>
        <v>0</v>
      </c>
      <c r="CX93" s="2">
        <f t="shared" si="130"/>
        <v>0</v>
      </c>
      <c r="CY93" s="2">
        <f t="shared" si="131"/>
        <v>0</v>
      </c>
      <c r="CZ93" s="2">
        <f t="shared" si="132"/>
        <v>0</v>
      </c>
      <c r="DA93" s="2"/>
      <c r="DB93" s="2"/>
      <c r="DC93" s="2" t="s">
        <v>3</v>
      </c>
      <c r="DD93" s="2" t="s">
        <v>3</v>
      </c>
      <c r="DE93" s="2" t="s">
        <v>3</v>
      </c>
      <c r="DF93" s="2" t="s">
        <v>3</v>
      </c>
      <c r="DG93" s="2" t="s">
        <v>3</v>
      </c>
      <c r="DH93" s="2" t="s">
        <v>3</v>
      </c>
      <c r="DI93" s="2" t="s">
        <v>3</v>
      </c>
      <c r="DJ93" s="2" t="s">
        <v>3</v>
      </c>
      <c r="DK93" s="2" t="s">
        <v>3</v>
      </c>
      <c r="DL93" s="2" t="s">
        <v>3</v>
      </c>
      <c r="DM93" s="2" t="s">
        <v>3</v>
      </c>
      <c r="DN93" s="2">
        <v>0</v>
      </c>
      <c r="DO93" s="2">
        <v>0</v>
      </c>
      <c r="DP93" s="2">
        <v>1</v>
      </c>
      <c r="DQ93" s="2">
        <v>1</v>
      </c>
      <c r="DR93" s="2"/>
      <c r="DS93" s="2"/>
      <c r="DT93" s="2"/>
      <c r="DU93" s="2">
        <v>1010</v>
      </c>
      <c r="DV93" s="2" t="s">
        <v>51</v>
      </c>
      <c r="DW93" s="2" t="s">
        <v>51</v>
      </c>
      <c r="DX93" s="2">
        <v>1</v>
      </c>
      <c r="DY93" s="2"/>
      <c r="DZ93" s="2"/>
      <c r="EA93" s="2"/>
      <c r="EB93" s="2"/>
      <c r="EC93" s="2"/>
      <c r="ED93" s="2"/>
      <c r="EE93" s="2">
        <v>22047206</v>
      </c>
      <c r="EF93" s="2">
        <v>202</v>
      </c>
      <c r="EG93" s="2" t="s">
        <v>52</v>
      </c>
      <c r="EH93" s="2">
        <v>0</v>
      </c>
      <c r="EI93" s="2" t="s">
        <v>3</v>
      </c>
      <c r="EJ93" s="2">
        <v>1</v>
      </c>
      <c r="EK93" s="2">
        <v>400002</v>
      </c>
      <c r="EL93" s="2" t="s">
        <v>53</v>
      </c>
      <c r="EM93" s="2" t="s">
        <v>52</v>
      </c>
      <c r="EN93" s="2"/>
      <c r="EO93" s="2" t="s">
        <v>3</v>
      </c>
      <c r="EP93" s="2"/>
      <c r="EQ93" s="2">
        <v>131072</v>
      </c>
      <c r="ER93" s="2">
        <v>388.21000000000004</v>
      </c>
      <c r="ES93" s="2">
        <v>388.21000000000004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>
        <v>0</v>
      </c>
      <c r="FR93" s="2">
        <f t="shared" si="133"/>
        <v>1941.05</v>
      </c>
      <c r="FS93" s="2">
        <v>0</v>
      </c>
      <c r="FT93" s="2"/>
      <c r="FU93" s="2"/>
      <c r="FV93" s="2"/>
      <c r="FW93" s="2"/>
      <c r="FX93" s="2">
        <v>0</v>
      </c>
      <c r="FY93" s="2">
        <v>0</v>
      </c>
      <c r="FZ93" s="2"/>
      <c r="GA93" s="2" t="s">
        <v>3</v>
      </c>
      <c r="GB93" s="2"/>
      <c r="GC93" s="2"/>
      <c r="GD93" s="2">
        <v>0</v>
      </c>
      <c r="GE93" s="2"/>
      <c r="GF93" s="2">
        <v>-700267353</v>
      </c>
      <c r="GG93" s="2">
        <v>2</v>
      </c>
      <c r="GH93" s="2">
        <v>0</v>
      </c>
      <c r="GI93" s="2">
        <v>-2</v>
      </c>
      <c r="GJ93" s="2">
        <v>0</v>
      </c>
      <c r="GK93" s="2">
        <f>ROUND(R93*(R12)/100,2)</f>
        <v>0</v>
      </c>
      <c r="GL93" s="2">
        <f t="shared" si="134"/>
        <v>0</v>
      </c>
      <c r="GM93" s="2">
        <f t="shared" si="135"/>
        <v>1941.05</v>
      </c>
      <c r="GN93" s="2">
        <f t="shared" si="136"/>
        <v>0</v>
      </c>
      <c r="GO93" s="2">
        <f t="shared" si="137"/>
        <v>0</v>
      </c>
      <c r="GP93" s="2">
        <f t="shared" si="138"/>
        <v>0</v>
      </c>
      <c r="GQ93" s="2"/>
      <c r="GR93" s="2">
        <v>0</v>
      </c>
      <c r="GS93" s="2">
        <v>0</v>
      </c>
      <c r="GT93" s="2">
        <v>0</v>
      </c>
      <c r="GU93" s="2" t="s">
        <v>3</v>
      </c>
      <c r="GV93" s="2">
        <f t="shared" si="139"/>
        <v>0</v>
      </c>
      <c r="GW93" s="2">
        <v>1</v>
      </c>
      <c r="GX93" s="2">
        <f t="shared" si="140"/>
        <v>0</v>
      </c>
      <c r="GY93" s="2"/>
      <c r="GZ93" s="2"/>
      <c r="HA93" s="2">
        <v>0</v>
      </c>
      <c r="HB93" s="2">
        <v>0</v>
      </c>
      <c r="HC93" s="2">
        <f t="shared" si="141"/>
        <v>0</v>
      </c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>
        <v>0</v>
      </c>
      <c r="IL93" s="2"/>
      <c r="IM93" s="2"/>
      <c r="IN93" s="2"/>
      <c r="IO93" s="2"/>
      <c r="IP93" s="2"/>
      <c r="IQ93" s="2"/>
      <c r="IR93" s="2"/>
      <c r="IS93" s="2"/>
      <c r="IT93" s="2"/>
      <c r="IU93" s="2"/>
    </row>
    <row r="94" spans="1:255" x14ac:dyDescent="0.2">
      <c r="A94">
        <v>17</v>
      </c>
      <c r="B94">
        <v>1</v>
      </c>
      <c r="E94" t="s">
        <v>182</v>
      </c>
      <c r="F94" t="s">
        <v>49</v>
      </c>
      <c r="G94" t="s">
        <v>183</v>
      </c>
      <c r="H94" t="s">
        <v>51</v>
      </c>
      <c r="I94">
        <v>5</v>
      </c>
      <c r="J94">
        <v>0</v>
      </c>
      <c r="O94">
        <f t="shared" si="102"/>
        <v>10632.14</v>
      </c>
      <c r="P94">
        <f t="shared" si="103"/>
        <v>10632.14</v>
      </c>
      <c r="Q94">
        <f t="shared" si="104"/>
        <v>0</v>
      </c>
      <c r="R94">
        <f t="shared" si="105"/>
        <v>0</v>
      </c>
      <c r="S94">
        <f t="shared" si="106"/>
        <v>0</v>
      </c>
      <c r="T94">
        <f t="shared" si="107"/>
        <v>0</v>
      </c>
      <c r="U94">
        <f t="shared" si="108"/>
        <v>0</v>
      </c>
      <c r="V94">
        <f t="shared" si="109"/>
        <v>0</v>
      </c>
      <c r="W94">
        <f t="shared" si="110"/>
        <v>0</v>
      </c>
      <c r="X94">
        <f t="shared" si="111"/>
        <v>0</v>
      </c>
      <c r="Y94">
        <f t="shared" si="112"/>
        <v>0</v>
      </c>
      <c r="AA94">
        <v>55106052</v>
      </c>
      <c r="AB94">
        <f t="shared" si="113"/>
        <v>484.38</v>
      </c>
      <c r="AC94">
        <f t="shared" si="114"/>
        <v>484.38</v>
      </c>
      <c r="AD94">
        <f t="shared" si="115"/>
        <v>0</v>
      </c>
      <c r="AE94">
        <f t="shared" si="116"/>
        <v>0</v>
      </c>
      <c r="AF94">
        <f t="shared" si="117"/>
        <v>0</v>
      </c>
      <c r="AG94">
        <f t="shared" si="118"/>
        <v>0</v>
      </c>
      <c r="AH94">
        <f t="shared" si="119"/>
        <v>0</v>
      </c>
      <c r="AI94">
        <f t="shared" si="120"/>
        <v>0</v>
      </c>
      <c r="AJ94">
        <f t="shared" si="121"/>
        <v>0</v>
      </c>
      <c r="AK94">
        <v>484.38</v>
      </c>
      <c r="AL94">
        <v>484.38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1</v>
      </c>
      <c r="AW94">
        <v>1</v>
      </c>
      <c r="AZ94">
        <v>1</v>
      </c>
      <c r="BA94">
        <v>1</v>
      </c>
      <c r="BB94">
        <v>1</v>
      </c>
      <c r="BC94">
        <v>4.3899999999999997</v>
      </c>
      <c r="BD94" t="s">
        <v>3</v>
      </c>
      <c r="BE94" t="s">
        <v>3</v>
      </c>
      <c r="BF94" t="s">
        <v>3</v>
      </c>
      <c r="BG94" t="s">
        <v>3</v>
      </c>
      <c r="BH94">
        <v>3</v>
      </c>
      <c r="BI94">
        <v>3</v>
      </c>
      <c r="BJ94" t="s">
        <v>3</v>
      </c>
      <c r="BM94">
        <v>400002</v>
      </c>
      <c r="BN94">
        <v>0</v>
      </c>
      <c r="BO94" t="s">
        <v>3</v>
      </c>
      <c r="BP94">
        <v>0</v>
      </c>
      <c r="BQ94">
        <v>202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0</v>
      </c>
      <c r="CA94">
        <v>0</v>
      </c>
      <c r="CE94">
        <v>0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122"/>
        <v>10632.14</v>
      </c>
      <c r="CQ94">
        <f t="shared" si="123"/>
        <v>2126.4281999999998</v>
      </c>
      <c r="CR94">
        <f t="shared" si="124"/>
        <v>0</v>
      </c>
      <c r="CS94">
        <f t="shared" si="125"/>
        <v>0</v>
      </c>
      <c r="CT94">
        <f t="shared" si="126"/>
        <v>0</v>
      </c>
      <c r="CU94">
        <f t="shared" si="127"/>
        <v>0</v>
      </c>
      <c r="CV94">
        <f t="shared" si="128"/>
        <v>0</v>
      </c>
      <c r="CW94">
        <f t="shared" si="129"/>
        <v>0</v>
      </c>
      <c r="CX94">
        <f t="shared" si="130"/>
        <v>0</v>
      </c>
      <c r="CY94">
        <f t="shared" si="131"/>
        <v>0</v>
      </c>
      <c r="CZ94">
        <f t="shared" si="132"/>
        <v>0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1010</v>
      </c>
      <c r="DV94" t="s">
        <v>51</v>
      </c>
      <c r="DW94" t="s">
        <v>51</v>
      </c>
      <c r="DX94">
        <v>1</v>
      </c>
      <c r="EE94">
        <v>22047206</v>
      </c>
      <c r="EF94">
        <v>202</v>
      </c>
      <c r="EG94" t="s">
        <v>52</v>
      </c>
      <c r="EH94">
        <v>0</v>
      </c>
      <c r="EI94" t="s">
        <v>3</v>
      </c>
      <c r="EJ94">
        <v>1</v>
      </c>
      <c r="EK94">
        <v>400002</v>
      </c>
      <c r="EL94" t="s">
        <v>53</v>
      </c>
      <c r="EM94" t="s">
        <v>52</v>
      </c>
      <c r="EO94" t="s">
        <v>3</v>
      </c>
      <c r="EQ94">
        <v>131072</v>
      </c>
      <c r="ER94">
        <v>484.38</v>
      </c>
      <c r="ES94">
        <v>484.38</v>
      </c>
      <c r="ET94">
        <v>0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5</v>
      </c>
      <c r="FC94">
        <v>1</v>
      </c>
      <c r="FD94">
        <v>18</v>
      </c>
      <c r="FF94">
        <v>2448</v>
      </c>
      <c r="FQ94">
        <v>0</v>
      </c>
      <c r="FR94">
        <f t="shared" si="133"/>
        <v>10632.14</v>
      </c>
      <c r="FS94">
        <v>0</v>
      </c>
      <c r="FX94">
        <v>0</v>
      </c>
      <c r="FY94">
        <v>0</v>
      </c>
      <c r="GA94" t="s">
        <v>184</v>
      </c>
      <c r="GD94">
        <v>0</v>
      </c>
      <c r="GF94">
        <v>-700267353</v>
      </c>
      <c r="GG94">
        <v>2</v>
      </c>
      <c r="GH94">
        <v>3</v>
      </c>
      <c r="GI94">
        <v>5</v>
      </c>
      <c r="GJ94">
        <v>0</v>
      </c>
      <c r="GK94">
        <f>ROUND(R94*(S12)/100,2)</f>
        <v>0</v>
      </c>
      <c r="GL94">
        <f t="shared" si="134"/>
        <v>0</v>
      </c>
      <c r="GM94">
        <f t="shared" si="135"/>
        <v>10632.14</v>
      </c>
      <c r="GN94">
        <f t="shared" si="136"/>
        <v>0</v>
      </c>
      <c r="GO94">
        <f t="shared" si="137"/>
        <v>0</v>
      </c>
      <c r="GP94">
        <f t="shared" si="138"/>
        <v>0</v>
      </c>
      <c r="GR94">
        <v>1</v>
      </c>
      <c r="GS94">
        <v>1</v>
      </c>
      <c r="GT94">
        <v>0</v>
      </c>
      <c r="GU94" t="s">
        <v>3</v>
      </c>
      <c r="GV94">
        <f t="shared" si="139"/>
        <v>0</v>
      </c>
      <c r="GW94">
        <v>1</v>
      </c>
      <c r="GX94">
        <f t="shared" si="140"/>
        <v>0</v>
      </c>
      <c r="HA94">
        <v>0</v>
      </c>
      <c r="HB94">
        <v>0</v>
      </c>
      <c r="HC94">
        <f t="shared" si="141"/>
        <v>0</v>
      </c>
      <c r="IK94">
        <v>0</v>
      </c>
    </row>
    <row r="95" spans="1:255" x14ac:dyDescent="0.2">
      <c r="A95" s="2">
        <v>17</v>
      </c>
      <c r="B95" s="2">
        <v>1</v>
      </c>
      <c r="C95" s="2"/>
      <c r="D95" s="2"/>
      <c r="E95" s="2" t="s">
        <v>185</v>
      </c>
      <c r="F95" s="2" t="s">
        <v>49</v>
      </c>
      <c r="G95" s="2" t="s">
        <v>186</v>
      </c>
      <c r="H95" s="2" t="s">
        <v>51</v>
      </c>
      <c r="I95" s="2">
        <v>4</v>
      </c>
      <c r="J95" s="2">
        <v>0</v>
      </c>
      <c r="K95" s="2"/>
      <c r="L95" s="2"/>
      <c r="M95" s="2"/>
      <c r="N95" s="2"/>
      <c r="O95" s="2">
        <f t="shared" si="102"/>
        <v>130.16</v>
      </c>
      <c r="P95" s="2">
        <f t="shared" si="103"/>
        <v>130.16</v>
      </c>
      <c r="Q95" s="2">
        <f t="shared" si="104"/>
        <v>0</v>
      </c>
      <c r="R95" s="2">
        <f t="shared" si="105"/>
        <v>0</v>
      </c>
      <c r="S95" s="2">
        <f t="shared" si="106"/>
        <v>0</v>
      </c>
      <c r="T95" s="2">
        <f t="shared" si="107"/>
        <v>0</v>
      </c>
      <c r="U95" s="2">
        <f t="shared" si="108"/>
        <v>0</v>
      </c>
      <c r="V95" s="2">
        <f t="shared" si="109"/>
        <v>0</v>
      </c>
      <c r="W95" s="2">
        <f t="shared" si="110"/>
        <v>0</v>
      </c>
      <c r="X95" s="2">
        <f t="shared" si="111"/>
        <v>0</v>
      </c>
      <c r="Y95" s="2">
        <f t="shared" si="112"/>
        <v>0</v>
      </c>
      <c r="Z95" s="2"/>
      <c r="AA95" s="2">
        <v>55106055</v>
      </c>
      <c r="AB95" s="2">
        <f t="shared" si="113"/>
        <v>32.54</v>
      </c>
      <c r="AC95" s="2">
        <f t="shared" si="114"/>
        <v>32.54</v>
      </c>
      <c r="AD95" s="2">
        <f t="shared" si="115"/>
        <v>0</v>
      </c>
      <c r="AE95" s="2">
        <f t="shared" si="116"/>
        <v>0</v>
      </c>
      <c r="AF95" s="2">
        <f t="shared" si="117"/>
        <v>0</v>
      </c>
      <c r="AG95" s="2">
        <f t="shared" si="118"/>
        <v>0</v>
      </c>
      <c r="AH95" s="2">
        <f t="shared" si="119"/>
        <v>0</v>
      </c>
      <c r="AI95" s="2">
        <f t="shared" si="120"/>
        <v>0</v>
      </c>
      <c r="AJ95" s="2">
        <f t="shared" si="121"/>
        <v>0</v>
      </c>
      <c r="AK95" s="2">
        <v>32.54</v>
      </c>
      <c r="AL95" s="2">
        <v>32.54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1</v>
      </c>
      <c r="AW95" s="2">
        <v>1</v>
      </c>
      <c r="AX95" s="2"/>
      <c r="AY95" s="2"/>
      <c r="AZ95" s="2">
        <v>1</v>
      </c>
      <c r="BA95" s="2">
        <v>1</v>
      </c>
      <c r="BB95" s="2">
        <v>1</v>
      </c>
      <c r="BC95" s="2">
        <v>1</v>
      </c>
      <c r="BD95" s="2" t="s">
        <v>3</v>
      </c>
      <c r="BE95" s="2" t="s">
        <v>3</v>
      </c>
      <c r="BF95" s="2" t="s">
        <v>3</v>
      </c>
      <c r="BG95" s="2" t="s">
        <v>3</v>
      </c>
      <c r="BH95" s="2">
        <v>3</v>
      </c>
      <c r="BI95" s="2">
        <v>3</v>
      </c>
      <c r="BJ95" s="2" t="s">
        <v>3</v>
      </c>
      <c r="BK95" s="2"/>
      <c r="BL95" s="2"/>
      <c r="BM95" s="2">
        <v>400002</v>
      </c>
      <c r="BN95" s="2">
        <v>0</v>
      </c>
      <c r="BO95" s="2" t="s">
        <v>3</v>
      </c>
      <c r="BP95" s="2">
        <v>0</v>
      </c>
      <c r="BQ95" s="2">
        <v>202</v>
      </c>
      <c r="BR95" s="2">
        <v>0</v>
      </c>
      <c r="BS95" s="2">
        <v>1</v>
      </c>
      <c r="BT95" s="2">
        <v>1</v>
      </c>
      <c r="BU95" s="2">
        <v>1</v>
      </c>
      <c r="BV95" s="2">
        <v>1</v>
      </c>
      <c r="BW95" s="2">
        <v>1</v>
      </c>
      <c r="BX95" s="2">
        <v>1</v>
      </c>
      <c r="BY95" s="2" t="s">
        <v>3</v>
      </c>
      <c r="BZ95" s="2">
        <v>0</v>
      </c>
      <c r="CA95" s="2">
        <v>0</v>
      </c>
      <c r="CB95" s="2"/>
      <c r="CC95" s="2"/>
      <c r="CD95" s="2"/>
      <c r="CE95" s="2">
        <v>0</v>
      </c>
      <c r="CF95" s="2">
        <v>0</v>
      </c>
      <c r="CG95" s="2">
        <v>0</v>
      </c>
      <c r="CH95" s="2"/>
      <c r="CI95" s="2"/>
      <c r="CJ95" s="2"/>
      <c r="CK95" s="2"/>
      <c r="CL95" s="2"/>
      <c r="CM95" s="2">
        <v>0</v>
      </c>
      <c r="CN95" s="2" t="s">
        <v>3</v>
      </c>
      <c r="CO95" s="2">
        <v>0</v>
      </c>
      <c r="CP95" s="2">
        <f t="shared" si="122"/>
        <v>130.16</v>
      </c>
      <c r="CQ95" s="2">
        <f t="shared" si="123"/>
        <v>32.54</v>
      </c>
      <c r="CR95" s="2">
        <f t="shared" si="124"/>
        <v>0</v>
      </c>
      <c r="CS95" s="2">
        <f t="shared" si="125"/>
        <v>0</v>
      </c>
      <c r="CT95" s="2">
        <f t="shared" si="126"/>
        <v>0</v>
      </c>
      <c r="CU95" s="2">
        <f t="shared" si="127"/>
        <v>0</v>
      </c>
      <c r="CV95" s="2">
        <f t="shared" si="128"/>
        <v>0</v>
      </c>
      <c r="CW95" s="2">
        <f t="shared" si="129"/>
        <v>0</v>
      </c>
      <c r="CX95" s="2">
        <f t="shared" si="130"/>
        <v>0</v>
      </c>
      <c r="CY95" s="2">
        <f t="shared" si="131"/>
        <v>0</v>
      </c>
      <c r="CZ95" s="2">
        <f t="shared" si="132"/>
        <v>0</v>
      </c>
      <c r="DA95" s="2"/>
      <c r="DB95" s="2"/>
      <c r="DC95" s="2" t="s">
        <v>3</v>
      </c>
      <c r="DD95" s="2" t="s">
        <v>3</v>
      </c>
      <c r="DE95" s="2" t="s">
        <v>3</v>
      </c>
      <c r="DF95" s="2" t="s">
        <v>3</v>
      </c>
      <c r="DG95" s="2" t="s">
        <v>3</v>
      </c>
      <c r="DH95" s="2" t="s">
        <v>3</v>
      </c>
      <c r="DI95" s="2" t="s">
        <v>3</v>
      </c>
      <c r="DJ95" s="2" t="s">
        <v>3</v>
      </c>
      <c r="DK95" s="2" t="s">
        <v>3</v>
      </c>
      <c r="DL95" s="2" t="s">
        <v>3</v>
      </c>
      <c r="DM95" s="2" t="s">
        <v>3</v>
      </c>
      <c r="DN95" s="2">
        <v>0</v>
      </c>
      <c r="DO95" s="2">
        <v>0</v>
      </c>
      <c r="DP95" s="2">
        <v>1</v>
      </c>
      <c r="DQ95" s="2">
        <v>1</v>
      </c>
      <c r="DR95" s="2"/>
      <c r="DS95" s="2"/>
      <c r="DT95" s="2"/>
      <c r="DU95" s="2">
        <v>1010</v>
      </c>
      <c r="DV95" s="2" t="s">
        <v>51</v>
      </c>
      <c r="DW95" s="2" t="s">
        <v>51</v>
      </c>
      <c r="DX95" s="2">
        <v>1</v>
      </c>
      <c r="DY95" s="2"/>
      <c r="DZ95" s="2"/>
      <c r="EA95" s="2"/>
      <c r="EB95" s="2"/>
      <c r="EC95" s="2"/>
      <c r="ED95" s="2"/>
      <c r="EE95" s="2">
        <v>22047206</v>
      </c>
      <c r="EF95" s="2">
        <v>202</v>
      </c>
      <c r="EG95" s="2" t="s">
        <v>52</v>
      </c>
      <c r="EH95" s="2">
        <v>0</v>
      </c>
      <c r="EI95" s="2" t="s">
        <v>3</v>
      </c>
      <c r="EJ95" s="2">
        <v>1</v>
      </c>
      <c r="EK95" s="2">
        <v>400002</v>
      </c>
      <c r="EL95" s="2" t="s">
        <v>53</v>
      </c>
      <c r="EM95" s="2" t="s">
        <v>52</v>
      </c>
      <c r="EN95" s="2"/>
      <c r="EO95" s="2" t="s">
        <v>3</v>
      </c>
      <c r="EP95" s="2"/>
      <c r="EQ95" s="2">
        <v>131072</v>
      </c>
      <c r="ER95" s="2">
        <v>32.54</v>
      </c>
      <c r="ES95" s="2">
        <v>32.54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>
        <v>0</v>
      </c>
      <c r="FR95" s="2">
        <f t="shared" si="133"/>
        <v>130.16</v>
      </c>
      <c r="FS95" s="2">
        <v>0</v>
      </c>
      <c r="FT95" s="2"/>
      <c r="FU95" s="2"/>
      <c r="FV95" s="2"/>
      <c r="FW95" s="2"/>
      <c r="FX95" s="2">
        <v>0</v>
      </c>
      <c r="FY95" s="2">
        <v>0</v>
      </c>
      <c r="FZ95" s="2"/>
      <c r="GA95" s="2" t="s">
        <v>3</v>
      </c>
      <c r="GB95" s="2"/>
      <c r="GC95" s="2"/>
      <c r="GD95" s="2">
        <v>0</v>
      </c>
      <c r="GE95" s="2"/>
      <c r="GF95" s="2">
        <v>-806061954</v>
      </c>
      <c r="GG95" s="2">
        <v>2</v>
      </c>
      <c r="GH95" s="2">
        <v>0</v>
      </c>
      <c r="GI95" s="2">
        <v>-2</v>
      </c>
      <c r="GJ95" s="2">
        <v>0</v>
      </c>
      <c r="GK95" s="2">
        <f>ROUND(R95*(R12)/100,2)</f>
        <v>0</v>
      </c>
      <c r="GL95" s="2">
        <f t="shared" si="134"/>
        <v>0</v>
      </c>
      <c r="GM95" s="2">
        <f t="shared" si="135"/>
        <v>130.16</v>
      </c>
      <c r="GN95" s="2">
        <f t="shared" si="136"/>
        <v>0</v>
      </c>
      <c r="GO95" s="2">
        <f t="shared" si="137"/>
        <v>0</v>
      </c>
      <c r="GP95" s="2">
        <f t="shared" si="138"/>
        <v>0</v>
      </c>
      <c r="GQ95" s="2"/>
      <c r="GR95" s="2">
        <v>0</v>
      </c>
      <c r="GS95" s="2">
        <v>0</v>
      </c>
      <c r="GT95" s="2">
        <v>0</v>
      </c>
      <c r="GU95" s="2" t="s">
        <v>3</v>
      </c>
      <c r="GV95" s="2">
        <f t="shared" si="139"/>
        <v>0</v>
      </c>
      <c r="GW95" s="2">
        <v>1</v>
      </c>
      <c r="GX95" s="2">
        <f t="shared" si="140"/>
        <v>0</v>
      </c>
      <c r="GY95" s="2"/>
      <c r="GZ95" s="2"/>
      <c r="HA95" s="2">
        <v>0</v>
      </c>
      <c r="HB95" s="2">
        <v>0</v>
      </c>
      <c r="HC95" s="2">
        <f t="shared" si="141"/>
        <v>0</v>
      </c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>
        <v>0</v>
      </c>
      <c r="IL95" s="2"/>
      <c r="IM95" s="2"/>
      <c r="IN95" s="2"/>
      <c r="IO95" s="2"/>
      <c r="IP95" s="2"/>
      <c r="IQ95" s="2"/>
      <c r="IR95" s="2"/>
      <c r="IS95" s="2"/>
      <c r="IT95" s="2"/>
      <c r="IU95" s="2"/>
    </row>
    <row r="96" spans="1:255" x14ac:dyDescent="0.2">
      <c r="A96">
        <v>17</v>
      </c>
      <c r="B96">
        <v>1</v>
      </c>
      <c r="E96" t="s">
        <v>185</v>
      </c>
      <c r="F96" t="s">
        <v>49</v>
      </c>
      <c r="G96" t="s">
        <v>186</v>
      </c>
      <c r="H96" t="s">
        <v>51</v>
      </c>
      <c r="I96">
        <v>4</v>
      </c>
      <c r="J96">
        <v>0</v>
      </c>
      <c r="O96">
        <f t="shared" si="102"/>
        <v>24225.95</v>
      </c>
      <c r="P96">
        <f t="shared" si="103"/>
        <v>24225.95</v>
      </c>
      <c r="Q96">
        <f t="shared" si="104"/>
        <v>0</v>
      </c>
      <c r="R96">
        <f t="shared" si="105"/>
        <v>0</v>
      </c>
      <c r="S96">
        <f t="shared" si="106"/>
        <v>0</v>
      </c>
      <c r="T96">
        <f t="shared" si="107"/>
        <v>0</v>
      </c>
      <c r="U96">
        <f t="shared" si="108"/>
        <v>0</v>
      </c>
      <c r="V96">
        <f t="shared" si="109"/>
        <v>0</v>
      </c>
      <c r="W96">
        <f t="shared" si="110"/>
        <v>0</v>
      </c>
      <c r="X96">
        <f t="shared" si="111"/>
        <v>0</v>
      </c>
      <c r="Y96">
        <f t="shared" si="112"/>
        <v>0</v>
      </c>
      <c r="AA96">
        <v>55106052</v>
      </c>
      <c r="AB96">
        <f t="shared" si="113"/>
        <v>1379.61</v>
      </c>
      <c r="AC96">
        <f t="shared" si="114"/>
        <v>1379.61</v>
      </c>
      <c r="AD96">
        <f t="shared" si="115"/>
        <v>0</v>
      </c>
      <c r="AE96">
        <f t="shared" si="116"/>
        <v>0</v>
      </c>
      <c r="AF96">
        <f t="shared" si="117"/>
        <v>0</v>
      </c>
      <c r="AG96">
        <f t="shared" si="118"/>
        <v>0</v>
      </c>
      <c r="AH96">
        <f t="shared" si="119"/>
        <v>0</v>
      </c>
      <c r="AI96">
        <f t="shared" si="120"/>
        <v>0</v>
      </c>
      <c r="AJ96">
        <f t="shared" si="121"/>
        <v>0</v>
      </c>
      <c r="AK96">
        <v>1379.6100000000001</v>
      </c>
      <c r="AL96">
        <v>1379.6100000000001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1</v>
      </c>
      <c r="AW96">
        <v>1</v>
      </c>
      <c r="AZ96">
        <v>1</v>
      </c>
      <c r="BA96">
        <v>1</v>
      </c>
      <c r="BB96">
        <v>1</v>
      </c>
      <c r="BC96">
        <v>4.3899999999999997</v>
      </c>
      <c r="BD96" t="s">
        <v>3</v>
      </c>
      <c r="BE96" t="s">
        <v>3</v>
      </c>
      <c r="BF96" t="s">
        <v>3</v>
      </c>
      <c r="BG96" t="s">
        <v>3</v>
      </c>
      <c r="BH96">
        <v>3</v>
      </c>
      <c r="BI96">
        <v>3</v>
      </c>
      <c r="BJ96" t="s">
        <v>3</v>
      </c>
      <c r="BM96">
        <v>400002</v>
      </c>
      <c r="BN96">
        <v>0</v>
      </c>
      <c r="BO96" t="s">
        <v>3</v>
      </c>
      <c r="BP96">
        <v>0</v>
      </c>
      <c r="BQ96">
        <v>202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0</v>
      </c>
      <c r="CA96">
        <v>0</v>
      </c>
      <c r="CE96">
        <v>0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 t="shared" si="122"/>
        <v>24225.95</v>
      </c>
      <c r="CQ96">
        <f t="shared" si="123"/>
        <v>6056.4878999999992</v>
      </c>
      <c r="CR96">
        <f t="shared" si="124"/>
        <v>0</v>
      </c>
      <c r="CS96">
        <f t="shared" si="125"/>
        <v>0</v>
      </c>
      <c r="CT96">
        <f t="shared" si="126"/>
        <v>0</v>
      </c>
      <c r="CU96">
        <f t="shared" si="127"/>
        <v>0</v>
      </c>
      <c r="CV96">
        <f t="shared" si="128"/>
        <v>0</v>
      </c>
      <c r="CW96">
        <f t="shared" si="129"/>
        <v>0</v>
      </c>
      <c r="CX96">
        <f t="shared" si="130"/>
        <v>0</v>
      </c>
      <c r="CY96">
        <f t="shared" si="131"/>
        <v>0</v>
      </c>
      <c r="CZ96">
        <f t="shared" si="132"/>
        <v>0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1010</v>
      </c>
      <c r="DV96" t="s">
        <v>51</v>
      </c>
      <c r="DW96" t="s">
        <v>51</v>
      </c>
      <c r="DX96">
        <v>1</v>
      </c>
      <c r="EE96">
        <v>22047206</v>
      </c>
      <c r="EF96">
        <v>202</v>
      </c>
      <c r="EG96" t="s">
        <v>52</v>
      </c>
      <c r="EH96">
        <v>0</v>
      </c>
      <c r="EI96" t="s">
        <v>3</v>
      </c>
      <c r="EJ96">
        <v>1</v>
      </c>
      <c r="EK96">
        <v>400002</v>
      </c>
      <c r="EL96" t="s">
        <v>53</v>
      </c>
      <c r="EM96" t="s">
        <v>52</v>
      </c>
      <c r="EO96" t="s">
        <v>3</v>
      </c>
      <c r="EQ96">
        <v>131072</v>
      </c>
      <c r="ER96">
        <v>1379.6100000000001</v>
      </c>
      <c r="ES96">
        <v>1379.6100000000001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5</v>
      </c>
      <c r="FC96">
        <v>1</v>
      </c>
      <c r="FD96">
        <v>18</v>
      </c>
      <c r="FF96">
        <v>6972.48</v>
      </c>
      <c r="FQ96">
        <v>0</v>
      </c>
      <c r="FR96">
        <f t="shared" si="133"/>
        <v>24225.95</v>
      </c>
      <c r="FS96">
        <v>0</v>
      </c>
      <c r="FX96">
        <v>0</v>
      </c>
      <c r="FY96">
        <v>0</v>
      </c>
      <c r="GA96" t="s">
        <v>187</v>
      </c>
      <c r="GD96">
        <v>0</v>
      </c>
      <c r="GF96">
        <v>-806061954</v>
      </c>
      <c r="GG96">
        <v>2</v>
      </c>
      <c r="GH96">
        <v>3</v>
      </c>
      <c r="GI96">
        <v>5</v>
      </c>
      <c r="GJ96">
        <v>0</v>
      </c>
      <c r="GK96">
        <f>ROUND(R96*(S12)/100,2)</f>
        <v>0</v>
      </c>
      <c r="GL96">
        <f t="shared" si="134"/>
        <v>0</v>
      </c>
      <c r="GM96">
        <f t="shared" si="135"/>
        <v>24225.95</v>
      </c>
      <c r="GN96">
        <f t="shared" si="136"/>
        <v>0</v>
      </c>
      <c r="GO96">
        <f t="shared" si="137"/>
        <v>0</v>
      </c>
      <c r="GP96">
        <f t="shared" si="138"/>
        <v>0</v>
      </c>
      <c r="GR96">
        <v>1</v>
      </c>
      <c r="GS96">
        <v>1</v>
      </c>
      <c r="GT96">
        <v>0</v>
      </c>
      <c r="GU96" t="s">
        <v>3</v>
      </c>
      <c r="GV96">
        <f t="shared" si="139"/>
        <v>0</v>
      </c>
      <c r="GW96">
        <v>1</v>
      </c>
      <c r="GX96">
        <f t="shared" si="140"/>
        <v>0</v>
      </c>
      <c r="HA96">
        <v>0</v>
      </c>
      <c r="HB96">
        <v>0</v>
      </c>
      <c r="HC96">
        <f t="shared" si="141"/>
        <v>0</v>
      </c>
      <c r="IK96">
        <v>0</v>
      </c>
    </row>
    <row r="97" spans="1:255" x14ac:dyDescent="0.2">
      <c r="A97" s="2">
        <v>17</v>
      </c>
      <c r="B97" s="2">
        <v>1</v>
      </c>
      <c r="C97" s="2"/>
      <c r="D97" s="2"/>
      <c r="E97" s="2" t="s">
        <v>188</v>
      </c>
      <c r="F97" s="2" t="s">
        <v>49</v>
      </c>
      <c r="G97" s="2" t="s">
        <v>189</v>
      </c>
      <c r="H97" s="2" t="s">
        <v>51</v>
      </c>
      <c r="I97" s="2">
        <v>1</v>
      </c>
      <c r="J97" s="2">
        <v>0</v>
      </c>
      <c r="K97" s="2"/>
      <c r="L97" s="2"/>
      <c r="M97" s="2"/>
      <c r="N97" s="2"/>
      <c r="O97" s="2">
        <f t="shared" si="102"/>
        <v>32.54</v>
      </c>
      <c r="P97" s="2">
        <f t="shared" si="103"/>
        <v>32.54</v>
      </c>
      <c r="Q97" s="2">
        <f t="shared" si="104"/>
        <v>0</v>
      </c>
      <c r="R97" s="2">
        <f t="shared" si="105"/>
        <v>0</v>
      </c>
      <c r="S97" s="2">
        <f t="shared" si="106"/>
        <v>0</v>
      </c>
      <c r="T97" s="2">
        <f t="shared" si="107"/>
        <v>0</v>
      </c>
      <c r="U97" s="2">
        <f t="shared" si="108"/>
        <v>0</v>
      </c>
      <c r="V97" s="2">
        <f t="shared" si="109"/>
        <v>0</v>
      </c>
      <c r="W97" s="2">
        <f t="shared" si="110"/>
        <v>0</v>
      </c>
      <c r="X97" s="2">
        <f t="shared" si="111"/>
        <v>0</v>
      </c>
      <c r="Y97" s="2">
        <f t="shared" si="112"/>
        <v>0</v>
      </c>
      <c r="Z97" s="2"/>
      <c r="AA97" s="2">
        <v>55106055</v>
      </c>
      <c r="AB97" s="2">
        <f t="shared" si="113"/>
        <v>32.54</v>
      </c>
      <c r="AC97" s="2">
        <f t="shared" si="114"/>
        <v>32.54</v>
      </c>
      <c r="AD97" s="2">
        <f t="shared" si="115"/>
        <v>0</v>
      </c>
      <c r="AE97" s="2">
        <f t="shared" si="116"/>
        <v>0</v>
      </c>
      <c r="AF97" s="2">
        <f t="shared" si="117"/>
        <v>0</v>
      </c>
      <c r="AG97" s="2">
        <f t="shared" si="118"/>
        <v>0</v>
      </c>
      <c r="AH97" s="2">
        <f t="shared" si="119"/>
        <v>0</v>
      </c>
      <c r="AI97" s="2">
        <f t="shared" si="120"/>
        <v>0</v>
      </c>
      <c r="AJ97" s="2">
        <f t="shared" si="121"/>
        <v>0</v>
      </c>
      <c r="AK97" s="2">
        <v>32.54</v>
      </c>
      <c r="AL97" s="2">
        <v>32.54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1</v>
      </c>
      <c r="AW97" s="2">
        <v>1</v>
      </c>
      <c r="AX97" s="2"/>
      <c r="AY97" s="2"/>
      <c r="AZ97" s="2">
        <v>1</v>
      </c>
      <c r="BA97" s="2">
        <v>1</v>
      </c>
      <c r="BB97" s="2">
        <v>1</v>
      </c>
      <c r="BC97" s="2">
        <v>1</v>
      </c>
      <c r="BD97" s="2" t="s">
        <v>3</v>
      </c>
      <c r="BE97" s="2" t="s">
        <v>3</v>
      </c>
      <c r="BF97" s="2" t="s">
        <v>3</v>
      </c>
      <c r="BG97" s="2" t="s">
        <v>3</v>
      </c>
      <c r="BH97" s="2">
        <v>3</v>
      </c>
      <c r="BI97" s="2">
        <v>3</v>
      </c>
      <c r="BJ97" s="2" t="s">
        <v>3</v>
      </c>
      <c r="BK97" s="2"/>
      <c r="BL97" s="2"/>
      <c r="BM97" s="2">
        <v>400002</v>
      </c>
      <c r="BN97" s="2">
        <v>0</v>
      </c>
      <c r="BO97" s="2" t="s">
        <v>3</v>
      </c>
      <c r="BP97" s="2">
        <v>0</v>
      </c>
      <c r="BQ97" s="2">
        <v>202</v>
      </c>
      <c r="BR97" s="2">
        <v>0</v>
      </c>
      <c r="BS97" s="2">
        <v>1</v>
      </c>
      <c r="BT97" s="2">
        <v>1</v>
      </c>
      <c r="BU97" s="2">
        <v>1</v>
      </c>
      <c r="BV97" s="2">
        <v>1</v>
      </c>
      <c r="BW97" s="2">
        <v>1</v>
      </c>
      <c r="BX97" s="2">
        <v>1</v>
      </c>
      <c r="BY97" s="2" t="s">
        <v>3</v>
      </c>
      <c r="BZ97" s="2">
        <v>0</v>
      </c>
      <c r="CA97" s="2">
        <v>0</v>
      </c>
      <c r="CB97" s="2"/>
      <c r="CC97" s="2"/>
      <c r="CD97" s="2"/>
      <c r="CE97" s="2">
        <v>0</v>
      </c>
      <c r="CF97" s="2">
        <v>0</v>
      </c>
      <c r="CG97" s="2">
        <v>0</v>
      </c>
      <c r="CH97" s="2"/>
      <c r="CI97" s="2"/>
      <c r="CJ97" s="2"/>
      <c r="CK97" s="2"/>
      <c r="CL97" s="2"/>
      <c r="CM97" s="2">
        <v>0</v>
      </c>
      <c r="CN97" s="2" t="s">
        <v>3</v>
      </c>
      <c r="CO97" s="2">
        <v>0</v>
      </c>
      <c r="CP97" s="2">
        <f t="shared" si="122"/>
        <v>32.54</v>
      </c>
      <c r="CQ97" s="2">
        <f t="shared" si="123"/>
        <v>32.54</v>
      </c>
      <c r="CR97" s="2">
        <f t="shared" si="124"/>
        <v>0</v>
      </c>
      <c r="CS97" s="2">
        <f t="shared" si="125"/>
        <v>0</v>
      </c>
      <c r="CT97" s="2">
        <f t="shared" si="126"/>
        <v>0</v>
      </c>
      <c r="CU97" s="2">
        <f t="shared" si="127"/>
        <v>0</v>
      </c>
      <c r="CV97" s="2">
        <f t="shared" si="128"/>
        <v>0</v>
      </c>
      <c r="CW97" s="2">
        <f t="shared" si="129"/>
        <v>0</v>
      </c>
      <c r="CX97" s="2">
        <f t="shared" si="130"/>
        <v>0</v>
      </c>
      <c r="CY97" s="2">
        <f t="shared" si="131"/>
        <v>0</v>
      </c>
      <c r="CZ97" s="2">
        <f t="shared" si="132"/>
        <v>0</v>
      </c>
      <c r="DA97" s="2"/>
      <c r="DB97" s="2"/>
      <c r="DC97" s="2" t="s">
        <v>3</v>
      </c>
      <c r="DD97" s="2" t="s">
        <v>3</v>
      </c>
      <c r="DE97" s="2" t="s">
        <v>3</v>
      </c>
      <c r="DF97" s="2" t="s">
        <v>3</v>
      </c>
      <c r="DG97" s="2" t="s">
        <v>3</v>
      </c>
      <c r="DH97" s="2" t="s">
        <v>3</v>
      </c>
      <c r="DI97" s="2" t="s">
        <v>3</v>
      </c>
      <c r="DJ97" s="2" t="s">
        <v>3</v>
      </c>
      <c r="DK97" s="2" t="s">
        <v>3</v>
      </c>
      <c r="DL97" s="2" t="s">
        <v>3</v>
      </c>
      <c r="DM97" s="2" t="s">
        <v>3</v>
      </c>
      <c r="DN97" s="2">
        <v>0</v>
      </c>
      <c r="DO97" s="2">
        <v>0</v>
      </c>
      <c r="DP97" s="2">
        <v>1</v>
      </c>
      <c r="DQ97" s="2">
        <v>1</v>
      </c>
      <c r="DR97" s="2"/>
      <c r="DS97" s="2"/>
      <c r="DT97" s="2"/>
      <c r="DU97" s="2">
        <v>1010</v>
      </c>
      <c r="DV97" s="2" t="s">
        <v>51</v>
      </c>
      <c r="DW97" s="2" t="s">
        <v>51</v>
      </c>
      <c r="DX97" s="2">
        <v>1</v>
      </c>
      <c r="DY97" s="2"/>
      <c r="DZ97" s="2"/>
      <c r="EA97" s="2"/>
      <c r="EB97" s="2"/>
      <c r="EC97" s="2"/>
      <c r="ED97" s="2"/>
      <c r="EE97" s="2">
        <v>22047206</v>
      </c>
      <c r="EF97" s="2">
        <v>202</v>
      </c>
      <c r="EG97" s="2" t="s">
        <v>52</v>
      </c>
      <c r="EH97" s="2">
        <v>0</v>
      </c>
      <c r="EI97" s="2" t="s">
        <v>3</v>
      </c>
      <c r="EJ97" s="2">
        <v>1</v>
      </c>
      <c r="EK97" s="2">
        <v>400002</v>
      </c>
      <c r="EL97" s="2" t="s">
        <v>53</v>
      </c>
      <c r="EM97" s="2" t="s">
        <v>52</v>
      </c>
      <c r="EN97" s="2"/>
      <c r="EO97" s="2" t="s">
        <v>3</v>
      </c>
      <c r="EP97" s="2"/>
      <c r="EQ97" s="2">
        <v>131072</v>
      </c>
      <c r="ER97" s="2">
        <v>32.54</v>
      </c>
      <c r="ES97" s="2">
        <v>32.54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>
        <v>0</v>
      </c>
      <c r="FR97" s="2">
        <f t="shared" si="133"/>
        <v>32.54</v>
      </c>
      <c r="FS97" s="2">
        <v>0</v>
      </c>
      <c r="FT97" s="2"/>
      <c r="FU97" s="2"/>
      <c r="FV97" s="2"/>
      <c r="FW97" s="2"/>
      <c r="FX97" s="2">
        <v>0</v>
      </c>
      <c r="FY97" s="2">
        <v>0</v>
      </c>
      <c r="FZ97" s="2"/>
      <c r="GA97" s="2" t="s">
        <v>3</v>
      </c>
      <c r="GB97" s="2"/>
      <c r="GC97" s="2"/>
      <c r="GD97" s="2">
        <v>0</v>
      </c>
      <c r="GE97" s="2"/>
      <c r="GF97" s="2">
        <v>-1922234184</v>
      </c>
      <c r="GG97" s="2">
        <v>2</v>
      </c>
      <c r="GH97" s="2">
        <v>0</v>
      </c>
      <c r="GI97" s="2">
        <v>-2</v>
      </c>
      <c r="GJ97" s="2">
        <v>0</v>
      </c>
      <c r="GK97" s="2">
        <f>ROUND(R97*(R12)/100,2)</f>
        <v>0</v>
      </c>
      <c r="GL97" s="2">
        <f t="shared" si="134"/>
        <v>0</v>
      </c>
      <c r="GM97" s="2">
        <f t="shared" si="135"/>
        <v>32.54</v>
      </c>
      <c r="GN97" s="2">
        <f t="shared" si="136"/>
        <v>0</v>
      </c>
      <c r="GO97" s="2">
        <f t="shared" si="137"/>
        <v>0</v>
      </c>
      <c r="GP97" s="2">
        <f t="shared" si="138"/>
        <v>0</v>
      </c>
      <c r="GQ97" s="2"/>
      <c r="GR97" s="2">
        <v>0</v>
      </c>
      <c r="GS97" s="2">
        <v>0</v>
      </c>
      <c r="GT97" s="2">
        <v>0</v>
      </c>
      <c r="GU97" s="2" t="s">
        <v>3</v>
      </c>
      <c r="GV97" s="2">
        <f t="shared" si="139"/>
        <v>0</v>
      </c>
      <c r="GW97" s="2">
        <v>1</v>
      </c>
      <c r="GX97" s="2">
        <f t="shared" si="140"/>
        <v>0</v>
      </c>
      <c r="GY97" s="2"/>
      <c r="GZ97" s="2"/>
      <c r="HA97" s="2">
        <v>0</v>
      </c>
      <c r="HB97" s="2">
        <v>0</v>
      </c>
      <c r="HC97" s="2">
        <f t="shared" si="141"/>
        <v>0</v>
      </c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>
        <v>0</v>
      </c>
      <c r="IL97" s="2"/>
      <c r="IM97" s="2"/>
      <c r="IN97" s="2"/>
      <c r="IO97" s="2"/>
      <c r="IP97" s="2"/>
      <c r="IQ97" s="2"/>
      <c r="IR97" s="2"/>
      <c r="IS97" s="2"/>
      <c r="IT97" s="2"/>
      <c r="IU97" s="2"/>
    </row>
    <row r="98" spans="1:255" x14ac:dyDescent="0.2">
      <c r="A98">
        <v>17</v>
      </c>
      <c r="B98">
        <v>1</v>
      </c>
      <c r="E98" t="s">
        <v>188</v>
      </c>
      <c r="F98" t="s">
        <v>49</v>
      </c>
      <c r="G98" t="s">
        <v>189</v>
      </c>
      <c r="H98" t="s">
        <v>51</v>
      </c>
      <c r="I98">
        <v>1</v>
      </c>
      <c r="J98">
        <v>0</v>
      </c>
      <c r="O98">
        <f t="shared" si="102"/>
        <v>33194.85</v>
      </c>
      <c r="P98">
        <f t="shared" si="103"/>
        <v>33194.85</v>
      </c>
      <c r="Q98">
        <f t="shared" si="104"/>
        <v>0</v>
      </c>
      <c r="R98">
        <f t="shared" si="105"/>
        <v>0</v>
      </c>
      <c r="S98">
        <f t="shared" si="106"/>
        <v>0</v>
      </c>
      <c r="T98">
        <f t="shared" si="107"/>
        <v>0</v>
      </c>
      <c r="U98">
        <f t="shared" si="108"/>
        <v>0</v>
      </c>
      <c r="V98">
        <f t="shared" si="109"/>
        <v>0</v>
      </c>
      <c r="W98">
        <f t="shared" si="110"/>
        <v>0</v>
      </c>
      <c r="X98">
        <f t="shared" si="111"/>
        <v>0</v>
      </c>
      <c r="Y98">
        <f t="shared" si="112"/>
        <v>0</v>
      </c>
      <c r="AA98">
        <v>55106052</v>
      </c>
      <c r="AB98">
        <f t="shared" si="113"/>
        <v>7561.47</v>
      </c>
      <c r="AC98">
        <f t="shared" si="114"/>
        <v>7561.47</v>
      </c>
      <c r="AD98">
        <f t="shared" si="115"/>
        <v>0</v>
      </c>
      <c r="AE98">
        <f t="shared" si="116"/>
        <v>0</v>
      </c>
      <c r="AF98">
        <f t="shared" si="117"/>
        <v>0</v>
      </c>
      <c r="AG98">
        <f t="shared" si="118"/>
        <v>0</v>
      </c>
      <c r="AH98">
        <f t="shared" si="119"/>
        <v>0</v>
      </c>
      <c r="AI98">
        <f t="shared" si="120"/>
        <v>0</v>
      </c>
      <c r="AJ98">
        <f t="shared" si="121"/>
        <v>0</v>
      </c>
      <c r="AK98">
        <v>7561.47</v>
      </c>
      <c r="AL98">
        <v>7561.47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1</v>
      </c>
      <c r="AW98">
        <v>1</v>
      </c>
      <c r="AZ98">
        <v>1</v>
      </c>
      <c r="BA98">
        <v>1</v>
      </c>
      <c r="BB98">
        <v>1</v>
      </c>
      <c r="BC98">
        <v>4.3899999999999997</v>
      </c>
      <c r="BD98" t="s">
        <v>3</v>
      </c>
      <c r="BE98" t="s">
        <v>3</v>
      </c>
      <c r="BF98" t="s">
        <v>3</v>
      </c>
      <c r="BG98" t="s">
        <v>3</v>
      </c>
      <c r="BH98">
        <v>3</v>
      </c>
      <c r="BI98">
        <v>3</v>
      </c>
      <c r="BJ98" t="s">
        <v>3</v>
      </c>
      <c r="BM98">
        <v>400002</v>
      </c>
      <c r="BN98">
        <v>0</v>
      </c>
      <c r="BO98" t="s">
        <v>3</v>
      </c>
      <c r="BP98">
        <v>0</v>
      </c>
      <c r="BQ98">
        <v>202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0</v>
      </c>
      <c r="CA98">
        <v>0</v>
      </c>
      <c r="CE98">
        <v>0</v>
      </c>
      <c r="CF98">
        <v>0</v>
      </c>
      <c r="CG98">
        <v>0</v>
      </c>
      <c r="CM98">
        <v>0</v>
      </c>
      <c r="CN98" t="s">
        <v>3</v>
      </c>
      <c r="CO98">
        <v>0</v>
      </c>
      <c r="CP98">
        <f t="shared" si="122"/>
        <v>33194.85</v>
      </c>
      <c r="CQ98">
        <f t="shared" si="123"/>
        <v>33194.853299999995</v>
      </c>
      <c r="CR98">
        <f t="shared" si="124"/>
        <v>0</v>
      </c>
      <c r="CS98">
        <f t="shared" si="125"/>
        <v>0</v>
      </c>
      <c r="CT98">
        <f t="shared" si="126"/>
        <v>0</v>
      </c>
      <c r="CU98">
        <f t="shared" si="127"/>
        <v>0</v>
      </c>
      <c r="CV98">
        <f t="shared" si="128"/>
        <v>0</v>
      </c>
      <c r="CW98">
        <f t="shared" si="129"/>
        <v>0</v>
      </c>
      <c r="CX98">
        <f t="shared" si="130"/>
        <v>0</v>
      </c>
      <c r="CY98">
        <f t="shared" si="131"/>
        <v>0</v>
      </c>
      <c r="CZ98">
        <f t="shared" si="132"/>
        <v>0</v>
      </c>
      <c r="DC98" t="s">
        <v>3</v>
      </c>
      <c r="DD98" t="s">
        <v>3</v>
      </c>
      <c r="DE98" t="s">
        <v>3</v>
      </c>
      <c r="DF98" t="s">
        <v>3</v>
      </c>
      <c r="DG98" t="s">
        <v>3</v>
      </c>
      <c r="DH98" t="s">
        <v>3</v>
      </c>
      <c r="DI98" t="s">
        <v>3</v>
      </c>
      <c r="DJ98" t="s">
        <v>3</v>
      </c>
      <c r="DK98" t="s">
        <v>3</v>
      </c>
      <c r="DL98" t="s">
        <v>3</v>
      </c>
      <c r="DM98" t="s">
        <v>3</v>
      </c>
      <c r="DN98">
        <v>0</v>
      </c>
      <c r="DO98">
        <v>0</v>
      </c>
      <c r="DP98">
        <v>1</v>
      </c>
      <c r="DQ98">
        <v>1</v>
      </c>
      <c r="DU98">
        <v>1010</v>
      </c>
      <c r="DV98" t="s">
        <v>51</v>
      </c>
      <c r="DW98" t="s">
        <v>51</v>
      </c>
      <c r="DX98">
        <v>1</v>
      </c>
      <c r="EE98">
        <v>22047206</v>
      </c>
      <c r="EF98">
        <v>202</v>
      </c>
      <c r="EG98" t="s">
        <v>52</v>
      </c>
      <c r="EH98">
        <v>0</v>
      </c>
      <c r="EI98" t="s">
        <v>3</v>
      </c>
      <c r="EJ98">
        <v>1</v>
      </c>
      <c r="EK98">
        <v>400002</v>
      </c>
      <c r="EL98" t="s">
        <v>53</v>
      </c>
      <c r="EM98" t="s">
        <v>52</v>
      </c>
      <c r="EO98" t="s">
        <v>3</v>
      </c>
      <c r="EQ98">
        <v>131072</v>
      </c>
      <c r="ER98">
        <v>7561.47</v>
      </c>
      <c r="ES98">
        <v>7561.47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5</v>
      </c>
      <c r="FC98">
        <v>1</v>
      </c>
      <c r="FD98">
        <v>18</v>
      </c>
      <c r="FF98">
        <v>38215</v>
      </c>
      <c r="FQ98">
        <v>0</v>
      </c>
      <c r="FR98">
        <f t="shared" si="133"/>
        <v>33194.85</v>
      </c>
      <c r="FS98">
        <v>0</v>
      </c>
      <c r="FX98">
        <v>0</v>
      </c>
      <c r="FY98">
        <v>0</v>
      </c>
      <c r="GA98" t="s">
        <v>190</v>
      </c>
      <c r="GD98">
        <v>0</v>
      </c>
      <c r="GF98">
        <v>-1922234184</v>
      </c>
      <c r="GG98">
        <v>2</v>
      </c>
      <c r="GH98">
        <v>3</v>
      </c>
      <c r="GI98">
        <v>5</v>
      </c>
      <c r="GJ98">
        <v>0</v>
      </c>
      <c r="GK98">
        <f>ROUND(R98*(S12)/100,2)</f>
        <v>0</v>
      </c>
      <c r="GL98">
        <f t="shared" si="134"/>
        <v>0</v>
      </c>
      <c r="GM98">
        <f t="shared" si="135"/>
        <v>33194.85</v>
      </c>
      <c r="GN98">
        <f t="shared" si="136"/>
        <v>0</v>
      </c>
      <c r="GO98">
        <f t="shared" si="137"/>
        <v>0</v>
      </c>
      <c r="GP98">
        <f t="shared" si="138"/>
        <v>0</v>
      </c>
      <c r="GR98">
        <v>1</v>
      </c>
      <c r="GS98">
        <v>1</v>
      </c>
      <c r="GT98">
        <v>0</v>
      </c>
      <c r="GU98" t="s">
        <v>3</v>
      </c>
      <c r="GV98">
        <f t="shared" si="139"/>
        <v>0</v>
      </c>
      <c r="GW98">
        <v>1</v>
      </c>
      <c r="GX98">
        <f t="shared" si="140"/>
        <v>0</v>
      </c>
      <c r="HA98">
        <v>0</v>
      </c>
      <c r="HB98">
        <v>0</v>
      </c>
      <c r="HC98">
        <f t="shared" si="141"/>
        <v>0</v>
      </c>
      <c r="IK98">
        <v>0</v>
      </c>
    </row>
    <row r="100" spans="1:255" x14ac:dyDescent="0.2">
      <c r="A100" s="3">
        <v>51</v>
      </c>
      <c r="B100" s="3">
        <f>B81</f>
        <v>1</v>
      </c>
      <c r="C100" s="3">
        <f>A81</f>
        <v>4</v>
      </c>
      <c r="D100" s="3">
        <f>ROW(A81)</f>
        <v>81</v>
      </c>
      <c r="E100" s="3"/>
      <c r="F100" s="3" t="str">
        <f>IF(F81&lt;&gt;"",F81,"")</f>
        <v>Новый раздел</v>
      </c>
      <c r="G100" s="3" t="str">
        <f>IF(G81&lt;&gt;"",G81,"")</f>
        <v>Оборудование</v>
      </c>
      <c r="H100" s="3">
        <v>0</v>
      </c>
      <c r="I100" s="3"/>
      <c r="J100" s="3"/>
      <c r="K100" s="3"/>
      <c r="L100" s="3"/>
      <c r="M100" s="3"/>
      <c r="N100" s="3"/>
      <c r="O100" s="3">
        <f t="shared" ref="O100:T100" si="142">ROUND(AB100,2)</f>
        <v>31380.37</v>
      </c>
      <c r="P100" s="3">
        <f t="shared" si="142"/>
        <v>31380.37</v>
      </c>
      <c r="Q100" s="3">
        <f t="shared" si="142"/>
        <v>0</v>
      </c>
      <c r="R100" s="3">
        <f t="shared" si="142"/>
        <v>0</v>
      </c>
      <c r="S100" s="3">
        <f t="shared" si="142"/>
        <v>0</v>
      </c>
      <c r="T100" s="3">
        <f t="shared" si="142"/>
        <v>0</v>
      </c>
      <c r="U100" s="3">
        <f>AH100</f>
        <v>0</v>
      </c>
      <c r="V100" s="3">
        <f>AI100</f>
        <v>0</v>
      </c>
      <c r="W100" s="3">
        <f>ROUND(AJ100,2)</f>
        <v>0</v>
      </c>
      <c r="X100" s="3">
        <f>ROUND(AK100,2)</f>
        <v>0</v>
      </c>
      <c r="Y100" s="3">
        <f>ROUND(AL100,2)</f>
        <v>0</v>
      </c>
      <c r="Z100" s="3"/>
      <c r="AA100" s="3"/>
      <c r="AB100" s="3">
        <f>ROUND(SUMIF(AA85:AA98,"=55106055",O85:O98),2)</f>
        <v>31380.37</v>
      </c>
      <c r="AC100" s="3">
        <f>ROUND(SUMIF(AA85:AA98,"=55106055",P85:P98),2)</f>
        <v>31380.37</v>
      </c>
      <c r="AD100" s="3">
        <f>ROUND(SUMIF(AA85:AA98,"=55106055",Q85:Q98),2)</f>
        <v>0</v>
      </c>
      <c r="AE100" s="3">
        <f>ROUND(SUMIF(AA85:AA98,"=55106055",R85:R98),2)</f>
        <v>0</v>
      </c>
      <c r="AF100" s="3">
        <f>ROUND(SUMIF(AA85:AA98,"=55106055",S85:S98),2)</f>
        <v>0</v>
      </c>
      <c r="AG100" s="3">
        <f>ROUND(SUMIF(AA85:AA98,"=55106055",T85:T98),2)</f>
        <v>0</v>
      </c>
      <c r="AH100" s="3">
        <f>SUMIF(AA85:AA98,"=55106055",U85:U98)</f>
        <v>0</v>
      </c>
      <c r="AI100" s="3">
        <f>SUMIF(AA85:AA98,"=55106055",V85:V98)</f>
        <v>0</v>
      </c>
      <c r="AJ100" s="3">
        <f>ROUND(SUMIF(AA85:AA98,"=55106055",W85:W98),2)</f>
        <v>0</v>
      </c>
      <c r="AK100" s="3">
        <f>ROUND(SUMIF(AA85:AA98,"=55106055",X85:X98),2)</f>
        <v>0</v>
      </c>
      <c r="AL100" s="3">
        <f>ROUND(SUMIF(AA85:AA98,"=55106055",Y85:Y98),2)</f>
        <v>0</v>
      </c>
      <c r="AM100" s="3"/>
      <c r="AN100" s="3"/>
      <c r="AO100" s="3">
        <f t="shared" ref="AO100:BC100" si="143">ROUND(BX100,2)</f>
        <v>0</v>
      </c>
      <c r="AP100" s="3">
        <f t="shared" si="143"/>
        <v>31380.37</v>
      </c>
      <c r="AQ100" s="3">
        <f t="shared" si="143"/>
        <v>0</v>
      </c>
      <c r="AR100" s="3">
        <f t="shared" si="143"/>
        <v>31380.37</v>
      </c>
      <c r="AS100" s="3">
        <f t="shared" si="143"/>
        <v>0</v>
      </c>
      <c r="AT100" s="3">
        <f t="shared" si="143"/>
        <v>0</v>
      </c>
      <c r="AU100" s="3">
        <f t="shared" si="143"/>
        <v>0</v>
      </c>
      <c r="AV100" s="3">
        <f t="shared" si="143"/>
        <v>31380.37</v>
      </c>
      <c r="AW100" s="3">
        <f t="shared" si="143"/>
        <v>0</v>
      </c>
      <c r="AX100" s="3">
        <f t="shared" si="143"/>
        <v>0</v>
      </c>
      <c r="AY100" s="3">
        <f t="shared" si="143"/>
        <v>0</v>
      </c>
      <c r="AZ100" s="3">
        <f t="shared" si="143"/>
        <v>31380.37</v>
      </c>
      <c r="BA100" s="3">
        <f t="shared" si="143"/>
        <v>0</v>
      </c>
      <c r="BB100" s="3">
        <f t="shared" si="143"/>
        <v>0</v>
      </c>
      <c r="BC100" s="3">
        <f t="shared" si="143"/>
        <v>0</v>
      </c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>
        <f>ROUND(SUMIF(AA85:AA98,"=55106055",FQ85:FQ98),2)</f>
        <v>0</v>
      </c>
      <c r="BY100" s="3">
        <f>ROUND(SUMIF(AA85:AA98,"=55106055",FR85:FR98),2)</f>
        <v>31380.37</v>
      </c>
      <c r="BZ100" s="3">
        <f>ROUND(SUMIF(AA85:AA98,"=55106055",GL85:GL98),2)</f>
        <v>0</v>
      </c>
      <c r="CA100" s="3">
        <f>ROUND(SUMIF(AA85:AA98,"=55106055",GM85:GM98),2)</f>
        <v>31380.37</v>
      </c>
      <c r="CB100" s="3">
        <f>ROUND(SUMIF(AA85:AA98,"=55106055",GN85:GN98),2)</f>
        <v>0</v>
      </c>
      <c r="CC100" s="3">
        <f>ROUND(SUMIF(AA85:AA98,"=55106055",GO85:GO98),2)</f>
        <v>0</v>
      </c>
      <c r="CD100" s="3">
        <f>ROUND(SUMIF(AA85:AA98,"=55106055",GP85:GP98),2)</f>
        <v>0</v>
      </c>
      <c r="CE100" s="3">
        <f>AC100-BX100</f>
        <v>31380.37</v>
      </c>
      <c r="CF100" s="3">
        <f>AC100-BY100</f>
        <v>0</v>
      </c>
      <c r="CG100" s="3">
        <f>BX100-BZ100</f>
        <v>0</v>
      </c>
      <c r="CH100" s="3">
        <f>AC100-BX100-BY100+BZ100</f>
        <v>0</v>
      </c>
      <c r="CI100" s="3">
        <f>BY100-BZ100</f>
        <v>31380.37</v>
      </c>
      <c r="CJ100" s="3">
        <f>ROUND(SUMIF(AA85:AA98,"=55106055",GX85:GX98),2)</f>
        <v>0</v>
      </c>
      <c r="CK100" s="3">
        <f>ROUND(SUMIF(AA85:AA98,"=55106055",GY85:GY98),2)</f>
        <v>0</v>
      </c>
      <c r="CL100" s="3">
        <f>ROUND(SUMIF(AA85:AA98,"=55106055",GZ85:GZ98),2)</f>
        <v>0</v>
      </c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4">
        <f t="shared" ref="DG100:DL100" si="144">ROUND(DT100,2)</f>
        <v>160024.21</v>
      </c>
      <c r="DH100" s="4">
        <f t="shared" si="144"/>
        <v>160024.21</v>
      </c>
      <c r="DI100" s="4">
        <f t="shared" si="144"/>
        <v>0</v>
      </c>
      <c r="DJ100" s="4">
        <f t="shared" si="144"/>
        <v>0</v>
      </c>
      <c r="DK100" s="4">
        <f t="shared" si="144"/>
        <v>0</v>
      </c>
      <c r="DL100" s="4">
        <f t="shared" si="144"/>
        <v>0</v>
      </c>
      <c r="DM100" s="4">
        <f>DZ100</f>
        <v>0</v>
      </c>
      <c r="DN100" s="4">
        <f>EA100</f>
        <v>0</v>
      </c>
      <c r="DO100" s="4">
        <f>ROUND(EB100,2)</f>
        <v>0</v>
      </c>
      <c r="DP100" s="4">
        <f>ROUND(EC100,2)</f>
        <v>0</v>
      </c>
      <c r="DQ100" s="4">
        <f>ROUND(ED100,2)</f>
        <v>0</v>
      </c>
      <c r="DR100" s="4"/>
      <c r="DS100" s="4"/>
      <c r="DT100" s="4">
        <f>ROUND(SUMIF(AA85:AA98,"=55106052",O85:O98),2)</f>
        <v>160024.21</v>
      </c>
      <c r="DU100" s="4">
        <f>ROUND(SUMIF(AA85:AA98,"=55106052",P85:P98),2)</f>
        <v>160024.21</v>
      </c>
      <c r="DV100" s="4">
        <f>ROUND(SUMIF(AA85:AA98,"=55106052",Q85:Q98),2)</f>
        <v>0</v>
      </c>
      <c r="DW100" s="4">
        <f>ROUND(SUMIF(AA85:AA98,"=55106052",R85:R98),2)</f>
        <v>0</v>
      </c>
      <c r="DX100" s="4">
        <f>ROUND(SUMIF(AA85:AA98,"=55106052",S85:S98),2)</f>
        <v>0</v>
      </c>
      <c r="DY100" s="4">
        <f>ROUND(SUMIF(AA85:AA98,"=55106052",T85:T98),2)</f>
        <v>0</v>
      </c>
      <c r="DZ100" s="4">
        <f>SUMIF(AA85:AA98,"=55106052",U85:U98)</f>
        <v>0</v>
      </c>
      <c r="EA100" s="4">
        <f>SUMIF(AA85:AA98,"=55106052",V85:V98)</f>
        <v>0</v>
      </c>
      <c r="EB100" s="4">
        <f>ROUND(SUMIF(AA85:AA98,"=55106052",W85:W98),2)</f>
        <v>0</v>
      </c>
      <c r="EC100" s="4">
        <f>ROUND(SUMIF(AA85:AA98,"=55106052",X85:X98),2)</f>
        <v>0</v>
      </c>
      <c r="ED100" s="4">
        <f>ROUND(SUMIF(AA85:AA98,"=55106052",Y85:Y98),2)</f>
        <v>0</v>
      </c>
      <c r="EE100" s="4"/>
      <c r="EF100" s="4"/>
      <c r="EG100" s="4">
        <f t="shared" ref="EG100:EU100" si="145">ROUND(FP100,2)</f>
        <v>0</v>
      </c>
      <c r="EH100" s="4">
        <f t="shared" si="145"/>
        <v>160024.21</v>
      </c>
      <c r="EI100" s="4">
        <f t="shared" si="145"/>
        <v>0</v>
      </c>
      <c r="EJ100" s="4">
        <f t="shared" si="145"/>
        <v>160024.21</v>
      </c>
      <c r="EK100" s="4">
        <f t="shared" si="145"/>
        <v>0</v>
      </c>
      <c r="EL100" s="4">
        <f t="shared" si="145"/>
        <v>0</v>
      </c>
      <c r="EM100" s="4">
        <f t="shared" si="145"/>
        <v>0</v>
      </c>
      <c r="EN100" s="4">
        <f t="shared" si="145"/>
        <v>160024.21</v>
      </c>
      <c r="EO100" s="4">
        <f t="shared" si="145"/>
        <v>0</v>
      </c>
      <c r="EP100" s="4">
        <f t="shared" si="145"/>
        <v>0</v>
      </c>
      <c r="EQ100" s="4">
        <f t="shared" si="145"/>
        <v>0</v>
      </c>
      <c r="ER100" s="4">
        <f t="shared" si="145"/>
        <v>160024.21</v>
      </c>
      <c r="ES100" s="4">
        <f t="shared" si="145"/>
        <v>0</v>
      </c>
      <c r="ET100" s="4">
        <f t="shared" si="145"/>
        <v>0</v>
      </c>
      <c r="EU100" s="4">
        <f t="shared" si="145"/>
        <v>0</v>
      </c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>
        <f>ROUND(SUMIF(AA85:AA98,"=55106052",FQ85:FQ98),2)</f>
        <v>0</v>
      </c>
      <c r="FQ100" s="4">
        <f>ROUND(SUMIF(AA85:AA98,"=55106052",FR85:FR98),2)</f>
        <v>160024.21</v>
      </c>
      <c r="FR100" s="4">
        <f>ROUND(SUMIF(AA85:AA98,"=55106052",GL85:GL98),2)</f>
        <v>0</v>
      </c>
      <c r="FS100" s="4">
        <f>ROUND(SUMIF(AA85:AA98,"=55106052",GM85:GM98),2)</f>
        <v>160024.21</v>
      </c>
      <c r="FT100" s="4">
        <f>ROUND(SUMIF(AA85:AA98,"=55106052",GN85:GN98),2)</f>
        <v>0</v>
      </c>
      <c r="FU100" s="4">
        <f>ROUND(SUMIF(AA85:AA98,"=55106052",GO85:GO98),2)</f>
        <v>0</v>
      </c>
      <c r="FV100" s="4">
        <f>ROUND(SUMIF(AA85:AA98,"=55106052",GP85:GP98),2)</f>
        <v>0</v>
      </c>
      <c r="FW100" s="4">
        <f>DU100-FP100</f>
        <v>160024.21</v>
      </c>
      <c r="FX100" s="4">
        <f>DU100-FQ100</f>
        <v>0</v>
      </c>
      <c r="FY100" s="4">
        <f>FP100-FR100</f>
        <v>0</v>
      </c>
      <c r="FZ100" s="4">
        <f>DU100-FP100-FQ100+FR100</f>
        <v>0</v>
      </c>
      <c r="GA100" s="4">
        <f>FQ100-FR100</f>
        <v>160024.21</v>
      </c>
      <c r="GB100" s="4">
        <f>ROUND(SUMIF(AA85:AA98,"=55106052",GX85:GX98),2)</f>
        <v>0</v>
      </c>
      <c r="GC100" s="4">
        <f>ROUND(SUMIF(AA85:AA98,"=55106052",GY85:GY98),2)</f>
        <v>0</v>
      </c>
      <c r="GD100" s="4">
        <f>ROUND(SUMIF(AA85:AA98,"=55106052",GZ85:GZ98),2)</f>
        <v>0</v>
      </c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>
        <v>0</v>
      </c>
    </row>
    <row r="102" spans="1:255" x14ac:dyDescent="0.2">
      <c r="A102" s="5">
        <v>50</v>
      </c>
      <c r="B102" s="5">
        <v>0</v>
      </c>
      <c r="C102" s="5">
        <v>0</v>
      </c>
      <c r="D102" s="5">
        <v>1</v>
      </c>
      <c r="E102" s="5">
        <v>201</v>
      </c>
      <c r="F102" s="5">
        <f>ROUND(Source!O100,O102)</f>
        <v>31380.37</v>
      </c>
      <c r="G102" s="5" t="s">
        <v>191</v>
      </c>
      <c r="H102" s="5" t="s">
        <v>192</v>
      </c>
      <c r="I102" s="5"/>
      <c r="J102" s="5"/>
      <c r="K102" s="5">
        <v>201</v>
      </c>
      <c r="L102" s="5">
        <v>1</v>
      </c>
      <c r="M102" s="5">
        <v>3</v>
      </c>
      <c r="N102" s="5" t="s">
        <v>3</v>
      </c>
      <c r="O102" s="5">
        <v>2</v>
      </c>
      <c r="P102" s="5">
        <f>ROUND(Source!DG100,O102)</f>
        <v>160024.21</v>
      </c>
      <c r="Q102" s="5"/>
      <c r="R102" s="5"/>
      <c r="S102" s="5"/>
      <c r="T102" s="5"/>
      <c r="U102" s="5"/>
      <c r="V102" s="5"/>
      <c r="W102" s="5"/>
    </row>
    <row r="103" spans="1:255" x14ac:dyDescent="0.2">
      <c r="A103" s="5">
        <v>50</v>
      </c>
      <c r="B103" s="5">
        <v>0</v>
      </c>
      <c r="C103" s="5">
        <v>0</v>
      </c>
      <c r="D103" s="5">
        <v>1</v>
      </c>
      <c r="E103" s="5">
        <v>202</v>
      </c>
      <c r="F103" s="5">
        <f>ROUND(Source!P100,O103)</f>
        <v>31380.37</v>
      </c>
      <c r="G103" s="5" t="s">
        <v>193</v>
      </c>
      <c r="H103" s="5" t="s">
        <v>194</v>
      </c>
      <c r="I103" s="5"/>
      <c r="J103" s="5"/>
      <c r="K103" s="5">
        <v>202</v>
      </c>
      <c r="L103" s="5">
        <v>2</v>
      </c>
      <c r="M103" s="5">
        <v>3</v>
      </c>
      <c r="N103" s="5" t="s">
        <v>3</v>
      </c>
      <c r="O103" s="5">
        <v>2</v>
      </c>
      <c r="P103" s="5">
        <f>ROUND(Source!DH100,O103)</f>
        <v>160024.21</v>
      </c>
      <c r="Q103" s="5"/>
      <c r="R103" s="5"/>
      <c r="S103" s="5"/>
      <c r="T103" s="5"/>
      <c r="U103" s="5"/>
      <c r="V103" s="5"/>
      <c r="W103" s="5"/>
    </row>
    <row r="104" spans="1:255" x14ac:dyDescent="0.2">
      <c r="A104" s="5">
        <v>50</v>
      </c>
      <c r="B104" s="5">
        <v>0</v>
      </c>
      <c r="C104" s="5">
        <v>0</v>
      </c>
      <c r="D104" s="5">
        <v>1</v>
      </c>
      <c r="E104" s="5">
        <v>222</v>
      </c>
      <c r="F104" s="5">
        <f>ROUND(Source!AO100,O104)</f>
        <v>0</v>
      </c>
      <c r="G104" s="5" t="s">
        <v>195</v>
      </c>
      <c r="H104" s="5" t="s">
        <v>196</v>
      </c>
      <c r="I104" s="5"/>
      <c r="J104" s="5"/>
      <c r="K104" s="5">
        <v>222</v>
      </c>
      <c r="L104" s="5">
        <v>3</v>
      </c>
      <c r="M104" s="5">
        <v>3</v>
      </c>
      <c r="N104" s="5" t="s">
        <v>3</v>
      </c>
      <c r="O104" s="5">
        <v>2</v>
      </c>
      <c r="P104" s="5">
        <f>ROUND(Source!EG100,O104)</f>
        <v>0</v>
      </c>
      <c r="Q104" s="5"/>
      <c r="R104" s="5"/>
      <c r="S104" s="5"/>
      <c r="T104" s="5"/>
      <c r="U104" s="5"/>
      <c r="V104" s="5"/>
      <c r="W104" s="5"/>
    </row>
    <row r="105" spans="1:255" x14ac:dyDescent="0.2">
      <c r="A105" s="5">
        <v>50</v>
      </c>
      <c r="B105" s="5">
        <v>0</v>
      </c>
      <c r="C105" s="5">
        <v>0</v>
      </c>
      <c r="D105" s="5">
        <v>1</v>
      </c>
      <c r="E105" s="5">
        <v>225</v>
      </c>
      <c r="F105" s="5">
        <f>ROUND(Source!AV100,O105)</f>
        <v>31380.37</v>
      </c>
      <c r="G105" s="5" t="s">
        <v>197</v>
      </c>
      <c r="H105" s="5" t="s">
        <v>198</v>
      </c>
      <c r="I105" s="5"/>
      <c r="J105" s="5"/>
      <c r="K105" s="5">
        <v>225</v>
      </c>
      <c r="L105" s="5">
        <v>4</v>
      </c>
      <c r="M105" s="5">
        <v>3</v>
      </c>
      <c r="N105" s="5" t="s">
        <v>3</v>
      </c>
      <c r="O105" s="5">
        <v>2</v>
      </c>
      <c r="P105" s="5">
        <f>ROUND(Source!EN100,O105)</f>
        <v>160024.21</v>
      </c>
      <c r="Q105" s="5"/>
      <c r="R105" s="5"/>
      <c r="S105" s="5"/>
      <c r="T105" s="5"/>
      <c r="U105" s="5"/>
      <c r="V105" s="5"/>
      <c r="W105" s="5"/>
    </row>
    <row r="106" spans="1:255" x14ac:dyDescent="0.2">
      <c r="A106" s="5">
        <v>50</v>
      </c>
      <c r="B106" s="5">
        <v>0</v>
      </c>
      <c r="C106" s="5">
        <v>0</v>
      </c>
      <c r="D106" s="5">
        <v>1</v>
      </c>
      <c r="E106" s="5">
        <v>226</v>
      </c>
      <c r="F106" s="5">
        <f>ROUND(Source!AW100,O106)</f>
        <v>0</v>
      </c>
      <c r="G106" s="5" t="s">
        <v>199</v>
      </c>
      <c r="H106" s="5" t="s">
        <v>200</v>
      </c>
      <c r="I106" s="5"/>
      <c r="J106" s="5"/>
      <c r="K106" s="5">
        <v>226</v>
      </c>
      <c r="L106" s="5">
        <v>5</v>
      </c>
      <c r="M106" s="5">
        <v>3</v>
      </c>
      <c r="N106" s="5" t="s">
        <v>3</v>
      </c>
      <c r="O106" s="5">
        <v>2</v>
      </c>
      <c r="P106" s="5">
        <f>ROUND(Source!EO100,O106)</f>
        <v>0</v>
      </c>
      <c r="Q106" s="5"/>
      <c r="R106" s="5"/>
      <c r="S106" s="5"/>
      <c r="T106" s="5"/>
      <c r="U106" s="5"/>
      <c r="V106" s="5"/>
      <c r="W106" s="5"/>
    </row>
    <row r="107" spans="1:255" x14ac:dyDescent="0.2">
      <c r="A107" s="5">
        <v>50</v>
      </c>
      <c r="B107" s="5">
        <v>0</v>
      </c>
      <c r="C107" s="5">
        <v>0</v>
      </c>
      <c r="D107" s="5">
        <v>1</v>
      </c>
      <c r="E107" s="5">
        <v>227</v>
      </c>
      <c r="F107" s="5">
        <f>ROUND(Source!AX100,O107)</f>
        <v>0</v>
      </c>
      <c r="G107" s="5" t="s">
        <v>201</v>
      </c>
      <c r="H107" s="5" t="s">
        <v>202</v>
      </c>
      <c r="I107" s="5"/>
      <c r="J107" s="5"/>
      <c r="K107" s="5">
        <v>227</v>
      </c>
      <c r="L107" s="5">
        <v>6</v>
      </c>
      <c r="M107" s="5">
        <v>3</v>
      </c>
      <c r="N107" s="5" t="s">
        <v>3</v>
      </c>
      <c r="O107" s="5">
        <v>2</v>
      </c>
      <c r="P107" s="5">
        <f>ROUND(Source!EP100,O107)</f>
        <v>0</v>
      </c>
      <c r="Q107" s="5"/>
      <c r="R107" s="5"/>
      <c r="S107" s="5"/>
      <c r="T107" s="5"/>
      <c r="U107" s="5"/>
      <c r="V107" s="5"/>
      <c r="W107" s="5"/>
    </row>
    <row r="108" spans="1:255" x14ac:dyDescent="0.2">
      <c r="A108" s="5">
        <v>50</v>
      </c>
      <c r="B108" s="5">
        <v>0</v>
      </c>
      <c r="C108" s="5">
        <v>0</v>
      </c>
      <c r="D108" s="5">
        <v>1</v>
      </c>
      <c r="E108" s="5">
        <v>228</v>
      </c>
      <c r="F108" s="5">
        <f>ROUND(Source!AY100,O108)</f>
        <v>0</v>
      </c>
      <c r="G108" s="5" t="s">
        <v>203</v>
      </c>
      <c r="H108" s="5" t="s">
        <v>204</v>
      </c>
      <c r="I108" s="5"/>
      <c r="J108" s="5"/>
      <c r="K108" s="5">
        <v>228</v>
      </c>
      <c r="L108" s="5">
        <v>7</v>
      </c>
      <c r="M108" s="5">
        <v>3</v>
      </c>
      <c r="N108" s="5" t="s">
        <v>3</v>
      </c>
      <c r="O108" s="5">
        <v>2</v>
      </c>
      <c r="P108" s="5">
        <f>ROUND(Source!EQ100,O108)</f>
        <v>0</v>
      </c>
      <c r="Q108" s="5"/>
      <c r="R108" s="5"/>
      <c r="S108" s="5"/>
      <c r="T108" s="5"/>
      <c r="U108" s="5"/>
      <c r="V108" s="5"/>
      <c r="W108" s="5"/>
    </row>
    <row r="109" spans="1:255" x14ac:dyDescent="0.2">
      <c r="A109" s="5">
        <v>50</v>
      </c>
      <c r="B109" s="5">
        <v>0</v>
      </c>
      <c r="C109" s="5">
        <v>0</v>
      </c>
      <c r="D109" s="5">
        <v>1</v>
      </c>
      <c r="E109" s="5">
        <v>216</v>
      </c>
      <c r="F109" s="5">
        <f>ROUND(Source!AP100,O109)</f>
        <v>31380.37</v>
      </c>
      <c r="G109" s="5" t="s">
        <v>205</v>
      </c>
      <c r="H109" s="5" t="s">
        <v>206</v>
      </c>
      <c r="I109" s="5"/>
      <c r="J109" s="5"/>
      <c r="K109" s="5">
        <v>216</v>
      </c>
      <c r="L109" s="5">
        <v>8</v>
      </c>
      <c r="M109" s="5">
        <v>3</v>
      </c>
      <c r="N109" s="5" t="s">
        <v>3</v>
      </c>
      <c r="O109" s="5">
        <v>2</v>
      </c>
      <c r="P109" s="5">
        <f>ROUND(Source!EH100,O109)</f>
        <v>160024.21</v>
      </c>
      <c r="Q109" s="5"/>
      <c r="R109" s="5"/>
      <c r="S109" s="5"/>
      <c r="T109" s="5"/>
      <c r="U109" s="5"/>
      <c r="V109" s="5"/>
      <c r="W109" s="5"/>
    </row>
    <row r="110" spans="1:255" x14ac:dyDescent="0.2">
      <c r="A110" s="5">
        <v>50</v>
      </c>
      <c r="B110" s="5">
        <v>0</v>
      </c>
      <c r="C110" s="5">
        <v>0</v>
      </c>
      <c r="D110" s="5">
        <v>1</v>
      </c>
      <c r="E110" s="5">
        <v>223</v>
      </c>
      <c r="F110" s="5">
        <f>ROUND(Source!AQ100,O110)</f>
        <v>0</v>
      </c>
      <c r="G110" s="5" t="s">
        <v>207</v>
      </c>
      <c r="H110" s="5" t="s">
        <v>208</v>
      </c>
      <c r="I110" s="5"/>
      <c r="J110" s="5"/>
      <c r="K110" s="5">
        <v>223</v>
      </c>
      <c r="L110" s="5">
        <v>9</v>
      </c>
      <c r="M110" s="5">
        <v>3</v>
      </c>
      <c r="N110" s="5" t="s">
        <v>3</v>
      </c>
      <c r="O110" s="5">
        <v>2</v>
      </c>
      <c r="P110" s="5">
        <f>ROUND(Source!EI100,O110)</f>
        <v>0</v>
      </c>
      <c r="Q110" s="5"/>
      <c r="R110" s="5"/>
      <c r="S110" s="5"/>
      <c r="T110" s="5"/>
      <c r="U110" s="5"/>
      <c r="V110" s="5"/>
      <c r="W110" s="5"/>
    </row>
    <row r="111" spans="1:255" x14ac:dyDescent="0.2">
      <c r="A111" s="5">
        <v>50</v>
      </c>
      <c r="B111" s="5">
        <v>0</v>
      </c>
      <c r="C111" s="5">
        <v>0</v>
      </c>
      <c r="D111" s="5">
        <v>1</v>
      </c>
      <c r="E111" s="5">
        <v>229</v>
      </c>
      <c r="F111" s="5">
        <f>ROUND(Source!AZ100,O111)</f>
        <v>31380.37</v>
      </c>
      <c r="G111" s="5" t="s">
        <v>209</v>
      </c>
      <c r="H111" s="5" t="s">
        <v>210</v>
      </c>
      <c r="I111" s="5"/>
      <c r="J111" s="5"/>
      <c r="K111" s="5">
        <v>229</v>
      </c>
      <c r="L111" s="5">
        <v>10</v>
      </c>
      <c r="M111" s="5">
        <v>3</v>
      </c>
      <c r="N111" s="5" t="s">
        <v>3</v>
      </c>
      <c r="O111" s="5">
        <v>2</v>
      </c>
      <c r="P111" s="5">
        <f>ROUND(Source!ER100,O111)</f>
        <v>160024.21</v>
      </c>
      <c r="Q111" s="5"/>
      <c r="R111" s="5"/>
      <c r="S111" s="5"/>
      <c r="T111" s="5"/>
      <c r="U111" s="5"/>
      <c r="V111" s="5"/>
      <c r="W111" s="5"/>
    </row>
    <row r="112" spans="1:255" x14ac:dyDescent="0.2">
      <c r="A112" s="5">
        <v>50</v>
      </c>
      <c r="B112" s="5">
        <v>0</v>
      </c>
      <c r="C112" s="5">
        <v>0</v>
      </c>
      <c r="D112" s="5">
        <v>1</v>
      </c>
      <c r="E112" s="5">
        <v>203</v>
      </c>
      <c r="F112" s="5">
        <f>ROUND(Source!Q100,O112)</f>
        <v>0</v>
      </c>
      <c r="G112" s="5" t="s">
        <v>211</v>
      </c>
      <c r="H112" s="5" t="s">
        <v>212</v>
      </c>
      <c r="I112" s="5"/>
      <c r="J112" s="5"/>
      <c r="K112" s="5">
        <v>203</v>
      </c>
      <c r="L112" s="5">
        <v>11</v>
      </c>
      <c r="M112" s="5">
        <v>3</v>
      </c>
      <c r="N112" s="5" t="s">
        <v>3</v>
      </c>
      <c r="O112" s="5">
        <v>2</v>
      </c>
      <c r="P112" s="5">
        <f>ROUND(Source!DI100,O112)</f>
        <v>0</v>
      </c>
      <c r="Q112" s="5"/>
      <c r="R112" s="5"/>
      <c r="S112" s="5"/>
      <c r="T112" s="5"/>
      <c r="U112" s="5"/>
      <c r="V112" s="5"/>
      <c r="W112" s="5"/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231</v>
      </c>
      <c r="F113" s="5">
        <f>ROUND(Source!BB100,O113)</f>
        <v>0</v>
      </c>
      <c r="G113" s="5" t="s">
        <v>213</v>
      </c>
      <c r="H113" s="5" t="s">
        <v>214</v>
      </c>
      <c r="I113" s="5"/>
      <c r="J113" s="5"/>
      <c r="K113" s="5">
        <v>231</v>
      </c>
      <c r="L113" s="5">
        <v>12</v>
      </c>
      <c r="M113" s="5">
        <v>3</v>
      </c>
      <c r="N113" s="5" t="s">
        <v>3</v>
      </c>
      <c r="O113" s="5">
        <v>2</v>
      </c>
      <c r="P113" s="5">
        <f>ROUND(Source!ET100,O113)</f>
        <v>0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204</v>
      </c>
      <c r="F114" s="5">
        <f>ROUND(Source!R100,O114)</f>
        <v>0</v>
      </c>
      <c r="G114" s="5" t="s">
        <v>215</v>
      </c>
      <c r="H114" s="5" t="s">
        <v>216</v>
      </c>
      <c r="I114" s="5"/>
      <c r="J114" s="5"/>
      <c r="K114" s="5">
        <v>204</v>
      </c>
      <c r="L114" s="5">
        <v>13</v>
      </c>
      <c r="M114" s="5">
        <v>3</v>
      </c>
      <c r="N114" s="5" t="s">
        <v>3</v>
      </c>
      <c r="O114" s="5">
        <v>2</v>
      </c>
      <c r="P114" s="5">
        <f>ROUND(Source!DJ100,O114)</f>
        <v>0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205</v>
      </c>
      <c r="F115" s="5">
        <f>ROUND(Source!S100,O115)</f>
        <v>0</v>
      </c>
      <c r="G115" s="5" t="s">
        <v>217</v>
      </c>
      <c r="H115" s="5" t="s">
        <v>218</v>
      </c>
      <c r="I115" s="5"/>
      <c r="J115" s="5"/>
      <c r="K115" s="5">
        <v>205</v>
      </c>
      <c r="L115" s="5">
        <v>14</v>
      </c>
      <c r="M115" s="5">
        <v>3</v>
      </c>
      <c r="N115" s="5" t="s">
        <v>3</v>
      </c>
      <c r="O115" s="5">
        <v>2</v>
      </c>
      <c r="P115" s="5">
        <f>ROUND(Source!DK100,O115)</f>
        <v>0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232</v>
      </c>
      <c r="F116" s="5">
        <f>ROUND(Source!BC100,O116)</f>
        <v>0</v>
      </c>
      <c r="G116" s="5" t="s">
        <v>219</v>
      </c>
      <c r="H116" s="5" t="s">
        <v>220</v>
      </c>
      <c r="I116" s="5"/>
      <c r="J116" s="5"/>
      <c r="K116" s="5">
        <v>232</v>
      </c>
      <c r="L116" s="5">
        <v>15</v>
      </c>
      <c r="M116" s="5">
        <v>3</v>
      </c>
      <c r="N116" s="5" t="s">
        <v>3</v>
      </c>
      <c r="O116" s="5">
        <v>2</v>
      </c>
      <c r="P116" s="5">
        <f>ROUND(Source!EU100,O116)</f>
        <v>0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0</v>
      </c>
      <c r="C117" s="5">
        <v>0</v>
      </c>
      <c r="D117" s="5">
        <v>1</v>
      </c>
      <c r="E117" s="5">
        <v>214</v>
      </c>
      <c r="F117" s="5">
        <f>ROUND(Source!AS100,O117)</f>
        <v>0</v>
      </c>
      <c r="G117" s="5" t="s">
        <v>221</v>
      </c>
      <c r="H117" s="5" t="s">
        <v>222</v>
      </c>
      <c r="I117" s="5"/>
      <c r="J117" s="5"/>
      <c r="K117" s="5">
        <v>214</v>
      </c>
      <c r="L117" s="5">
        <v>16</v>
      </c>
      <c r="M117" s="5">
        <v>3</v>
      </c>
      <c r="N117" s="5" t="s">
        <v>3</v>
      </c>
      <c r="O117" s="5">
        <v>2</v>
      </c>
      <c r="P117" s="5">
        <f>ROUND(Source!EK100,O117)</f>
        <v>0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0</v>
      </c>
      <c r="C118" s="5">
        <v>0</v>
      </c>
      <c r="D118" s="5">
        <v>1</v>
      </c>
      <c r="E118" s="5">
        <v>215</v>
      </c>
      <c r="F118" s="5">
        <f>ROUND(Source!AT100,O118)</f>
        <v>0</v>
      </c>
      <c r="G118" s="5" t="s">
        <v>223</v>
      </c>
      <c r="H118" s="5" t="s">
        <v>224</v>
      </c>
      <c r="I118" s="5"/>
      <c r="J118" s="5"/>
      <c r="K118" s="5">
        <v>215</v>
      </c>
      <c r="L118" s="5">
        <v>17</v>
      </c>
      <c r="M118" s="5">
        <v>3</v>
      </c>
      <c r="N118" s="5" t="s">
        <v>3</v>
      </c>
      <c r="O118" s="5">
        <v>2</v>
      </c>
      <c r="P118" s="5">
        <f>ROUND(Source!EL100,O118)</f>
        <v>0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0</v>
      </c>
      <c r="C119" s="5">
        <v>0</v>
      </c>
      <c r="D119" s="5">
        <v>1</v>
      </c>
      <c r="E119" s="5">
        <v>217</v>
      </c>
      <c r="F119" s="5">
        <f>ROUND(Source!AU100,O119)</f>
        <v>0</v>
      </c>
      <c r="G119" s="5" t="s">
        <v>225</v>
      </c>
      <c r="H119" s="5" t="s">
        <v>226</v>
      </c>
      <c r="I119" s="5"/>
      <c r="J119" s="5"/>
      <c r="K119" s="5">
        <v>217</v>
      </c>
      <c r="L119" s="5">
        <v>18</v>
      </c>
      <c r="M119" s="5">
        <v>3</v>
      </c>
      <c r="N119" s="5" t="s">
        <v>3</v>
      </c>
      <c r="O119" s="5">
        <v>2</v>
      </c>
      <c r="P119" s="5">
        <f>ROUND(Source!EM100,O119)</f>
        <v>0</v>
      </c>
      <c r="Q119" s="5"/>
      <c r="R119" s="5"/>
      <c r="S119" s="5"/>
      <c r="T119" s="5"/>
      <c r="U119" s="5"/>
      <c r="V119" s="5"/>
      <c r="W119" s="5"/>
    </row>
    <row r="120" spans="1:23" x14ac:dyDescent="0.2">
      <c r="A120" s="5">
        <v>50</v>
      </c>
      <c r="B120" s="5">
        <v>0</v>
      </c>
      <c r="C120" s="5">
        <v>0</v>
      </c>
      <c r="D120" s="5">
        <v>1</v>
      </c>
      <c r="E120" s="5">
        <v>230</v>
      </c>
      <c r="F120" s="5">
        <f>ROUND(Source!BA100,O120)</f>
        <v>0</v>
      </c>
      <c r="G120" s="5" t="s">
        <v>227</v>
      </c>
      <c r="H120" s="5" t="s">
        <v>228</v>
      </c>
      <c r="I120" s="5"/>
      <c r="J120" s="5"/>
      <c r="K120" s="5">
        <v>230</v>
      </c>
      <c r="L120" s="5">
        <v>19</v>
      </c>
      <c r="M120" s="5">
        <v>3</v>
      </c>
      <c r="N120" s="5" t="s">
        <v>3</v>
      </c>
      <c r="O120" s="5">
        <v>2</v>
      </c>
      <c r="P120" s="5">
        <f>ROUND(Source!ES100,O120)</f>
        <v>0</v>
      </c>
      <c r="Q120" s="5"/>
      <c r="R120" s="5"/>
      <c r="S120" s="5"/>
      <c r="T120" s="5"/>
      <c r="U120" s="5"/>
      <c r="V120" s="5"/>
      <c r="W120" s="5"/>
    </row>
    <row r="121" spans="1:23" x14ac:dyDescent="0.2">
      <c r="A121" s="5">
        <v>50</v>
      </c>
      <c r="B121" s="5">
        <v>0</v>
      </c>
      <c r="C121" s="5">
        <v>0</v>
      </c>
      <c r="D121" s="5">
        <v>1</v>
      </c>
      <c r="E121" s="5">
        <v>206</v>
      </c>
      <c r="F121" s="5">
        <f>ROUND(Source!T100,O121)</f>
        <v>0</v>
      </c>
      <c r="G121" s="5" t="s">
        <v>229</v>
      </c>
      <c r="H121" s="5" t="s">
        <v>230</v>
      </c>
      <c r="I121" s="5"/>
      <c r="J121" s="5"/>
      <c r="K121" s="5">
        <v>206</v>
      </c>
      <c r="L121" s="5">
        <v>20</v>
      </c>
      <c r="M121" s="5">
        <v>3</v>
      </c>
      <c r="N121" s="5" t="s">
        <v>3</v>
      </c>
      <c r="O121" s="5">
        <v>2</v>
      </c>
      <c r="P121" s="5">
        <f>ROUND(Source!DL100,O121)</f>
        <v>0</v>
      </c>
      <c r="Q121" s="5"/>
      <c r="R121" s="5"/>
      <c r="S121" s="5"/>
      <c r="T121" s="5"/>
      <c r="U121" s="5"/>
      <c r="V121" s="5"/>
      <c r="W121" s="5"/>
    </row>
    <row r="122" spans="1:23" x14ac:dyDescent="0.2">
      <c r="A122" s="5">
        <v>50</v>
      </c>
      <c r="B122" s="5">
        <v>0</v>
      </c>
      <c r="C122" s="5">
        <v>0</v>
      </c>
      <c r="D122" s="5">
        <v>1</v>
      </c>
      <c r="E122" s="5">
        <v>207</v>
      </c>
      <c r="F122" s="5">
        <f>Source!U100</f>
        <v>0</v>
      </c>
      <c r="G122" s="5" t="s">
        <v>231</v>
      </c>
      <c r="H122" s="5" t="s">
        <v>232</v>
      </c>
      <c r="I122" s="5"/>
      <c r="J122" s="5"/>
      <c r="K122" s="5">
        <v>207</v>
      </c>
      <c r="L122" s="5">
        <v>21</v>
      </c>
      <c r="M122" s="5">
        <v>3</v>
      </c>
      <c r="N122" s="5" t="s">
        <v>3</v>
      </c>
      <c r="O122" s="5">
        <v>-1</v>
      </c>
      <c r="P122" s="5">
        <f>Source!DM100</f>
        <v>0</v>
      </c>
      <c r="Q122" s="5"/>
      <c r="R122" s="5"/>
      <c r="S122" s="5"/>
      <c r="T122" s="5"/>
      <c r="U122" s="5"/>
      <c r="V122" s="5"/>
      <c r="W122" s="5"/>
    </row>
    <row r="123" spans="1:23" x14ac:dyDescent="0.2">
      <c r="A123" s="5">
        <v>50</v>
      </c>
      <c r="B123" s="5">
        <v>0</v>
      </c>
      <c r="C123" s="5">
        <v>0</v>
      </c>
      <c r="D123" s="5">
        <v>1</v>
      </c>
      <c r="E123" s="5">
        <v>208</v>
      </c>
      <c r="F123" s="5">
        <f>Source!V100</f>
        <v>0</v>
      </c>
      <c r="G123" s="5" t="s">
        <v>233</v>
      </c>
      <c r="H123" s="5" t="s">
        <v>234</v>
      </c>
      <c r="I123" s="5"/>
      <c r="J123" s="5"/>
      <c r="K123" s="5">
        <v>208</v>
      </c>
      <c r="L123" s="5">
        <v>22</v>
      </c>
      <c r="M123" s="5">
        <v>3</v>
      </c>
      <c r="N123" s="5" t="s">
        <v>3</v>
      </c>
      <c r="O123" s="5">
        <v>-1</v>
      </c>
      <c r="P123" s="5">
        <f>Source!DN100</f>
        <v>0</v>
      </c>
      <c r="Q123" s="5"/>
      <c r="R123" s="5"/>
      <c r="S123" s="5"/>
      <c r="T123" s="5"/>
      <c r="U123" s="5"/>
      <c r="V123" s="5"/>
      <c r="W123" s="5"/>
    </row>
    <row r="124" spans="1:23" x14ac:dyDescent="0.2">
      <c r="A124" s="5">
        <v>50</v>
      </c>
      <c r="B124" s="5">
        <v>0</v>
      </c>
      <c r="C124" s="5">
        <v>0</v>
      </c>
      <c r="D124" s="5">
        <v>1</v>
      </c>
      <c r="E124" s="5">
        <v>209</v>
      </c>
      <c r="F124" s="5">
        <f>ROUND(Source!W100,O124)</f>
        <v>0</v>
      </c>
      <c r="G124" s="5" t="s">
        <v>235</v>
      </c>
      <c r="H124" s="5" t="s">
        <v>236</v>
      </c>
      <c r="I124" s="5"/>
      <c r="J124" s="5"/>
      <c r="K124" s="5">
        <v>209</v>
      </c>
      <c r="L124" s="5">
        <v>23</v>
      </c>
      <c r="M124" s="5">
        <v>3</v>
      </c>
      <c r="N124" s="5" t="s">
        <v>3</v>
      </c>
      <c r="O124" s="5">
        <v>2</v>
      </c>
      <c r="P124" s="5">
        <f>ROUND(Source!DO100,O124)</f>
        <v>0</v>
      </c>
      <c r="Q124" s="5"/>
      <c r="R124" s="5"/>
      <c r="S124" s="5"/>
      <c r="T124" s="5"/>
      <c r="U124" s="5"/>
      <c r="V124" s="5"/>
      <c r="W124" s="5"/>
    </row>
    <row r="125" spans="1:23" x14ac:dyDescent="0.2">
      <c r="A125" s="5">
        <v>50</v>
      </c>
      <c r="B125" s="5">
        <v>0</v>
      </c>
      <c r="C125" s="5">
        <v>0</v>
      </c>
      <c r="D125" s="5">
        <v>1</v>
      </c>
      <c r="E125" s="5">
        <v>210</v>
      </c>
      <c r="F125" s="5">
        <f>ROUND(Source!X100,O125)</f>
        <v>0</v>
      </c>
      <c r="G125" s="5" t="s">
        <v>237</v>
      </c>
      <c r="H125" s="5" t="s">
        <v>238</v>
      </c>
      <c r="I125" s="5"/>
      <c r="J125" s="5"/>
      <c r="K125" s="5">
        <v>210</v>
      </c>
      <c r="L125" s="5">
        <v>24</v>
      </c>
      <c r="M125" s="5">
        <v>3</v>
      </c>
      <c r="N125" s="5" t="s">
        <v>3</v>
      </c>
      <c r="O125" s="5">
        <v>2</v>
      </c>
      <c r="P125" s="5">
        <f>ROUND(Source!DP100,O125)</f>
        <v>0</v>
      </c>
      <c r="Q125" s="5"/>
      <c r="R125" s="5"/>
      <c r="S125" s="5"/>
      <c r="T125" s="5"/>
      <c r="U125" s="5"/>
      <c r="V125" s="5"/>
      <c r="W125" s="5"/>
    </row>
    <row r="126" spans="1:23" x14ac:dyDescent="0.2">
      <c r="A126" s="5">
        <v>50</v>
      </c>
      <c r="B126" s="5">
        <v>0</v>
      </c>
      <c r="C126" s="5">
        <v>0</v>
      </c>
      <c r="D126" s="5">
        <v>1</v>
      </c>
      <c r="E126" s="5">
        <v>211</v>
      </c>
      <c r="F126" s="5">
        <f>ROUND(Source!Y100,O126)</f>
        <v>0</v>
      </c>
      <c r="G126" s="5" t="s">
        <v>239</v>
      </c>
      <c r="H126" s="5" t="s">
        <v>240</v>
      </c>
      <c r="I126" s="5"/>
      <c r="J126" s="5"/>
      <c r="K126" s="5">
        <v>211</v>
      </c>
      <c r="L126" s="5">
        <v>25</v>
      </c>
      <c r="M126" s="5">
        <v>3</v>
      </c>
      <c r="N126" s="5" t="s">
        <v>3</v>
      </c>
      <c r="O126" s="5">
        <v>2</v>
      </c>
      <c r="P126" s="5">
        <f>ROUND(Source!DQ100,O126)</f>
        <v>0</v>
      </c>
      <c r="Q126" s="5"/>
      <c r="R126" s="5"/>
      <c r="S126" s="5"/>
      <c r="T126" s="5"/>
      <c r="U126" s="5"/>
      <c r="V126" s="5"/>
      <c r="W126" s="5"/>
    </row>
    <row r="127" spans="1:23" x14ac:dyDescent="0.2">
      <c r="A127" s="5">
        <v>50</v>
      </c>
      <c r="B127" s="5">
        <v>0</v>
      </c>
      <c r="C127" s="5">
        <v>0</v>
      </c>
      <c r="D127" s="5">
        <v>1</v>
      </c>
      <c r="E127" s="5">
        <v>224</v>
      </c>
      <c r="F127" s="5">
        <f>ROUND(Source!AR100,O127)</f>
        <v>31380.37</v>
      </c>
      <c r="G127" s="5" t="s">
        <v>241</v>
      </c>
      <c r="H127" s="5" t="s">
        <v>242</v>
      </c>
      <c r="I127" s="5"/>
      <c r="J127" s="5"/>
      <c r="K127" s="5">
        <v>224</v>
      </c>
      <c r="L127" s="5">
        <v>26</v>
      </c>
      <c r="M127" s="5">
        <v>3</v>
      </c>
      <c r="N127" s="5" t="s">
        <v>3</v>
      </c>
      <c r="O127" s="5">
        <v>2</v>
      </c>
      <c r="P127" s="5">
        <f>ROUND(Source!EJ100,O127)</f>
        <v>160024.21</v>
      </c>
      <c r="Q127" s="5"/>
      <c r="R127" s="5"/>
      <c r="S127" s="5"/>
      <c r="T127" s="5"/>
      <c r="U127" s="5"/>
      <c r="V127" s="5"/>
      <c r="W127" s="5"/>
    </row>
    <row r="129" spans="1:206" x14ac:dyDescent="0.2">
      <c r="A129" s="3">
        <v>51</v>
      </c>
      <c r="B129" s="3">
        <f>B20</f>
        <v>1</v>
      </c>
      <c r="C129" s="3">
        <f>A20</f>
        <v>3</v>
      </c>
      <c r="D129" s="3">
        <f>ROW(A20)</f>
        <v>20</v>
      </c>
      <c r="E129" s="3"/>
      <c r="F129" s="3" t="str">
        <f>IF(F20&lt;&gt;"",F20,"")</f>
        <v>02-01-12</v>
      </c>
      <c r="G129" s="3" t="str">
        <f>IF(G20&lt;&gt;"",G20,"")</f>
        <v>Система контроля доступа</v>
      </c>
      <c r="H129" s="3">
        <v>0</v>
      </c>
      <c r="I129" s="3"/>
      <c r="J129" s="3"/>
      <c r="K129" s="3"/>
      <c r="L129" s="3"/>
      <c r="M129" s="3"/>
      <c r="N129" s="3"/>
      <c r="O129" s="3">
        <f t="shared" ref="O129:T129" si="146">ROUND(O100+AB129,2)</f>
        <v>50118.16</v>
      </c>
      <c r="P129" s="3">
        <f t="shared" si="146"/>
        <v>45112.6</v>
      </c>
      <c r="Q129" s="3">
        <f t="shared" si="146"/>
        <v>2439.44</v>
      </c>
      <c r="R129" s="3">
        <f t="shared" si="146"/>
        <v>517.96</v>
      </c>
      <c r="S129" s="3">
        <f t="shared" si="146"/>
        <v>2566.12</v>
      </c>
      <c r="T129" s="3">
        <f t="shared" si="146"/>
        <v>0</v>
      </c>
      <c r="U129" s="3">
        <f>U100+AH129</f>
        <v>183.84550000000002</v>
      </c>
      <c r="V129" s="3">
        <f>V100+AI129</f>
        <v>0</v>
      </c>
      <c r="W129" s="3">
        <f>ROUND(W100+AJ129,2)</f>
        <v>0</v>
      </c>
      <c r="X129" s="3">
        <f>ROUND(X100+AK129,2)</f>
        <v>0</v>
      </c>
      <c r="Y129" s="3">
        <f>ROUND(Y100+AL129,2)</f>
        <v>0</v>
      </c>
      <c r="Z129" s="3"/>
      <c r="AA129" s="3"/>
      <c r="AB129" s="3">
        <f>ROUND(SUMIF(AA24:AA79,"=55106055",O24:O79),2)</f>
        <v>18737.79</v>
      </c>
      <c r="AC129" s="3">
        <f>ROUND(SUMIF(AA24:AA79,"=55106055",P24:P79),2)</f>
        <v>13732.23</v>
      </c>
      <c r="AD129" s="3">
        <f>ROUND(SUMIF(AA24:AA79,"=55106055",Q24:Q79),2)</f>
        <v>2439.44</v>
      </c>
      <c r="AE129" s="3">
        <f>ROUND(SUMIF(AA24:AA79,"=55106055",R24:R79),2)</f>
        <v>517.96</v>
      </c>
      <c r="AF129" s="3">
        <f>ROUND(SUMIF(AA24:AA79,"=55106055",S24:S79),2)</f>
        <v>2566.12</v>
      </c>
      <c r="AG129" s="3">
        <f>ROUND(SUMIF(AA24:AA79,"=55106055",T24:T79),2)</f>
        <v>0</v>
      </c>
      <c r="AH129" s="3">
        <f>SUMIF(AA24:AA79,"=55106055",U24:U79)</f>
        <v>183.84550000000002</v>
      </c>
      <c r="AI129" s="3">
        <f>SUMIF(AA24:AA79,"=55106055",V24:V79)</f>
        <v>0</v>
      </c>
      <c r="AJ129" s="3">
        <f>ROUND(SUMIF(AA24:AA79,"=55106055",W24:W79),2)</f>
        <v>0</v>
      </c>
      <c r="AK129" s="3">
        <f>ROUND(SUMIF(AA24:AA79,"=55106055",X24:X79),2)</f>
        <v>0</v>
      </c>
      <c r="AL129" s="3">
        <f>ROUND(SUMIF(AA24:AA79,"=55106055",Y24:Y79),2)</f>
        <v>0</v>
      </c>
      <c r="AM129" s="3"/>
      <c r="AN129" s="3"/>
      <c r="AO129" s="3">
        <f t="shared" ref="AO129:BC129" si="147">ROUND(AO100+BX129,2)</f>
        <v>0</v>
      </c>
      <c r="AP129" s="3">
        <f t="shared" si="147"/>
        <v>31380.37</v>
      </c>
      <c r="AQ129" s="3">
        <f t="shared" si="147"/>
        <v>0</v>
      </c>
      <c r="AR129" s="3">
        <f t="shared" si="147"/>
        <v>50118.16</v>
      </c>
      <c r="AS129" s="3">
        <f t="shared" si="147"/>
        <v>140.06</v>
      </c>
      <c r="AT129" s="3">
        <f t="shared" si="147"/>
        <v>18078.689999999999</v>
      </c>
      <c r="AU129" s="3">
        <f t="shared" si="147"/>
        <v>519.04</v>
      </c>
      <c r="AV129" s="3">
        <f t="shared" si="147"/>
        <v>45112.6</v>
      </c>
      <c r="AW129" s="3">
        <f t="shared" si="147"/>
        <v>13732.23</v>
      </c>
      <c r="AX129" s="3">
        <f t="shared" si="147"/>
        <v>0</v>
      </c>
      <c r="AY129" s="3">
        <f t="shared" si="147"/>
        <v>13732.23</v>
      </c>
      <c r="AZ129" s="3">
        <f t="shared" si="147"/>
        <v>31380.37</v>
      </c>
      <c r="BA129" s="3">
        <f t="shared" si="147"/>
        <v>0</v>
      </c>
      <c r="BB129" s="3">
        <f t="shared" si="147"/>
        <v>0</v>
      </c>
      <c r="BC129" s="3">
        <f t="shared" si="147"/>
        <v>0</v>
      </c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>
        <f>ROUND(SUMIF(AA24:AA79,"=55106055",FQ24:FQ79),2)</f>
        <v>0</v>
      </c>
      <c r="BY129" s="3">
        <f>ROUND(SUMIF(AA24:AA79,"=55106055",FR24:FR79),2)</f>
        <v>0</v>
      </c>
      <c r="BZ129" s="3">
        <f>ROUND(SUMIF(AA24:AA79,"=55106055",GL24:GL79),2)</f>
        <v>0</v>
      </c>
      <c r="CA129" s="3">
        <f>ROUND(SUMIF(AA24:AA79,"=55106055",GM24:GM79),2)</f>
        <v>18737.79</v>
      </c>
      <c r="CB129" s="3">
        <f>ROUND(SUMIF(AA24:AA79,"=55106055",GN24:GN79),2)</f>
        <v>140.06</v>
      </c>
      <c r="CC129" s="3">
        <f>ROUND(SUMIF(AA24:AA79,"=55106055",GO24:GO79),2)</f>
        <v>18078.689999999999</v>
      </c>
      <c r="CD129" s="3">
        <f>ROUND(SUMIF(AA24:AA79,"=55106055",GP24:GP79),2)</f>
        <v>519.04</v>
      </c>
      <c r="CE129" s="3">
        <f>AC129-BX129</f>
        <v>13732.23</v>
      </c>
      <c r="CF129" s="3">
        <f>AC129-BY129</f>
        <v>13732.23</v>
      </c>
      <c r="CG129" s="3">
        <f>BX129-BZ129</f>
        <v>0</v>
      </c>
      <c r="CH129" s="3">
        <f>AC129-BX129-BY129+BZ129</f>
        <v>13732.23</v>
      </c>
      <c r="CI129" s="3">
        <f>BY129-BZ129</f>
        <v>0</v>
      </c>
      <c r="CJ129" s="3">
        <f>ROUND(SUMIF(AA24:AA79,"=55106055",GX24:GX79),2)</f>
        <v>0</v>
      </c>
      <c r="CK129" s="3">
        <f>ROUND(SUMIF(AA24:AA79,"=55106055",GY24:GY79),2)</f>
        <v>0</v>
      </c>
      <c r="CL129" s="3">
        <f>ROUND(SUMIF(AA24:AA79,"=55106055",GZ24:GZ79),2)</f>
        <v>0</v>
      </c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4">
        <f t="shared" ref="DG129:DL129" si="148">ROUND(DG100+DT129,2)</f>
        <v>307001.87</v>
      </c>
      <c r="DH129" s="4">
        <f t="shared" si="148"/>
        <v>230016.06</v>
      </c>
      <c r="DI129" s="4">
        <f t="shared" si="148"/>
        <v>21326.73</v>
      </c>
      <c r="DJ129" s="4">
        <f t="shared" si="148"/>
        <v>11234.55</v>
      </c>
      <c r="DK129" s="4">
        <f t="shared" si="148"/>
        <v>55659.08</v>
      </c>
      <c r="DL129" s="4">
        <f t="shared" si="148"/>
        <v>0</v>
      </c>
      <c r="DM129" s="4">
        <f>DM100+DZ129</f>
        <v>183.84550000000002</v>
      </c>
      <c r="DN129" s="4">
        <f>DN100+EA129</f>
        <v>0</v>
      </c>
      <c r="DO129" s="4">
        <f>ROUND(DO100+EB129,2)</f>
        <v>0</v>
      </c>
      <c r="DP129" s="4">
        <f>ROUND(DP100+EC129,2)</f>
        <v>41740.36</v>
      </c>
      <c r="DQ129" s="4">
        <f>ROUND(DQ100+ED129,2)</f>
        <v>22820.23</v>
      </c>
      <c r="DR129" s="4"/>
      <c r="DS129" s="4"/>
      <c r="DT129" s="4">
        <f>ROUND(SUMIF(AA24:AA79,"=55106052",O24:O79),2)</f>
        <v>146977.66</v>
      </c>
      <c r="DU129" s="4">
        <f>ROUND(SUMIF(AA24:AA79,"=55106052",P24:P79),2)</f>
        <v>69991.850000000006</v>
      </c>
      <c r="DV129" s="4">
        <f>ROUND(SUMIF(AA24:AA79,"=55106052",Q24:Q79),2)</f>
        <v>21326.73</v>
      </c>
      <c r="DW129" s="4">
        <f>ROUND(SUMIF(AA24:AA79,"=55106052",R24:R79),2)</f>
        <v>11234.55</v>
      </c>
      <c r="DX129" s="4">
        <f>ROUND(SUMIF(AA24:AA79,"=55106052",S24:S79),2)</f>
        <v>55659.08</v>
      </c>
      <c r="DY129" s="4">
        <f>ROUND(SUMIF(AA24:AA79,"=55106052",T24:T79),2)</f>
        <v>0</v>
      </c>
      <c r="DZ129" s="4">
        <f>SUMIF(AA24:AA79,"=55106052",U24:U79)</f>
        <v>183.84550000000002</v>
      </c>
      <c r="EA129" s="4">
        <f>SUMIF(AA24:AA79,"=55106052",V24:V79)</f>
        <v>0</v>
      </c>
      <c r="EB129" s="4">
        <f>ROUND(SUMIF(AA24:AA79,"=55106052",W24:W79),2)</f>
        <v>0</v>
      </c>
      <c r="EC129" s="4">
        <f>ROUND(SUMIF(AA24:AA79,"=55106052",X24:X79),2)</f>
        <v>41740.36</v>
      </c>
      <c r="ED129" s="4">
        <f>ROUND(SUMIF(AA24:AA79,"=55106052",Y24:Y79),2)</f>
        <v>22820.23</v>
      </c>
      <c r="EE129" s="4"/>
      <c r="EF129" s="4"/>
      <c r="EG129" s="4">
        <f t="shared" ref="EG129:EU129" si="149">ROUND(EG100+FP129,2)</f>
        <v>0</v>
      </c>
      <c r="EH129" s="4">
        <f t="shared" si="149"/>
        <v>160024.21</v>
      </c>
      <c r="EI129" s="4">
        <f t="shared" si="149"/>
        <v>0</v>
      </c>
      <c r="EJ129" s="4">
        <f t="shared" si="149"/>
        <v>389200.72</v>
      </c>
      <c r="EK129" s="4">
        <f t="shared" si="149"/>
        <v>5720.34</v>
      </c>
      <c r="EL129" s="4">
        <f t="shared" si="149"/>
        <v>199926.99</v>
      </c>
      <c r="EM129" s="4">
        <f t="shared" si="149"/>
        <v>23529.18</v>
      </c>
      <c r="EN129" s="4">
        <f t="shared" si="149"/>
        <v>230016.06</v>
      </c>
      <c r="EO129" s="4">
        <f t="shared" si="149"/>
        <v>69991.850000000006</v>
      </c>
      <c r="EP129" s="4">
        <f t="shared" si="149"/>
        <v>0</v>
      </c>
      <c r="EQ129" s="4">
        <f t="shared" si="149"/>
        <v>69991.850000000006</v>
      </c>
      <c r="ER129" s="4">
        <f t="shared" si="149"/>
        <v>160024.21</v>
      </c>
      <c r="ES129" s="4">
        <f t="shared" si="149"/>
        <v>0</v>
      </c>
      <c r="ET129" s="4">
        <f t="shared" si="149"/>
        <v>0</v>
      </c>
      <c r="EU129" s="4">
        <f t="shared" si="149"/>
        <v>0</v>
      </c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>
        <f>ROUND(SUMIF(AA24:AA79,"=55106052",FQ24:FQ79),2)</f>
        <v>0</v>
      </c>
      <c r="FQ129" s="4">
        <f>ROUND(SUMIF(AA24:AA79,"=55106052",FR24:FR79),2)</f>
        <v>0</v>
      </c>
      <c r="FR129" s="4">
        <f>ROUND(SUMIF(AA24:AA79,"=55106052",GL24:GL79),2)</f>
        <v>0</v>
      </c>
      <c r="FS129" s="4">
        <f>ROUND(SUMIF(AA24:AA79,"=55106052",GM24:GM79),2)</f>
        <v>229176.51</v>
      </c>
      <c r="FT129" s="4">
        <f>ROUND(SUMIF(AA24:AA79,"=55106052",GN24:GN79),2)</f>
        <v>5720.34</v>
      </c>
      <c r="FU129" s="4">
        <f>ROUND(SUMIF(AA24:AA79,"=55106052",GO24:GO79),2)</f>
        <v>199926.99</v>
      </c>
      <c r="FV129" s="4">
        <f>ROUND(SUMIF(AA24:AA79,"=55106052",GP24:GP79),2)</f>
        <v>23529.18</v>
      </c>
      <c r="FW129" s="4">
        <f>DU129-FP129</f>
        <v>69991.850000000006</v>
      </c>
      <c r="FX129" s="4">
        <f>DU129-FQ129</f>
        <v>69991.850000000006</v>
      </c>
      <c r="FY129" s="4">
        <f>FP129-FR129</f>
        <v>0</v>
      </c>
      <c r="FZ129" s="4">
        <f>DU129-FP129-FQ129+FR129</f>
        <v>69991.850000000006</v>
      </c>
      <c r="GA129" s="4">
        <f>FQ129-FR129</f>
        <v>0</v>
      </c>
      <c r="GB129" s="4">
        <f>ROUND(SUMIF(AA24:AA79,"=55106052",GX24:GX79),2)</f>
        <v>0</v>
      </c>
      <c r="GC129" s="4">
        <f>ROUND(SUMIF(AA24:AA79,"=55106052",GY24:GY79),2)</f>
        <v>0</v>
      </c>
      <c r="GD129" s="4">
        <f>ROUND(SUMIF(AA24:AA79,"=55106052",GZ24:GZ79),2)</f>
        <v>0</v>
      </c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>
        <v>0</v>
      </c>
    </row>
    <row r="131" spans="1:206" x14ac:dyDescent="0.2">
      <c r="A131" s="5">
        <v>50</v>
      </c>
      <c r="B131" s="5">
        <v>1</v>
      </c>
      <c r="C131" s="5">
        <v>0</v>
      </c>
      <c r="D131" s="5">
        <v>1</v>
      </c>
      <c r="E131" s="5">
        <v>201</v>
      </c>
      <c r="F131" s="5">
        <f>ROUND(Source!O129,O131)</f>
        <v>50118.16</v>
      </c>
      <c r="G131" s="5" t="s">
        <v>191</v>
      </c>
      <c r="H131" s="5" t="s">
        <v>192</v>
      </c>
      <c r="I131" s="5"/>
      <c r="J131" s="5"/>
      <c r="K131" s="5">
        <v>201</v>
      </c>
      <c r="L131" s="5">
        <v>1</v>
      </c>
      <c r="M131" s="5">
        <v>0</v>
      </c>
      <c r="N131" s="5" t="s">
        <v>3</v>
      </c>
      <c r="O131" s="5">
        <v>2</v>
      </c>
      <c r="P131" s="5">
        <f>ROUND(Source!DG129,O131)</f>
        <v>307001.87</v>
      </c>
      <c r="Q131" s="5"/>
      <c r="R131" s="5"/>
      <c r="S131" s="5"/>
      <c r="T131" s="5"/>
      <c r="U131" s="5"/>
      <c r="V131" s="5"/>
      <c r="W131" s="5"/>
    </row>
    <row r="132" spans="1:206" x14ac:dyDescent="0.2">
      <c r="A132" s="5">
        <v>50</v>
      </c>
      <c r="B132" s="5">
        <v>1</v>
      </c>
      <c r="C132" s="5">
        <v>0</v>
      </c>
      <c r="D132" s="5">
        <v>1</v>
      </c>
      <c r="E132" s="5">
        <v>202</v>
      </c>
      <c r="F132" s="5">
        <f>ROUND(Source!P129,O132)</f>
        <v>45112.6</v>
      </c>
      <c r="G132" s="5" t="s">
        <v>193</v>
      </c>
      <c r="H132" s="5" t="s">
        <v>194</v>
      </c>
      <c r="I132" s="5"/>
      <c r="J132" s="5"/>
      <c r="K132" s="5">
        <v>202</v>
      </c>
      <c r="L132" s="5">
        <v>2</v>
      </c>
      <c r="M132" s="5">
        <v>0</v>
      </c>
      <c r="N132" s="5" t="s">
        <v>3</v>
      </c>
      <c r="O132" s="5">
        <v>2</v>
      </c>
      <c r="P132" s="5">
        <f>ROUND(Source!DH129,O132)</f>
        <v>230016.06</v>
      </c>
      <c r="Q132" s="5"/>
      <c r="R132" s="5"/>
      <c r="S132" s="5"/>
      <c r="T132" s="5"/>
      <c r="U132" s="5"/>
      <c r="V132" s="5"/>
      <c r="W132" s="5"/>
    </row>
    <row r="133" spans="1:206" x14ac:dyDescent="0.2">
      <c r="A133" s="5">
        <v>50</v>
      </c>
      <c r="B133" s="5">
        <v>0</v>
      </c>
      <c r="C133" s="5">
        <v>0</v>
      </c>
      <c r="D133" s="5">
        <v>1</v>
      </c>
      <c r="E133" s="5">
        <v>222</v>
      </c>
      <c r="F133" s="5">
        <f>ROUND(Source!AO129,O133)</f>
        <v>0</v>
      </c>
      <c r="G133" s="5" t="s">
        <v>195</v>
      </c>
      <c r="H133" s="5" t="s">
        <v>196</v>
      </c>
      <c r="I133" s="5"/>
      <c r="J133" s="5"/>
      <c r="K133" s="5">
        <v>222</v>
      </c>
      <c r="L133" s="5">
        <v>3</v>
      </c>
      <c r="M133" s="5">
        <v>3</v>
      </c>
      <c r="N133" s="5" t="s">
        <v>3</v>
      </c>
      <c r="O133" s="5">
        <v>2</v>
      </c>
      <c r="P133" s="5">
        <f>ROUND(Source!EG129,O133)</f>
        <v>0</v>
      </c>
      <c r="Q133" s="5"/>
      <c r="R133" s="5"/>
      <c r="S133" s="5"/>
      <c r="T133" s="5"/>
      <c r="U133" s="5"/>
      <c r="V133" s="5"/>
      <c r="W133" s="5"/>
    </row>
    <row r="134" spans="1:206" x14ac:dyDescent="0.2">
      <c r="A134" s="5">
        <v>50</v>
      </c>
      <c r="B134" s="5">
        <v>0</v>
      </c>
      <c r="C134" s="5">
        <v>0</v>
      </c>
      <c r="D134" s="5">
        <v>1</v>
      </c>
      <c r="E134" s="5">
        <v>225</v>
      </c>
      <c r="F134" s="5">
        <f>ROUND(Source!AV129,O134)</f>
        <v>45112.6</v>
      </c>
      <c r="G134" s="5" t="s">
        <v>197</v>
      </c>
      <c r="H134" s="5" t="s">
        <v>198</v>
      </c>
      <c r="I134" s="5"/>
      <c r="J134" s="5"/>
      <c r="K134" s="5">
        <v>225</v>
      </c>
      <c r="L134" s="5">
        <v>4</v>
      </c>
      <c r="M134" s="5">
        <v>3</v>
      </c>
      <c r="N134" s="5" t="s">
        <v>3</v>
      </c>
      <c r="O134" s="5">
        <v>2</v>
      </c>
      <c r="P134" s="5">
        <f>ROUND(Source!EN129,O134)</f>
        <v>230016.06</v>
      </c>
      <c r="Q134" s="5"/>
      <c r="R134" s="5"/>
      <c r="S134" s="5"/>
      <c r="T134" s="5"/>
      <c r="U134" s="5"/>
      <c r="V134" s="5"/>
      <c r="W134" s="5"/>
    </row>
    <row r="135" spans="1:206" x14ac:dyDescent="0.2">
      <c r="A135" s="5">
        <v>50</v>
      </c>
      <c r="B135" s="5">
        <v>1</v>
      </c>
      <c r="C135" s="5">
        <v>0</v>
      </c>
      <c r="D135" s="5">
        <v>1</v>
      </c>
      <c r="E135" s="5">
        <v>226</v>
      </c>
      <c r="F135" s="5">
        <f>ROUND(Source!AW129,O135)</f>
        <v>13732.23</v>
      </c>
      <c r="G135" s="5" t="s">
        <v>199</v>
      </c>
      <c r="H135" s="5" t="s">
        <v>200</v>
      </c>
      <c r="I135" s="5"/>
      <c r="J135" s="5"/>
      <c r="K135" s="5">
        <v>226</v>
      </c>
      <c r="L135" s="5">
        <v>5</v>
      </c>
      <c r="M135" s="5">
        <v>0</v>
      </c>
      <c r="N135" s="5" t="s">
        <v>3</v>
      </c>
      <c r="O135" s="5">
        <v>2</v>
      </c>
      <c r="P135" s="5">
        <f>ROUND(Source!EO129,O135)</f>
        <v>69991.850000000006</v>
      </c>
      <c r="Q135" s="5"/>
      <c r="R135" s="5"/>
      <c r="S135" s="5"/>
      <c r="T135" s="5"/>
      <c r="U135" s="5"/>
      <c r="V135" s="5"/>
      <c r="W135" s="5"/>
    </row>
    <row r="136" spans="1:206" x14ac:dyDescent="0.2">
      <c r="A136" s="5">
        <v>50</v>
      </c>
      <c r="B136" s="5">
        <v>0</v>
      </c>
      <c r="C136" s="5">
        <v>0</v>
      </c>
      <c r="D136" s="5">
        <v>1</v>
      </c>
      <c r="E136" s="5">
        <v>227</v>
      </c>
      <c r="F136" s="5">
        <f>ROUND(Source!AX129,O136)</f>
        <v>0</v>
      </c>
      <c r="G136" s="5" t="s">
        <v>201</v>
      </c>
      <c r="H136" s="5" t="s">
        <v>202</v>
      </c>
      <c r="I136" s="5"/>
      <c r="J136" s="5"/>
      <c r="K136" s="5">
        <v>227</v>
      </c>
      <c r="L136" s="5">
        <v>6</v>
      </c>
      <c r="M136" s="5">
        <v>3</v>
      </c>
      <c r="N136" s="5" t="s">
        <v>3</v>
      </c>
      <c r="O136" s="5">
        <v>2</v>
      </c>
      <c r="P136" s="5">
        <f>ROUND(Source!EP129,O136)</f>
        <v>0</v>
      </c>
      <c r="Q136" s="5"/>
      <c r="R136" s="5"/>
      <c r="S136" s="5"/>
      <c r="T136" s="5"/>
      <c r="U136" s="5"/>
      <c r="V136" s="5"/>
      <c r="W136" s="5"/>
    </row>
    <row r="137" spans="1:206" x14ac:dyDescent="0.2">
      <c r="A137" s="5">
        <v>50</v>
      </c>
      <c r="B137" s="5">
        <v>0</v>
      </c>
      <c r="C137" s="5">
        <v>0</v>
      </c>
      <c r="D137" s="5">
        <v>1</v>
      </c>
      <c r="E137" s="5">
        <v>228</v>
      </c>
      <c r="F137" s="5">
        <f>ROUND(Source!AY129,O137)</f>
        <v>13732.23</v>
      </c>
      <c r="G137" s="5" t="s">
        <v>203</v>
      </c>
      <c r="H137" s="5" t="s">
        <v>204</v>
      </c>
      <c r="I137" s="5"/>
      <c r="J137" s="5"/>
      <c r="K137" s="5">
        <v>228</v>
      </c>
      <c r="L137" s="5">
        <v>7</v>
      </c>
      <c r="M137" s="5">
        <v>3</v>
      </c>
      <c r="N137" s="5" t="s">
        <v>3</v>
      </c>
      <c r="O137" s="5">
        <v>2</v>
      </c>
      <c r="P137" s="5">
        <f>ROUND(Source!EQ129,O137)</f>
        <v>69991.850000000006</v>
      </c>
      <c r="Q137" s="5"/>
      <c r="R137" s="5"/>
      <c r="S137" s="5"/>
      <c r="T137" s="5"/>
      <c r="U137" s="5"/>
      <c r="V137" s="5"/>
      <c r="W137" s="5"/>
    </row>
    <row r="138" spans="1:206" x14ac:dyDescent="0.2">
      <c r="A138" s="5">
        <v>50</v>
      </c>
      <c r="B138" s="5">
        <v>1</v>
      </c>
      <c r="C138" s="5">
        <v>0</v>
      </c>
      <c r="D138" s="5">
        <v>1</v>
      </c>
      <c r="E138" s="5">
        <v>216</v>
      </c>
      <c r="F138" s="5">
        <f>ROUND(Source!AP129,O138)</f>
        <v>31380.37</v>
      </c>
      <c r="G138" s="5" t="s">
        <v>205</v>
      </c>
      <c r="H138" s="5" t="s">
        <v>206</v>
      </c>
      <c r="I138" s="5"/>
      <c r="J138" s="5"/>
      <c r="K138" s="5">
        <v>216</v>
      </c>
      <c r="L138" s="5">
        <v>8</v>
      </c>
      <c r="M138" s="5">
        <v>0</v>
      </c>
      <c r="N138" s="5" t="s">
        <v>3</v>
      </c>
      <c r="O138" s="5">
        <v>2</v>
      </c>
      <c r="P138" s="5">
        <f>ROUND(Source!EH129,O138)</f>
        <v>160024.21</v>
      </c>
      <c r="Q138" s="5"/>
      <c r="R138" s="5"/>
      <c r="S138" s="5"/>
      <c r="T138" s="5"/>
      <c r="U138" s="5"/>
      <c r="V138" s="5"/>
      <c r="W138" s="5"/>
    </row>
    <row r="139" spans="1:206" x14ac:dyDescent="0.2">
      <c r="A139" s="5">
        <v>50</v>
      </c>
      <c r="B139" s="5">
        <v>0</v>
      </c>
      <c r="C139" s="5">
        <v>0</v>
      </c>
      <c r="D139" s="5">
        <v>1</v>
      </c>
      <c r="E139" s="5">
        <v>223</v>
      </c>
      <c r="F139" s="5">
        <f>ROUND(Source!AQ129,O139)</f>
        <v>0</v>
      </c>
      <c r="G139" s="5" t="s">
        <v>207</v>
      </c>
      <c r="H139" s="5" t="s">
        <v>208</v>
      </c>
      <c r="I139" s="5"/>
      <c r="J139" s="5"/>
      <c r="K139" s="5">
        <v>223</v>
      </c>
      <c r="L139" s="5">
        <v>9</v>
      </c>
      <c r="M139" s="5">
        <v>3</v>
      </c>
      <c r="N139" s="5" t="s">
        <v>3</v>
      </c>
      <c r="O139" s="5">
        <v>2</v>
      </c>
      <c r="P139" s="5">
        <f>ROUND(Source!EI129,O139)</f>
        <v>0</v>
      </c>
      <c r="Q139" s="5"/>
      <c r="R139" s="5"/>
      <c r="S139" s="5"/>
      <c r="T139" s="5"/>
      <c r="U139" s="5"/>
      <c r="V139" s="5"/>
      <c r="W139" s="5"/>
    </row>
    <row r="140" spans="1:206" x14ac:dyDescent="0.2">
      <c r="A140" s="5">
        <v>50</v>
      </c>
      <c r="B140" s="5">
        <v>0</v>
      </c>
      <c r="C140" s="5">
        <v>0</v>
      </c>
      <c r="D140" s="5">
        <v>1</v>
      </c>
      <c r="E140" s="5">
        <v>229</v>
      </c>
      <c r="F140" s="5">
        <f>ROUND(Source!AZ129,O140)</f>
        <v>31380.37</v>
      </c>
      <c r="G140" s="5" t="s">
        <v>209</v>
      </c>
      <c r="H140" s="5" t="s">
        <v>210</v>
      </c>
      <c r="I140" s="5"/>
      <c r="J140" s="5"/>
      <c r="K140" s="5">
        <v>229</v>
      </c>
      <c r="L140" s="5">
        <v>10</v>
      </c>
      <c r="M140" s="5">
        <v>3</v>
      </c>
      <c r="N140" s="5" t="s">
        <v>3</v>
      </c>
      <c r="O140" s="5">
        <v>2</v>
      </c>
      <c r="P140" s="5">
        <f>ROUND(Source!ER129,O140)</f>
        <v>160024.21</v>
      </c>
      <c r="Q140" s="5"/>
      <c r="R140" s="5"/>
      <c r="S140" s="5"/>
      <c r="T140" s="5"/>
      <c r="U140" s="5"/>
      <c r="V140" s="5"/>
      <c r="W140" s="5"/>
    </row>
    <row r="141" spans="1:206" x14ac:dyDescent="0.2">
      <c r="A141" s="5">
        <v>50</v>
      </c>
      <c r="B141" s="5">
        <v>1</v>
      </c>
      <c r="C141" s="5">
        <v>0</v>
      </c>
      <c r="D141" s="5">
        <v>1</v>
      </c>
      <c r="E141" s="5">
        <v>203</v>
      </c>
      <c r="F141" s="5">
        <f>ROUND(Source!Q129,O141)</f>
        <v>2439.44</v>
      </c>
      <c r="G141" s="5" t="s">
        <v>211</v>
      </c>
      <c r="H141" s="5" t="s">
        <v>212</v>
      </c>
      <c r="I141" s="5"/>
      <c r="J141" s="5"/>
      <c r="K141" s="5">
        <v>203</v>
      </c>
      <c r="L141" s="5">
        <v>11</v>
      </c>
      <c r="M141" s="5">
        <v>0</v>
      </c>
      <c r="N141" s="5" t="s">
        <v>3</v>
      </c>
      <c r="O141" s="5">
        <v>2</v>
      </c>
      <c r="P141" s="5">
        <f>ROUND(Source!DI129,O141)</f>
        <v>21326.73</v>
      </c>
      <c r="Q141" s="5"/>
      <c r="R141" s="5"/>
      <c r="S141" s="5"/>
      <c r="T141" s="5"/>
      <c r="U141" s="5"/>
      <c r="V141" s="5"/>
      <c r="W141" s="5"/>
    </row>
    <row r="142" spans="1:206" x14ac:dyDescent="0.2">
      <c r="A142" s="5">
        <v>50</v>
      </c>
      <c r="B142" s="5">
        <v>0</v>
      </c>
      <c r="C142" s="5">
        <v>0</v>
      </c>
      <c r="D142" s="5">
        <v>1</v>
      </c>
      <c r="E142" s="5">
        <v>231</v>
      </c>
      <c r="F142" s="5">
        <f>ROUND(Source!BB129,O142)</f>
        <v>0</v>
      </c>
      <c r="G142" s="5" t="s">
        <v>213</v>
      </c>
      <c r="H142" s="5" t="s">
        <v>214</v>
      </c>
      <c r="I142" s="5"/>
      <c r="J142" s="5"/>
      <c r="K142" s="5">
        <v>231</v>
      </c>
      <c r="L142" s="5">
        <v>12</v>
      </c>
      <c r="M142" s="5">
        <v>3</v>
      </c>
      <c r="N142" s="5" t="s">
        <v>3</v>
      </c>
      <c r="O142" s="5">
        <v>2</v>
      </c>
      <c r="P142" s="5">
        <f>ROUND(Source!ET129,O142)</f>
        <v>0</v>
      </c>
      <c r="Q142" s="5"/>
      <c r="R142" s="5"/>
      <c r="S142" s="5"/>
      <c r="T142" s="5"/>
      <c r="U142" s="5"/>
      <c r="V142" s="5"/>
      <c r="W142" s="5"/>
    </row>
    <row r="143" spans="1:206" x14ac:dyDescent="0.2">
      <c r="A143" s="5">
        <v>50</v>
      </c>
      <c r="B143" s="5">
        <v>1</v>
      </c>
      <c r="C143" s="5">
        <v>0</v>
      </c>
      <c r="D143" s="5">
        <v>1</v>
      </c>
      <c r="E143" s="5">
        <v>204</v>
      </c>
      <c r="F143" s="5">
        <f>ROUND(Source!R129,O143)</f>
        <v>517.96</v>
      </c>
      <c r="G143" s="5" t="s">
        <v>215</v>
      </c>
      <c r="H143" s="5" t="s">
        <v>216</v>
      </c>
      <c r="I143" s="5"/>
      <c r="J143" s="5"/>
      <c r="K143" s="5">
        <v>204</v>
      </c>
      <c r="L143" s="5">
        <v>13</v>
      </c>
      <c r="M143" s="5">
        <v>0</v>
      </c>
      <c r="N143" s="5" t="s">
        <v>3</v>
      </c>
      <c r="O143" s="5">
        <v>2</v>
      </c>
      <c r="P143" s="5">
        <f>ROUND(Source!DJ129,O143)</f>
        <v>11234.55</v>
      </c>
      <c r="Q143" s="5"/>
      <c r="R143" s="5"/>
      <c r="S143" s="5"/>
      <c r="T143" s="5"/>
      <c r="U143" s="5"/>
      <c r="V143" s="5"/>
      <c r="W143" s="5"/>
    </row>
    <row r="144" spans="1:206" x14ac:dyDescent="0.2">
      <c r="A144" s="5">
        <v>50</v>
      </c>
      <c r="B144" s="5">
        <v>1</v>
      </c>
      <c r="C144" s="5">
        <v>0</v>
      </c>
      <c r="D144" s="5">
        <v>1</v>
      </c>
      <c r="E144" s="5">
        <v>205</v>
      </c>
      <c r="F144" s="5">
        <f>ROUND(Source!S129,O144)</f>
        <v>2566.12</v>
      </c>
      <c r="G144" s="5" t="s">
        <v>217</v>
      </c>
      <c r="H144" s="5" t="s">
        <v>218</v>
      </c>
      <c r="I144" s="5"/>
      <c r="J144" s="5"/>
      <c r="K144" s="5">
        <v>205</v>
      </c>
      <c r="L144" s="5">
        <v>14</v>
      </c>
      <c r="M144" s="5">
        <v>0</v>
      </c>
      <c r="N144" s="5" t="s">
        <v>3</v>
      </c>
      <c r="O144" s="5">
        <v>2</v>
      </c>
      <c r="P144" s="5">
        <f>ROUND(Source!DK129,O144)</f>
        <v>55659.08</v>
      </c>
      <c r="Q144" s="5"/>
      <c r="R144" s="5"/>
      <c r="S144" s="5"/>
      <c r="T144" s="5"/>
      <c r="U144" s="5"/>
      <c r="V144" s="5"/>
      <c r="W144" s="5"/>
    </row>
    <row r="145" spans="1:206" x14ac:dyDescent="0.2">
      <c r="A145" s="5">
        <v>50</v>
      </c>
      <c r="B145" s="5">
        <v>0</v>
      </c>
      <c r="C145" s="5">
        <v>0</v>
      </c>
      <c r="D145" s="5">
        <v>1</v>
      </c>
      <c r="E145" s="5">
        <v>232</v>
      </c>
      <c r="F145" s="5">
        <f>ROUND(Source!BC129,O145)</f>
        <v>0</v>
      </c>
      <c r="G145" s="5" t="s">
        <v>219</v>
      </c>
      <c r="H145" s="5" t="s">
        <v>220</v>
      </c>
      <c r="I145" s="5"/>
      <c r="J145" s="5"/>
      <c r="K145" s="5">
        <v>232</v>
      </c>
      <c r="L145" s="5">
        <v>15</v>
      </c>
      <c r="M145" s="5">
        <v>3</v>
      </c>
      <c r="N145" s="5" t="s">
        <v>3</v>
      </c>
      <c r="O145" s="5">
        <v>2</v>
      </c>
      <c r="P145" s="5">
        <f>ROUND(Source!EU129,O145)</f>
        <v>0</v>
      </c>
      <c r="Q145" s="5"/>
      <c r="R145" s="5"/>
      <c r="S145" s="5"/>
      <c r="T145" s="5"/>
      <c r="U145" s="5"/>
      <c r="V145" s="5"/>
      <c r="W145" s="5"/>
    </row>
    <row r="146" spans="1:206" x14ac:dyDescent="0.2">
      <c r="A146" s="5">
        <v>50</v>
      </c>
      <c r="B146" s="5">
        <v>1</v>
      </c>
      <c r="C146" s="5">
        <v>0</v>
      </c>
      <c r="D146" s="5">
        <v>1</v>
      </c>
      <c r="E146" s="5">
        <v>214</v>
      </c>
      <c r="F146" s="5">
        <f>ROUND(Source!AS129,O146)</f>
        <v>140.06</v>
      </c>
      <c r="G146" s="5" t="s">
        <v>221</v>
      </c>
      <c r="H146" s="5" t="s">
        <v>222</v>
      </c>
      <c r="I146" s="5"/>
      <c r="J146" s="5"/>
      <c r="K146" s="5">
        <v>214</v>
      </c>
      <c r="L146" s="5">
        <v>16</v>
      </c>
      <c r="M146" s="5">
        <v>0</v>
      </c>
      <c r="N146" s="5" t="s">
        <v>3</v>
      </c>
      <c r="O146" s="5">
        <v>2</v>
      </c>
      <c r="P146" s="5">
        <f>ROUND(Source!EK129,O146)</f>
        <v>5720.34</v>
      </c>
      <c r="Q146" s="5"/>
      <c r="R146" s="5"/>
      <c r="S146" s="5"/>
      <c r="T146" s="5"/>
      <c r="U146" s="5"/>
      <c r="V146" s="5"/>
      <c r="W146" s="5"/>
    </row>
    <row r="147" spans="1:206" x14ac:dyDescent="0.2">
      <c r="A147" s="5">
        <v>50</v>
      </c>
      <c r="B147" s="5">
        <v>1</v>
      </c>
      <c r="C147" s="5">
        <v>0</v>
      </c>
      <c r="D147" s="5">
        <v>1</v>
      </c>
      <c r="E147" s="5">
        <v>215</v>
      </c>
      <c r="F147" s="5">
        <f>ROUND(Source!AT129,O147)</f>
        <v>18078.689999999999</v>
      </c>
      <c r="G147" s="5" t="s">
        <v>223</v>
      </c>
      <c r="H147" s="5" t="s">
        <v>224</v>
      </c>
      <c r="I147" s="5"/>
      <c r="J147" s="5"/>
      <c r="K147" s="5">
        <v>215</v>
      </c>
      <c r="L147" s="5">
        <v>17</v>
      </c>
      <c r="M147" s="5">
        <v>0</v>
      </c>
      <c r="N147" s="5" t="s">
        <v>3</v>
      </c>
      <c r="O147" s="5">
        <v>2</v>
      </c>
      <c r="P147" s="5">
        <f>ROUND(Source!EL129,O147)</f>
        <v>199926.99</v>
      </c>
      <c r="Q147" s="5"/>
      <c r="R147" s="5"/>
      <c r="S147" s="5"/>
      <c r="T147" s="5"/>
      <c r="U147" s="5"/>
      <c r="V147" s="5"/>
      <c r="W147" s="5"/>
    </row>
    <row r="148" spans="1:206" x14ac:dyDescent="0.2">
      <c r="A148" s="5">
        <v>50</v>
      </c>
      <c r="B148" s="5">
        <v>1</v>
      </c>
      <c r="C148" s="5">
        <v>0</v>
      </c>
      <c r="D148" s="5">
        <v>1</v>
      </c>
      <c r="E148" s="5">
        <v>217</v>
      </c>
      <c r="F148" s="5">
        <f>ROUND(Source!AU129,O148)</f>
        <v>519.04</v>
      </c>
      <c r="G148" s="5" t="s">
        <v>225</v>
      </c>
      <c r="H148" s="5" t="s">
        <v>226</v>
      </c>
      <c r="I148" s="5"/>
      <c r="J148" s="5"/>
      <c r="K148" s="5">
        <v>217</v>
      </c>
      <c r="L148" s="5">
        <v>18</v>
      </c>
      <c r="M148" s="5">
        <v>0</v>
      </c>
      <c r="N148" s="5" t="s">
        <v>3</v>
      </c>
      <c r="O148" s="5">
        <v>2</v>
      </c>
      <c r="P148" s="5">
        <f>ROUND(Source!EM129,O148)</f>
        <v>23529.18</v>
      </c>
      <c r="Q148" s="5"/>
      <c r="R148" s="5"/>
      <c r="S148" s="5"/>
      <c r="T148" s="5"/>
      <c r="U148" s="5"/>
      <c r="V148" s="5"/>
      <c r="W148" s="5"/>
    </row>
    <row r="149" spans="1:206" x14ac:dyDescent="0.2">
      <c r="A149" s="5">
        <v>50</v>
      </c>
      <c r="B149" s="5">
        <v>0</v>
      </c>
      <c r="C149" s="5">
        <v>0</v>
      </c>
      <c r="D149" s="5">
        <v>1</v>
      </c>
      <c r="E149" s="5">
        <v>230</v>
      </c>
      <c r="F149" s="5">
        <f>ROUND(Source!BA129,O149)</f>
        <v>0</v>
      </c>
      <c r="G149" s="5" t="s">
        <v>227</v>
      </c>
      <c r="H149" s="5" t="s">
        <v>228</v>
      </c>
      <c r="I149" s="5"/>
      <c r="J149" s="5"/>
      <c r="K149" s="5">
        <v>230</v>
      </c>
      <c r="L149" s="5">
        <v>19</v>
      </c>
      <c r="M149" s="5">
        <v>3</v>
      </c>
      <c r="N149" s="5" t="s">
        <v>3</v>
      </c>
      <c r="O149" s="5">
        <v>2</v>
      </c>
      <c r="P149" s="5">
        <f>ROUND(Source!ES129,O149)</f>
        <v>0</v>
      </c>
      <c r="Q149" s="5"/>
      <c r="R149" s="5"/>
      <c r="S149" s="5"/>
      <c r="T149" s="5"/>
      <c r="U149" s="5"/>
      <c r="V149" s="5"/>
      <c r="W149" s="5"/>
    </row>
    <row r="150" spans="1:206" x14ac:dyDescent="0.2">
      <c r="A150" s="5">
        <v>50</v>
      </c>
      <c r="B150" s="5">
        <v>0</v>
      </c>
      <c r="C150" s="5">
        <v>0</v>
      </c>
      <c r="D150" s="5">
        <v>1</v>
      </c>
      <c r="E150" s="5">
        <v>206</v>
      </c>
      <c r="F150" s="5">
        <f>ROUND(Source!T129,O150)</f>
        <v>0</v>
      </c>
      <c r="G150" s="5" t="s">
        <v>229</v>
      </c>
      <c r="H150" s="5" t="s">
        <v>230</v>
      </c>
      <c r="I150" s="5"/>
      <c r="J150" s="5"/>
      <c r="K150" s="5">
        <v>206</v>
      </c>
      <c r="L150" s="5">
        <v>20</v>
      </c>
      <c r="M150" s="5">
        <v>3</v>
      </c>
      <c r="N150" s="5" t="s">
        <v>3</v>
      </c>
      <c r="O150" s="5">
        <v>2</v>
      </c>
      <c r="P150" s="5">
        <f>ROUND(Source!DL129,O150)</f>
        <v>0</v>
      </c>
      <c r="Q150" s="5"/>
      <c r="R150" s="5"/>
      <c r="S150" s="5"/>
      <c r="T150" s="5"/>
      <c r="U150" s="5"/>
      <c r="V150" s="5"/>
      <c r="W150" s="5"/>
    </row>
    <row r="151" spans="1:206" x14ac:dyDescent="0.2">
      <c r="A151" s="5">
        <v>50</v>
      </c>
      <c r="B151" s="5">
        <v>1</v>
      </c>
      <c r="C151" s="5">
        <v>0</v>
      </c>
      <c r="D151" s="5">
        <v>1</v>
      </c>
      <c r="E151" s="5">
        <v>207</v>
      </c>
      <c r="F151" s="5">
        <f>ROUND(Source!U129,O151)</f>
        <v>184</v>
      </c>
      <c r="G151" s="5" t="s">
        <v>231</v>
      </c>
      <c r="H151" s="5" t="s">
        <v>232</v>
      </c>
      <c r="I151" s="5"/>
      <c r="J151" s="5"/>
      <c r="K151" s="5">
        <v>207</v>
      </c>
      <c r="L151" s="5">
        <v>21</v>
      </c>
      <c r="M151" s="5">
        <v>0</v>
      </c>
      <c r="N151" s="5" t="s">
        <v>3</v>
      </c>
      <c r="O151" s="5">
        <v>0</v>
      </c>
      <c r="P151" s="5">
        <f>ROUND(Source!DM129,O151)</f>
        <v>184</v>
      </c>
      <c r="Q151" s="5"/>
      <c r="R151" s="5"/>
      <c r="S151" s="5"/>
      <c r="T151" s="5"/>
      <c r="U151" s="5"/>
      <c r="V151" s="5"/>
      <c r="W151" s="5"/>
    </row>
    <row r="152" spans="1:206" x14ac:dyDescent="0.2">
      <c r="A152" s="5">
        <v>50</v>
      </c>
      <c r="B152" s="5">
        <v>0</v>
      </c>
      <c r="C152" s="5">
        <v>0</v>
      </c>
      <c r="D152" s="5">
        <v>1</v>
      </c>
      <c r="E152" s="5">
        <v>208</v>
      </c>
      <c r="F152" s="5">
        <f>Source!V129</f>
        <v>0</v>
      </c>
      <c r="G152" s="5" t="s">
        <v>233</v>
      </c>
      <c r="H152" s="5" t="s">
        <v>234</v>
      </c>
      <c r="I152" s="5"/>
      <c r="J152" s="5"/>
      <c r="K152" s="5">
        <v>208</v>
      </c>
      <c r="L152" s="5">
        <v>22</v>
      </c>
      <c r="M152" s="5">
        <v>3</v>
      </c>
      <c r="N152" s="5" t="s">
        <v>3</v>
      </c>
      <c r="O152" s="5">
        <v>-1</v>
      </c>
      <c r="P152" s="5">
        <f>Source!DN129</f>
        <v>0</v>
      </c>
      <c r="Q152" s="5"/>
      <c r="R152" s="5"/>
      <c r="S152" s="5"/>
      <c r="T152" s="5"/>
      <c r="U152" s="5"/>
      <c r="V152" s="5"/>
      <c r="W152" s="5"/>
    </row>
    <row r="153" spans="1:206" x14ac:dyDescent="0.2">
      <c r="A153" s="5">
        <v>50</v>
      </c>
      <c r="B153" s="5">
        <v>0</v>
      </c>
      <c r="C153" s="5">
        <v>0</v>
      </c>
      <c r="D153" s="5">
        <v>1</v>
      </c>
      <c r="E153" s="5">
        <v>209</v>
      </c>
      <c r="F153" s="5">
        <f>ROUND(Source!W129,O153)</f>
        <v>0</v>
      </c>
      <c r="G153" s="5" t="s">
        <v>235</v>
      </c>
      <c r="H153" s="5" t="s">
        <v>236</v>
      </c>
      <c r="I153" s="5"/>
      <c r="J153" s="5"/>
      <c r="K153" s="5">
        <v>209</v>
      </c>
      <c r="L153" s="5">
        <v>23</v>
      </c>
      <c r="M153" s="5">
        <v>3</v>
      </c>
      <c r="N153" s="5" t="s">
        <v>3</v>
      </c>
      <c r="O153" s="5">
        <v>2</v>
      </c>
      <c r="P153" s="5">
        <f>ROUND(Source!DO129,O153)</f>
        <v>0</v>
      </c>
      <c r="Q153" s="5"/>
      <c r="R153" s="5"/>
      <c r="S153" s="5"/>
      <c r="T153" s="5"/>
      <c r="U153" s="5"/>
      <c r="V153" s="5"/>
      <c r="W153" s="5"/>
    </row>
    <row r="154" spans="1:206" x14ac:dyDescent="0.2">
      <c r="A154" s="5">
        <v>50</v>
      </c>
      <c r="B154" s="5">
        <v>1</v>
      </c>
      <c r="C154" s="5">
        <v>0</v>
      </c>
      <c r="D154" s="5">
        <v>1</v>
      </c>
      <c r="E154" s="5">
        <v>210</v>
      </c>
      <c r="F154" s="5">
        <f>ROUND(Source!X129,O154)</f>
        <v>0</v>
      </c>
      <c r="G154" s="5" t="s">
        <v>237</v>
      </c>
      <c r="H154" s="5" t="s">
        <v>238</v>
      </c>
      <c r="I154" s="5"/>
      <c r="J154" s="5"/>
      <c r="K154" s="5">
        <v>210</v>
      </c>
      <c r="L154" s="5">
        <v>24</v>
      </c>
      <c r="M154" s="5">
        <v>0</v>
      </c>
      <c r="N154" s="5" t="s">
        <v>3</v>
      </c>
      <c r="O154" s="5">
        <v>2</v>
      </c>
      <c r="P154" s="5">
        <f>ROUND(Source!DP129,O154)</f>
        <v>41740.36</v>
      </c>
      <c r="Q154" s="5"/>
      <c r="R154" s="5"/>
      <c r="S154" s="5"/>
      <c r="T154" s="5"/>
      <c r="U154" s="5"/>
      <c r="V154" s="5"/>
      <c r="W154" s="5"/>
    </row>
    <row r="155" spans="1:206" x14ac:dyDescent="0.2">
      <c r="A155" s="5">
        <v>50</v>
      </c>
      <c r="B155" s="5">
        <v>1</v>
      </c>
      <c r="C155" s="5">
        <v>0</v>
      </c>
      <c r="D155" s="5">
        <v>1</v>
      </c>
      <c r="E155" s="5">
        <v>211</v>
      </c>
      <c r="F155" s="5">
        <f>ROUND(Source!Y129,O155)</f>
        <v>0</v>
      </c>
      <c r="G155" s="5" t="s">
        <v>239</v>
      </c>
      <c r="H155" s="5" t="s">
        <v>240</v>
      </c>
      <c r="I155" s="5"/>
      <c r="J155" s="5"/>
      <c r="K155" s="5">
        <v>211</v>
      </c>
      <c r="L155" s="5">
        <v>25</v>
      </c>
      <c r="M155" s="5">
        <v>0</v>
      </c>
      <c r="N155" s="5" t="s">
        <v>3</v>
      </c>
      <c r="O155" s="5">
        <v>2</v>
      </c>
      <c r="P155" s="5">
        <f>ROUND(Source!DQ129,O155)</f>
        <v>22820.23</v>
      </c>
      <c r="Q155" s="5"/>
      <c r="R155" s="5"/>
      <c r="S155" s="5"/>
      <c r="T155" s="5"/>
      <c r="U155" s="5"/>
      <c r="V155" s="5"/>
      <c r="W155" s="5"/>
    </row>
    <row r="156" spans="1:206" x14ac:dyDescent="0.2">
      <c r="A156" s="5">
        <v>50</v>
      </c>
      <c r="B156" s="5">
        <v>1</v>
      </c>
      <c r="C156" s="5">
        <v>0</v>
      </c>
      <c r="D156" s="5">
        <v>1</v>
      </c>
      <c r="E156" s="5">
        <v>224</v>
      </c>
      <c r="F156" s="5">
        <f>ROUND(Source!AR129,O156)</f>
        <v>50118.16</v>
      </c>
      <c r="G156" s="5" t="s">
        <v>241</v>
      </c>
      <c r="H156" s="5" t="s">
        <v>242</v>
      </c>
      <c r="I156" s="5"/>
      <c r="J156" s="5"/>
      <c r="K156" s="5">
        <v>224</v>
      </c>
      <c r="L156" s="5">
        <v>26</v>
      </c>
      <c r="M156" s="5">
        <v>0</v>
      </c>
      <c r="N156" s="5" t="s">
        <v>3</v>
      </c>
      <c r="O156" s="5">
        <v>2</v>
      </c>
      <c r="P156" s="5">
        <f>ROUND(Source!EJ129,O156)</f>
        <v>389200.72</v>
      </c>
      <c r="Q156" s="5"/>
      <c r="R156" s="5"/>
      <c r="S156" s="5"/>
      <c r="T156" s="5"/>
      <c r="U156" s="5"/>
      <c r="V156" s="5"/>
      <c r="W156" s="5"/>
    </row>
    <row r="158" spans="1:206" x14ac:dyDescent="0.2">
      <c r="A158" s="3">
        <v>51</v>
      </c>
      <c r="B158" s="3">
        <f>B12</f>
        <v>190</v>
      </c>
      <c r="C158" s="3">
        <f>A12</f>
        <v>1</v>
      </c>
      <c r="D158" s="3">
        <f>ROW(A12)</f>
        <v>12</v>
      </c>
      <c r="E158" s="3"/>
      <c r="F158" s="3" t="str">
        <f>IF(F12&lt;&gt;"",F12,"")</f>
        <v>12 СКУД</v>
      </c>
      <c r="G158" s="3" t="str">
        <f>IF(G12&lt;&gt;"",G12,"")</f>
        <v>12 СКУД</v>
      </c>
      <c r="H158" s="3">
        <v>0</v>
      </c>
      <c r="I158" s="3"/>
      <c r="J158" s="3"/>
      <c r="K158" s="3"/>
      <c r="L158" s="3"/>
      <c r="M158" s="3"/>
      <c r="N158" s="3"/>
      <c r="O158" s="3">
        <f t="shared" ref="O158:T158" si="150">ROUND(O129,2)</f>
        <v>50118.16</v>
      </c>
      <c r="P158" s="3">
        <f t="shared" si="150"/>
        <v>45112.6</v>
      </c>
      <c r="Q158" s="3">
        <f t="shared" si="150"/>
        <v>2439.44</v>
      </c>
      <c r="R158" s="3">
        <f t="shared" si="150"/>
        <v>517.96</v>
      </c>
      <c r="S158" s="3">
        <f t="shared" si="150"/>
        <v>2566.12</v>
      </c>
      <c r="T158" s="3">
        <f t="shared" si="150"/>
        <v>0</v>
      </c>
      <c r="U158" s="3">
        <f>U129</f>
        <v>183.84550000000002</v>
      </c>
      <c r="V158" s="3">
        <f>V129</f>
        <v>0</v>
      </c>
      <c r="W158" s="3">
        <f>ROUND(W129,2)</f>
        <v>0</v>
      </c>
      <c r="X158" s="3">
        <f>ROUND(X129,2)</f>
        <v>0</v>
      </c>
      <c r="Y158" s="3">
        <f>ROUND(Y129,2)</f>
        <v>0</v>
      </c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>
        <f t="shared" ref="AO158:BC158" si="151">ROUND(AO129,2)</f>
        <v>0</v>
      </c>
      <c r="AP158" s="3">
        <f t="shared" si="151"/>
        <v>31380.37</v>
      </c>
      <c r="AQ158" s="3">
        <f t="shared" si="151"/>
        <v>0</v>
      </c>
      <c r="AR158" s="3">
        <f t="shared" si="151"/>
        <v>50118.16</v>
      </c>
      <c r="AS158" s="3">
        <f t="shared" si="151"/>
        <v>140.06</v>
      </c>
      <c r="AT158" s="3">
        <f t="shared" si="151"/>
        <v>18078.689999999999</v>
      </c>
      <c r="AU158" s="3">
        <f t="shared" si="151"/>
        <v>519.04</v>
      </c>
      <c r="AV158" s="3">
        <f t="shared" si="151"/>
        <v>45112.6</v>
      </c>
      <c r="AW158" s="3">
        <f t="shared" si="151"/>
        <v>13732.23</v>
      </c>
      <c r="AX158" s="3">
        <f t="shared" si="151"/>
        <v>0</v>
      </c>
      <c r="AY158" s="3">
        <f t="shared" si="151"/>
        <v>13732.23</v>
      </c>
      <c r="AZ158" s="3">
        <f t="shared" si="151"/>
        <v>31380.37</v>
      </c>
      <c r="BA158" s="3">
        <f t="shared" si="151"/>
        <v>0</v>
      </c>
      <c r="BB158" s="3">
        <f t="shared" si="151"/>
        <v>0</v>
      </c>
      <c r="BC158" s="3">
        <f t="shared" si="151"/>
        <v>0</v>
      </c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4">
        <f t="shared" ref="DG158:DL158" si="152">ROUND(DG129,2)</f>
        <v>307001.87</v>
      </c>
      <c r="DH158" s="4">
        <f t="shared" si="152"/>
        <v>230016.06</v>
      </c>
      <c r="DI158" s="4">
        <f t="shared" si="152"/>
        <v>21326.73</v>
      </c>
      <c r="DJ158" s="4">
        <f t="shared" si="152"/>
        <v>11234.55</v>
      </c>
      <c r="DK158" s="4">
        <f t="shared" si="152"/>
        <v>55659.08</v>
      </c>
      <c r="DL158" s="4">
        <f t="shared" si="152"/>
        <v>0</v>
      </c>
      <c r="DM158" s="4">
        <f>DM129</f>
        <v>183.84550000000002</v>
      </c>
      <c r="DN158" s="4">
        <f>DN129</f>
        <v>0</v>
      </c>
      <c r="DO158" s="4">
        <f>ROUND(DO129,2)</f>
        <v>0</v>
      </c>
      <c r="DP158" s="4">
        <f>ROUND(DP129,2)</f>
        <v>41740.36</v>
      </c>
      <c r="DQ158" s="4">
        <f>ROUND(DQ129,2)</f>
        <v>22820.23</v>
      </c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>
        <f t="shared" ref="EG158:EU158" si="153">ROUND(EG129,2)</f>
        <v>0</v>
      </c>
      <c r="EH158" s="4">
        <f t="shared" si="153"/>
        <v>160024.21</v>
      </c>
      <c r="EI158" s="4">
        <f t="shared" si="153"/>
        <v>0</v>
      </c>
      <c r="EJ158" s="4">
        <f t="shared" si="153"/>
        <v>389200.72</v>
      </c>
      <c r="EK158" s="4">
        <f t="shared" si="153"/>
        <v>5720.34</v>
      </c>
      <c r="EL158" s="4">
        <f t="shared" si="153"/>
        <v>199926.99</v>
      </c>
      <c r="EM158" s="4">
        <f t="shared" si="153"/>
        <v>23529.18</v>
      </c>
      <c r="EN158" s="4">
        <f t="shared" si="153"/>
        <v>230016.06</v>
      </c>
      <c r="EO158" s="4">
        <f t="shared" si="153"/>
        <v>69991.850000000006</v>
      </c>
      <c r="EP158" s="4">
        <f t="shared" si="153"/>
        <v>0</v>
      </c>
      <c r="EQ158" s="4">
        <f t="shared" si="153"/>
        <v>69991.850000000006</v>
      </c>
      <c r="ER158" s="4">
        <f t="shared" si="153"/>
        <v>160024.21</v>
      </c>
      <c r="ES158" s="4">
        <f t="shared" si="153"/>
        <v>0</v>
      </c>
      <c r="ET158" s="4">
        <f t="shared" si="153"/>
        <v>0</v>
      </c>
      <c r="EU158" s="4">
        <f t="shared" si="153"/>
        <v>0</v>
      </c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>
        <v>0</v>
      </c>
    </row>
    <row r="160" spans="1:206" x14ac:dyDescent="0.2">
      <c r="A160" s="5">
        <v>50</v>
      </c>
      <c r="B160" s="5">
        <v>1</v>
      </c>
      <c r="C160" s="5">
        <v>0</v>
      </c>
      <c r="D160" s="5">
        <v>1</v>
      </c>
      <c r="E160" s="5">
        <v>201</v>
      </c>
      <c r="F160" s="5">
        <f>ROUND(Source!O158,O160)</f>
        <v>50118.16</v>
      </c>
      <c r="G160" s="5" t="s">
        <v>191</v>
      </c>
      <c r="H160" s="5" t="s">
        <v>192</v>
      </c>
      <c r="I160" s="5"/>
      <c r="J160" s="5"/>
      <c r="K160" s="5">
        <v>201</v>
      </c>
      <c r="L160" s="5">
        <v>1</v>
      </c>
      <c r="M160" s="5">
        <v>0</v>
      </c>
      <c r="N160" s="5" t="s">
        <v>3</v>
      </c>
      <c r="O160" s="5">
        <v>2</v>
      </c>
      <c r="P160" s="5">
        <f>ROUND(Source!DG158,O160)</f>
        <v>307001.87</v>
      </c>
      <c r="Q160" s="5"/>
      <c r="R160" s="5"/>
      <c r="S160" s="5"/>
      <c r="T160" s="5"/>
      <c r="U160" s="5"/>
      <c r="V160" s="5"/>
      <c r="W160" s="5"/>
    </row>
    <row r="161" spans="1:23" x14ac:dyDescent="0.2">
      <c r="A161" s="5">
        <v>50</v>
      </c>
      <c r="B161" s="5">
        <v>1</v>
      </c>
      <c r="C161" s="5">
        <v>0</v>
      </c>
      <c r="D161" s="5">
        <v>1</v>
      </c>
      <c r="E161" s="5">
        <v>202</v>
      </c>
      <c r="F161" s="5">
        <f>ROUND(Source!P158,O161)</f>
        <v>45112.6</v>
      </c>
      <c r="G161" s="5" t="s">
        <v>193</v>
      </c>
      <c r="H161" s="5" t="s">
        <v>194</v>
      </c>
      <c r="I161" s="5"/>
      <c r="J161" s="5"/>
      <c r="K161" s="5">
        <v>202</v>
      </c>
      <c r="L161" s="5">
        <v>2</v>
      </c>
      <c r="M161" s="5">
        <v>0</v>
      </c>
      <c r="N161" s="5" t="s">
        <v>3</v>
      </c>
      <c r="O161" s="5">
        <v>2</v>
      </c>
      <c r="P161" s="5">
        <f>ROUND(Source!DH158,O161)</f>
        <v>230016.06</v>
      </c>
      <c r="Q161" s="5"/>
      <c r="R161" s="5"/>
      <c r="S161" s="5"/>
      <c r="T161" s="5"/>
      <c r="U161" s="5"/>
      <c r="V161" s="5"/>
      <c r="W161" s="5"/>
    </row>
    <row r="162" spans="1:23" x14ac:dyDescent="0.2">
      <c r="A162" s="5">
        <v>50</v>
      </c>
      <c r="B162" s="5">
        <v>0</v>
      </c>
      <c r="C162" s="5">
        <v>0</v>
      </c>
      <c r="D162" s="5">
        <v>1</v>
      </c>
      <c r="E162" s="5">
        <v>222</v>
      </c>
      <c r="F162" s="5">
        <f>ROUND(Source!AO158,O162)</f>
        <v>0</v>
      </c>
      <c r="G162" s="5" t="s">
        <v>195</v>
      </c>
      <c r="H162" s="5" t="s">
        <v>196</v>
      </c>
      <c r="I162" s="5"/>
      <c r="J162" s="5"/>
      <c r="K162" s="5">
        <v>222</v>
      </c>
      <c r="L162" s="5">
        <v>3</v>
      </c>
      <c r="M162" s="5">
        <v>3</v>
      </c>
      <c r="N162" s="5" t="s">
        <v>3</v>
      </c>
      <c r="O162" s="5">
        <v>2</v>
      </c>
      <c r="P162" s="5">
        <f>ROUND(Source!EG158,O162)</f>
        <v>0</v>
      </c>
      <c r="Q162" s="5"/>
      <c r="R162" s="5"/>
      <c r="S162" s="5"/>
      <c r="T162" s="5"/>
      <c r="U162" s="5"/>
      <c r="V162" s="5"/>
      <c r="W162" s="5"/>
    </row>
    <row r="163" spans="1:23" x14ac:dyDescent="0.2">
      <c r="A163" s="5">
        <v>50</v>
      </c>
      <c r="B163" s="5">
        <v>0</v>
      </c>
      <c r="C163" s="5">
        <v>0</v>
      </c>
      <c r="D163" s="5">
        <v>1</v>
      </c>
      <c r="E163" s="5">
        <v>225</v>
      </c>
      <c r="F163" s="5">
        <f>ROUND(Source!AV158,O163)</f>
        <v>45112.6</v>
      </c>
      <c r="G163" s="5" t="s">
        <v>197</v>
      </c>
      <c r="H163" s="5" t="s">
        <v>198</v>
      </c>
      <c r="I163" s="5"/>
      <c r="J163" s="5"/>
      <c r="K163" s="5">
        <v>225</v>
      </c>
      <c r="L163" s="5">
        <v>4</v>
      </c>
      <c r="M163" s="5">
        <v>3</v>
      </c>
      <c r="N163" s="5" t="s">
        <v>3</v>
      </c>
      <c r="O163" s="5">
        <v>2</v>
      </c>
      <c r="P163" s="5">
        <f>ROUND(Source!EN158,O163)</f>
        <v>230016.06</v>
      </c>
      <c r="Q163" s="5"/>
      <c r="R163" s="5"/>
      <c r="S163" s="5"/>
      <c r="T163" s="5"/>
      <c r="U163" s="5"/>
      <c r="V163" s="5"/>
      <c r="W163" s="5"/>
    </row>
    <row r="164" spans="1:23" x14ac:dyDescent="0.2">
      <c r="A164" s="5">
        <v>50</v>
      </c>
      <c r="B164" s="5">
        <v>1</v>
      </c>
      <c r="C164" s="5">
        <v>0</v>
      </c>
      <c r="D164" s="5">
        <v>1</v>
      </c>
      <c r="E164" s="5">
        <v>226</v>
      </c>
      <c r="F164" s="5">
        <f>ROUND(Source!AW158,O164)</f>
        <v>13732.23</v>
      </c>
      <c r="G164" s="5" t="s">
        <v>199</v>
      </c>
      <c r="H164" s="5" t="s">
        <v>200</v>
      </c>
      <c r="I164" s="5"/>
      <c r="J164" s="5"/>
      <c r="K164" s="5">
        <v>226</v>
      </c>
      <c r="L164" s="5">
        <v>5</v>
      </c>
      <c r="M164" s="5">
        <v>0</v>
      </c>
      <c r="N164" s="5" t="s">
        <v>3</v>
      </c>
      <c r="O164" s="5">
        <v>2</v>
      </c>
      <c r="P164" s="5">
        <f>ROUND(Source!EO158,O164)</f>
        <v>69991.850000000006</v>
      </c>
      <c r="Q164" s="5"/>
      <c r="R164" s="5"/>
      <c r="S164" s="5"/>
      <c r="T164" s="5"/>
      <c r="U164" s="5"/>
      <c r="V164" s="5"/>
      <c r="W164" s="5"/>
    </row>
    <row r="165" spans="1:23" x14ac:dyDescent="0.2">
      <c r="A165" s="5">
        <v>50</v>
      </c>
      <c r="B165" s="5">
        <v>0</v>
      </c>
      <c r="C165" s="5">
        <v>0</v>
      </c>
      <c r="D165" s="5">
        <v>1</v>
      </c>
      <c r="E165" s="5">
        <v>227</v>
      </c>
      <c r="F165" s="5">
        <f>ROUND(Source!AX158,O165)</f>
        <v>0</v>
      </c>
      <c r="G165" s="5" t="s">
        <v>201</v>
      </c>
      <c r="H165" s="5" t="s">
        <v>202</v>
      </c>
      <c r="I165" s="5"/>
      <c r="J165" s="5"/>
      <c r="K165" s="5">
        <v>227</v>
      </c>
      <c r="L165" s="5">
        <v>6</v>
      </c>
      <c r="M165" s="5">
        <v>3</v>
      </c>
      <c r="N165" s="5" t="s">
        <v>3</v>
      </c>
      <c r="O165" s="5">
        <v>2</v>
      </c>
      <c r="P165" s="5">
        <f>ROUND(Source!EP158,O165)</f>
        <v>0</v>
      </c>
      <c r="Q165" s="5"/>
      <c r="R165" s="5"/>
      <c r="S165" s="5"/>
      <c r="T165" s="5"/>
      <c r="U165" s="5"/>
      <c r="V165" s="5"/>
      <c r="W165" s="5"/>
    </row>
    <row r="166" spans="1:23" x14ac:dyDescent="0.2">
      <c r="A166" s="5">
        <v>50</v>
      </c>
      <c r="B166" s="5">
        <v>0</v>
      </c>
      <c r="C166" s="5">
        <v>0</v>
      </c>
      <c r="D166" s="5">
        <v>1</v>
      </c>
      <c r="E166" s="5">
        <v>228</v>
      </c>
      <c r="F166" s="5">
        <f>ROUND(Source!AY158,O166)</f>
        <v>13732.23</v>
      </c>
      <c r="G166" s="5" t="s">
        <v>203</v>
      </c>
      <c r="H166" s="5" t="s">
        <v>204</v>
      </c>
      <c r="I166" s="5"/>
      <c r="J166" s="5"/>
      <c r="K166" s="5">
        <v>228</v>
      </c>
      <c r="L166" s="5">
        <v>7</v>
      </c>
      <c r="M166" s="5">
        <v>3</v>
      </c>
      <c r="N166" s="5" t="s">
        <v>3</v>
      </c>
      <c r="O166" s="5">
        <v>2</v>
      </c>
      <c r="P166" s="5">
        <f>ROUND(Source!EQ158,O166)</f>
        <v>69991.850000000006</v>
      </c>
      <c r="Q166" s="5"/>
      <c r="R166" s="5"/>
      <c r="S166" s="5"/>
      <c r="T166" s="5"/>
      <c r="U166" s="5"/>
      <c r="V166" s="5"/>
      <c r="W166" s="5"/>
    </row>
    <row r="167" spans="1:23" x14ac:dyDescent="0.2">
      <c r="A167" s="5">
        <v>50</v>
      </c>
      <c r="B167" s="5">
        <v>1</v>
      </c>
      <c r="C167" s="5">
        <v>0</v>
      </c>
      <c r="D167" s="5">
        <v>1</v>
      </c>
      <c r="E167" s="5">
        <v>216</v>
      </c>
      <c r="F167" s="5">
        <f>ROUND(Source!AP158,O167)</f>
        <v>31380.37</v>
      </c>
      <c r="G167" s="5" t="s">
        <v>205</v>
      </c>
      <c r="H167" s="5" t="s">
        <v>206</v>
      </c>
      <c r="I167" s="5"/>
      <c r="J167" s="5"/>
      <c r="K167" s="5">
        <v>216</v>
      </c>
      <c r="L167" s="5">
        <v>8</v>
      </c>
      <c r="M167" s="5">
        <v>0</v>
      </c>
      <c r="N167" s="5" t="s">
        <v>3</v>
      </c>
      <c r="O167" s="5">
        <v>2</v>
      </c>
      <c r="P167" s="5">
        <f>ROUND(Source!EH158,O167)</f>
        <v>160024.21</v>
      </c>
      <c r="Q167" s="5"/>
      <c r="R167" s="5"/>
      <c r="S167" s="5"/>
      <c r="T167" s="5"/>
      <c r="U167" s="5"/>
      <c r="V167" s="5"/>
      <c r="W167" s="5"/>
    </row>
    <row r="168" spans="1:23" x14ac:dyDescent="0.2">
      <c r="A168" s="5">
        <v>50</v>
      </c>
      <c r="B168" s="5">
        <v>0</v>
      </c>
      <c r="C168" s="5">
        <v>0</v>
      </c>
      <c r="D168" s="5">
        <v>1</v>
      </c>
      <c r="E168" s="5">
        <v>223</v>
      </c>
      <c r="F168" s="5">
        <f>ROUND(Source!AQ158,O168)</f>
        <v>0</v>
      </c>
      <c r="G168" s="5" t="s">
        <v>207</v>
      </c>
      <c r="H168" s="5" t="s">
        <v>208</v>
      </c>
      <c r="I168" s="5"/>
      <c r="J168" s="5"/>
      <c r="K168" s="5">
        <v>223</v>
      </c>
      <c r="L168" s="5">
        <v>9</v>
      </c>
      <c r="M168" s="5">
        <v>3</v>
      </c>
      <c r="N168" s="5" t="s">
        <v>3</v>
      </c>
      <c r="O168" s="5">
        <v>2</v>
      </c>
      <c r="P168" s="5">
        <f>ROUND(Source!EI158,O168)</f>
        <v>0</v>
      </c>
      <c r="Q168" s="5"/>
      <c r="R168" s="5"/>
      <c r="S168" s="5"/>
      <c r="T168" s="5"/>
      <c r="U168" s="5"/>
      <c r="V168" s="5"/>
      <c r="W168" s="5"/>
    </row>
    <row r="169" spans="1:23" x14ac:dyDescent="0.2">
      <c r="A169" s="5">
        <v>50</v>
      </c>
      <c r="B169" s="5">
        <v>0</v>
      </c>
      <c r="C169" s="5">
        <v>0</v>
      </c>
      <c r="D169" s="5">
        <v>1</v>
      </c>
      <c r="E169" s="5">
        <v>229</v>
      </c>
      <c r="F169" s="5">
        <f>ROUND(Source!AZ158,O169)</f>
        <v>31380.37</v>
      </c>
      <c r="G169" s="5" t="s">
        <v>209</v>
      </c>
      <c r="H169" s="5" t="s">
        <v>210</v>
      </c>
      <c r="I169" s="5"/>
      <c r="J169" s="5"/>
      <c r="K169" s="5">
        <v>229</v>
      </c>
      <c r="L169" s="5">
        <v>10</v>
      </c>
      <c r="M169" s="5">
        <v>3</v>
      </c>
      <c r="N169" s="5" t="s">
        <v>3</v>
      </c>
      <c r="O169" s="5">
        <v>2</v>
      </c>
      <c r="P169" s="5">
        <f>ROUND(Source!ER158,O169)</f>
        <v>160024.21</v>
      </c>
      <c r="Q169" s="5"/>
      <c r="R169" s="5"/>
      <c r="S169" s="5"/>
      <c r="T169" s="5"/>
      <c r="U169" s="5"/>
      <c r="V169" s="5"/>
      <c r="W169" s="5"/>
    </row>
    <row r="170" spans="1:23" x14ac:dyDescent="0.2">
      <c r="A170" s="5">
        <v>50</v>
      </c>
      <c r="B170" s="5">
        <v>1</v>
      </c>
      <c r="C170" s="5">
        <v>0</v>
      </c>
      <c r="D170" s="5">
        <v>1</v>
      </c>
      <c r="E170" s="5">
        <v>203</v>
      </c>
      <c r="F170" s="5">
        <f>ROUND(Source!Q158,O170)</f>
        <v>2439.44</v>
      </c>
      <c r="G170" s="5" t="s">
        <v>211</v>
      </c>
      <c r="H170" s="5" t="s">
        <v>212</v>
      </c>
      <c r="I170" s="5"/>
      <c r="J170" s="5"/>
      <c r="K170" s="5">
        <v>203</v>
      </c>
      <c r="L170" s="5">
        <v>11</v>
      </c>
      <c r="M170" s="5">
        <v>0</v>
      </c>
      <c r="N170" s="5" t="s">
        <v>3</v>
      </c>
      <c r="O170" s="5">
        <v>2</v>
      </c>
      <c r="P170" s="5">
        <f>ROUND(Source!DI158,O170)</f>
        <v>21326.73</v>
      </c>
      <c r="Q170" s="5"/>
      <c r="R170" s="5"/>
      <c r="S170" s="5"/>
      <c r="T170" s="5"/>
      <c r="U170" s="5"/>
      <c r="V170" s="5"/>
      <c r="W170" s="5"/>
    </row>
    <row r="171" spans="1:23" x14ac:dyDescent="0.2">
      <c r="A171" s="5">
        <v>50</v>
      </c>
      <c r="B171" s="5">
        <v>0</v>
      </c>
      <c r="C171" s="5">
        <v>0</v>
      </c>
      <c r="D171" s="5">
        <v>1</v>
      </c>
      <c r="E171" s="5">
        <v>231</v>
      </c>
      <c r="F171" s="5">
        <f>ROUND(Source!BB158,O171)</f>
        <v>0</v>
      </c>
      <c r="G171" s="5" t="s">
        <v>213</v>
      </c>
      <c r="H171" s="5" t="s">
        <v>214</v>
      </c>
      <c r="I171" s="5"/>
      <c r="J171" s="5"/>
      <c r="K171" s="5">
        <v>231</v>
      </c>
      <c r="L171" s="5">
        <v>12</v>
      </c>
      <c r="M171" s="5">
        <v>3</v>
      </c>
      <c r="N171" s="5" t="s">
        <v>3</v>
      </c>
      <c r="O171" s="5">
        <v>2</v>
      </c>
      <c r="P171" s="5">
        <f>ROUND(Source!ET158,O171)</f>
        <v>0</v>
      </c>
      <c r="Q171" s="5"/>
      <c r="R171" s="5"/>
      <c r="S171" s="5"/>
      <c r="T171" s="5"/>
      <c r="U171" s="5"/>
      <c r="V171" s="5"/>
      <c r="W171" s="5"/>
    </row>
    <row r="172" spans="1:23" x14ac:dyDescent="0.2">
      <c r="A172" s="5">
        <v>50</v>
      </c>
      <c r="B172" s="5">
        <v>1</v>
      </c>
      <c r="C172" s="5">
        <v>0</v>
      </c>
      <c r="D172" s="5">
        <v>1</v>
      </c>
      <c r="E172" s="5">
        <v>204</v>
      </c>
      <c r="F172" s="5">
        <f>ROUND(Source!R158,O172)</f>
        <v>517.96</v>
      </c>
      <c r="G172" s="5" t="s">
        <v>215</v>
      </c>
      <c r="H172" s="5" t="s">
        <v>216</v>
      </c>
      <c r="I172" s="5"/>
      <c r="J172" s="5"/>
      <c r="K172" s="5">
        <v>204</v>
      </c>
      <c r="L172" s="5">
        <v>13</v>
      </c>
      <c r="M172" s="5">
        <v>0</v>
      </c>
      <c r="N172" s="5" t="s">
        <v>3</v>
      </c>
      <c r="O172" s="5">
        <v>2</v>
      </c>
      <c r="P172" s="5">
        <f>ROUND(Source!DJ158,O172)</f>
        <v>11234.55</v>
      </c>
      <c r="Q172" s="5"/>
      <c r="R172" s="5"/>
      <c r="S172" s="5"/>
      <c r="T172" s="5"/>
      <c r="U172" s="5"/>
      <c r="V172" s="5"/>
      <c r="W172" s="5"/>
    </row>
    <row r="173" spans="1:23" x14ac:dyDescent="0.2">
      <c r="A173" s="5">
        <v>50</v>
      </c>
      <c r="B173" s="5">
        <v>1</v>
      </c>
      <c r="C173" s="5">
        <v>0</v>
      </c>
      <c r="D173" s="5">
        <v>1</v>
      </c>
      <c r="E173" s="5">
        <v>205</v>
      </c>
      <c r="F173" s="5">
        <f>ROUND(Source!S158,O173)</f>
        <v>2566.12</v>
      </c>
      <c r="G173" s="5" t="s">
        <v>217</v>
      </c>
      <c r="H173" s="5" t="s">
        <v>218</v>
      </c>
      <c r="I173" s="5"/>
      <c r="J173" s="5"/>
      <c r="K173" s="5">
        <v>205</v>
      </c>
      <c r="L173" s="5">
        <v>14</v>
      </c>
      <c r="M173" s="5">
        <v>0</v>
      </c>
      <c r="N173" s="5" t="s">
        <v>3</v>
      </c>
      <c r="O173" s="5">
        <v>2</v>
      </c>
      <c r="P173" s="5">
        <f>ROUND(Source!DK158,O173)</f>
        <v>55659.08</v>
      </c>
      <c r="Q173" s="5"/>
      <c r="R173" s="5"/>
      <c r="S173" s="5"/>
      <c r="T173" s="5"/>
      <c r="U173" s="5"/>
      <c r="V173" s="5"/>
      <c r="W173" s="5"/>
    </row>
    <row r="174" spans="1:23" x14ac:dyDescent="0.2">
      <c r="A174" s="5">
        <v>50</v>
      </c>
      <c r="B174" s="5">
        <v>0</v>
      </c>
      <c r="C174" s="5">
        <v>0</v>
      </c>
      <c r="D174" s="5">
        <v>1</v>
      </c>
      <c r="E174" s="5">
        <v>232</v>
      </c>
      <c r="F174" s="5">
        <f>ROUND(Source!BC158,O174)</f>
        <v>0</v>
      </c>
      <c r="G174" s="5" t="s">
        <v>219</v>
      </c>
      <c r="H174" s="5" t="s">
        <v>220</v>
      </c>
      <c r="I174" s="5"/>
      <c r="J174" s="5"/>
      <c r="K174" s="5">
        <v>232</v>
      </c>
      <c r="L174" s="5">
        <v>15</v>
      </c>
      <c r="M174" s="5">
        <v>3</v>
      </c>
      <c r="N174" s="5" t="s">
        <v>3</v>
      </c>
      <c r="O174" s="5">
        <v>2</v>
      </c>
      <c r="P174" s="5">
        <f>ROUND(Source!EU158,O174)</f>
        <v>0</v>
      </c>
      <c r="Q174" s="5"/>
      <c r="R174" s="5"/>
      <c r="S174" s="5"/>
      <c r="T174" s="5"/>
      <c r="U174" s="5"/>
      <c r="V174" s="5"/>
      <c r="W174" s="5"/>
    </row>
    <row r="175" spans="1:23" x14ac:dyDescent="0.2">
      <c r="A175" s="5">
        <v>50</v>
      </c>
      <c r="B175" s="5">
        <v>1</v>
      </c>
      <c r="C175" s="5">
        <v>0</v>
      </c>
      <c r="D175" s="5">
        <v>1</v>
      </c>
      <c r="E175" s="5">
        <v>214</v>
      </c>
      <c r="F175" s="5">
        <f>ROUND(Source!AS158,O175)</f>
        <v>140.06</v>
      </c>
      <c r="G175" s="5" t="s">
        <v>221</v>
      </c>
      <c r="H175" s="5" t="s">
        <v>222</v>
      </c>
      <c r="I175" s="5"/>
      <c r="J175" s="5"/>
      <c r="K175" s="5">
        <v>214</v>
      </c>
      <c r="L175" s="5">
        <v>16</v>
      </c>
      <c r="M175" s="5">
        <v>0</v>
      </c>
      <c r="N175" s="5" t="s">
        <v>3</v>
      </c>
      <c r="O175" s="5">
        <v>2</v>
      </c>
      <c r="P175" s="5">
        <f>ROUND(Source!EK158,O175)</f>
        <v>5720.34</v>
      </c>
      <c r="Q175" s="5"/>
      <c r="R175" s="5"/>
      <c r="S175" s="5"/>
      <c r="T175" s="5"/>
      <c r="U175" s="5"/>
      <c r="V175" s="5"/>
      <c r="W175" s="5"/>
    </row>
    <row r="176" spans="1:23" x14ac:dyDescent="0.2">
      <c r="A176" s="5">
        <v>50</v>
      </c>
      <c r="B176" s="5">
        <v>1</v>
      </c>
      <c r="C176" s="5">
        <v>0</v>
      </c>
      <c r="D176" s="5">
        <v>1</v>
      </c>
      <c r="E176" s="5">
        <v>215</v>
      </c>
      <c r="F176" s="5">
        <f>ROUND(Source!AT158,O176)</f>
        <v>18078.689999999999</v>
      </c>
      <c r="G176" s="5" t="s">
        <v>223</v>
      </c>
      <c r="H176" s="5" t="s">
        <v>224</v>
      </c>
      <c r="I176" s="5"/>
      <c r="J176" s="5"/>
      <c r="K176" s="5">
        <v>215</v>
      </c>
      <c r="L176" s="5">
        <v>17</v>
      </c>
      <c r="M176" s="5">
        <v>0</v>
      </c>
      <c r="N176" s="5" t="s">
        <v>3</v>
      </c>
      <c r="O176" s="5">
        <v>2</v>
      </c>
      <c r="P176" s="5">
        <f>ROUND(Source!EL158,O176)</f>
        <v>199926.99</v>
      </c>
      <c r="Q176" s="5"/>
      <c r="R176" s="5"/>
      <c r="S176" s="5"/>
      <c r="T176" s="5"/>
      <c r="U176" s="5"/>
      <c r="V176" s="5"/>
      <c r="W176" s="5"/>
    </row>
    <row r="177" spans="1:27" x14ac:dyDescent="0.2">
      <c r="A177" s="5">
        <v>50</v>
      </c>
      <c r="B177" s="5">
        <v>1</v>
      </c>
      <c r="C177" s="5">
        <v>0</v>
      </c>
      <c r="D177" s="5">
        <v>1</v>
      </c>
      <c r="E177" s="5">
        <v>217</v>
      </c>
      <c r="F177" s="5">
        <f>ROUND(Source!AU158,O177)</f>
        <v>519.04</v>
      </c>
      <c r="G177" s="5" t="s">
        <v>225</v>
      </c>
      <c r="H177" s="5" t="s">
        <v>226</v>
      </c>
      <c r="I177" s="5"/>
      <c r="J177" s="5"/>
      <c r="K177" s="5">
        <v>217</v>
      </c>
      <c r="L177" s="5">
        <v>18</v>
      </c>
      <c r="M177" s="5">
        <v>0</v>
      </c>
      <c r="N177" s="5" t="s">
        <v>3</v>
      </c>
      <c r="O177" s="5">
        <v>2</v>
      </c>
      <c r="P177" s="5">
        <f>ROUND(Source!EM158,O177)</f>
        <v>23529.18</v>
      </c>
      <c r="Q177" s="5"/>
      <c r="R177" s="5"/>
      <c r="S177" s="5"/>
      <c r="T177" s="5"/>
      <c r="U177" s="5"/>
      <c r="V177" s="5"/>
      <c r="W177" s="5"/>
    </row>
    <row r="178" spans="1:27" x14ac:dyDescent="0.2">
      <c r="A178" s="5">
        <v>50</v>
      </c>
      <c r="B178" s="5">
        <v>0</v>
      </c>
      <c r="C178" s="5">
        <v>0</v>
      </c>
      <c r="D178" s="5">
        <v>1</v>
      </c>
      <c r="E178" s="5">
        <v>230</v>
      </c>
      <c r="F178" s="5">
        <f>ROUND(Source!BA158,O178)</f>
        <v>0</v>
      </c>
      <c r="G178" s="5" t="s">
        <v>227</v>
      </c>
      <c r="H178" s="5" t="s">
        <v>228</v>
      </c>
      <c r="I178" s="5"/>
      <c r="J178" s="5"/>
      <c r="K178" s="5">
        <v>230</v>
      </c>
      <c r="L178" s="5">
        <v>19</v>
      </c>
      <c r="M178" s="5">
        <v>3</v>
      </c>
      <c r="N178" s="5" t="s">
        <v>3</v>
      </c>
      <c r="O178" s="5">
        <v>2</v>
      </c>
      <c r="P178" s="5">
        <f>ROUND(Source!ES158,O178)</f>
        <v>0</v>
      </c>
      <c r="Q178" s="5"/>
      <c r="R178" s="5"/>
      <c r="S178" s="5"/>
      <c r="T178" s="5"/>
      <c r="U178" s="5"/>
      <c r="V178" s="5"/>
      <c r="W178" s="5"/>
    </row>
    <row r="179" spans="1:27" x14ac:dyDescent="0.2">
      <c r="A179" s="5">
        <v>50</v>
      </c>
      <c r="B179" s="5">
        <v>0</v>
      </c>
      <c r="C179" s="5">
        <v>0</v>
      </c>
      <c r="D179" s="5">
        <v>1</v>
      </c>
      <c r="E179" s="5">
        <v>206</v>
      </c>
      <c r="F179" s="5">
        <f>ROUND(Source!T158,O179)</f>
        <v>0</v>
      </c>
      <c r="G179" s="5" t="s">
        <v>229</v>
      </c>
      <c r="H179" s="5" t="s">
        <v>230</v>
      </c>
      <c r="I179" s="5"/>
      <c r="J179" s="5"/>
      <c r="K179" s="5">
        <v>206</v>
      </c>
      <c r="L179" s="5">
        <v>20</v>
      </c>
      <c r="M179" s="5">
        <v>3</v>
      </c>
      <c r="N179" s="5" t="s">
        <v>3</v>
      </c>
      <c r="O179" s="5">
        <v>2</v>
      </c>
      <c r="P179" s="5">
        <f>ROUND(Source!DL158,O179)</f>
        <v>0</v>
      </c>
      <c r="Q179" s="5"/>
      <c r="R179" s="5"/>
      <c r="S179" s="5"/>
      <c r="T179" s="5"/>
      <c r="U179" s="5"/>
      <c r="V179" s="5"/>
      <c r="W179" s="5"/>
    </row>
    <row r="180" spans="1:27" x14ac:dyDescent="0.2">
      <c r="A180" s="5">
        <v>50</v>
      </c>
      <c r="B180" s="5">
        <v>1</v>
      </c>
      <c r="C180" s="5">
        <v>0</v>
      </c>
      <c r="D180" s="5">
        <v>1</v>
      </c>
      <c r="E180" s="5">
        <v>207</v>
      </c>
      <c r="F180" s="5">
        <f>ROUND(Source!U158,O180)</f>
        <v>183.85</v>
      </c>
      <c r="G180" s="5" t="s">
        <v>231</v>
      </c>
      <c r="H180" s="5" t="s">
        <v>232</v>
      </c>
      <c r="I180" s="5"/>
      <c r="J180" s="5"/>
      <c r="K180" s="5">
        <v>207</v>
      </c>
      <c r="L180" s="5">
        <v>21</v>
      </c>
      <c r="M180" s="5">
        <v>0</v>
      </c>
      <c r="N180" s="5" t="s">
        <v>3</v>
      </c>
      <c r="O180" s="5">
        <v>2</v>
      </c>
      <c r="P180" s="5">
        <f>ROUND(Source!DM158,O180)</f>
        <v>183.85</v>
      </c>
      <c r="Q180" s="5"/>
      <c r="R180" s="5"/>
      <c r="S180" s="5"/>
      <c r="T180" s="5"/>
      <c r="U180" s="5"/>
      <c r="V180" s="5"/>
      <c r="W180" s="5"/>
    </row>
    <row r="181" spans="1:27" x14ac:dyDescent="0.2">
      <c r="A181" s="5">
        <v>50</v>
      </c>
      <c r="B181" s="5">
        <v>0</v>
      </c>
      <c r="C181" s="5">
        <v>0</v>
      </c>
      <c r="D181" s="5">
        <v>1</v>
      </c>
      <c r="E181" s="5">
        <v>208</v>
      </c>
      <c r="F181" s="5">
        <f>Source!V158</f>
        <v>0</v>
      </c>
      <c r="G181" s="5" t="s">
        <v>233</v>
      </c>
      <c r="H181" s="5" t="s">
        <v>234</v>
      </c>
      <c r="I181" s="5"/>
      <c r="J181" s="5"/>
      <c r="K181" s="5">
        <v>208</v>
      </c>
      <c r="L181" s="5">
        <v>22</v>
      </c>
      <c r="M181" s="5">
        <v>3</v>
      </c>
      <c r="N181" s="5" t="s">
        <v>3</v>
      </c>
      <c r="O181" s="5">
        <v>-1</v>
      </c>
      <c r="P181" s="5">
        <f>Source!DN158</f>
        <v>0</v>
      </c>
      <c r="Q181" s="5"/>
      <c r="R181" s="5"/>
      <c r="S181" s="5"/>
      <c r="T181" s="5"/>
      <c r="U181" s="5"/>
      <c r="V181" s="5"/>
      <c r="W181" s="5"/>
    </row>
    <row r="182" spans="1:27" x14ac:dyDescent="0.2">
      <c r="A182" s="5">
        <v>50</v>
      </c>
      <c r="B182" s="5">
        <v>0</v>
      </c>
      <c r="C182" s="5">
        <v>0</v>
      </c>
      <c r="D182" s="5">
        <v>1</v>
      </c>
      <c r="E182" s="5">
        <v>209</v>
      </c>
      <c r="F182" s="5">
        <f>ROUND(Source!W158,O182)</f>
        <v>0</v>
      </c>
      <c r="G182" s="5" t="s">
        <v>235</v>
      </c>
      <c r="H182" s="5" t="s">
        <v>236</v>
      </c>
      <c r="I182" s="5"/>
      <c r="J182" s="5"/>
      <c r="K182" s="5">
        <v>209</v>
      </c>
      <c r="L182" s="5">
        <v>23</v>
      </c>
      <c r="M182" s="5">
        <v>3</v>
      </c>
      <c r="N182" s="5" t="s">
        <v>3</v>
      </c>
      <c r="O182" s="5">
        <v>2</v>
      </c>
      <c r="P182" s="5">
        <f>ROUND(Source!DO158,O182)</f>
        <v>0</v>
      </c>
      <c r="Q182" s="5"/>
      <c r="R182" s="5"/>
      <c r="S182" s="5"/>
      <c r="T182" s="5"/>
      <c r="U182" s="5"/>
      <c r="V182" s="5"/>
      <c r="W182" s="5"/>
    </row>
    <row r="183" spans="1:27" x14ac:dyDescent="0.2">
      <c r="A183" s="5">
        <v>50</v>
      </c>
      <c r="B183" s="5">
        <v>1</v>
      </c>
      <c r="C183" s="5">
        <v>0</v>
      </c>
      <c r="D183" s="5">
        <v>1</v>
      </c>
      <c r="E183" s="5">
        <v>210</v>
      </c>
      <c r="F183" s="5">
        <f>ROUND(Source!X158,O183)</f>
        <v>0</v>
      </c>
      <c r="G183" s="5" t="s">
        <v>237</v>
      </c>
      <c r="H183" s="5" t="s">
        <v>238</v>
      </c>
      <c r="I183" s="5"/>
      <c r="J183" s="5"/>
      <c r="K183" s="5">
        <v>210</v>
      </c>
      <c r="L183" s="5">
        <v>24</v>
      </c>
      <c r="M183" s="5">
        <v>0</v>
      </c>
      <c r="N183" s="5" t="s">
        <v>3</v>
      </c>
      <c r="O183" s="5">
        <v>2</v>
      </c>
      <c r="P183" s="5">
        <f>ROUND(Source!DP158,O183)</f>
        <v>41740.36</v>
      </c>
      <c r="Q183" s="5"/>
      <c r="R183" s="5"/>
      <c r="S183" s="5"/>
      <c r="T183" s="5"/>
      <c r="U183" s="5"/>
      <c r="V183" s="5"/>
      <c r="W183" s="5"/>
    </row>
    <row r="184" spans="1:27" x14ac:dyDescent="0.2">
      <c r="A184" s="5">
        <v>50</v>
      </c>
      <c r="B184" s="5">
        <v>1</v>
      </c>
      <c r="C184" s="5">
        <v>0</v>
      </c>
      <c r="D184" s="5">
        <v>1</v>
      </c>
      <c r="E184" s="5">
        <v>211</v>
      </c>
      <c r="F184" s="5">
        <f>ROUND(Source!Y158,O184)</f>
        <v>0</v>
      </c>
      <c r="G184" s="5" t="s">
        <v>239</v>
      </c>
      <c r="H184" s="5" t="s">
        <v>240</v>
      </c>
      <c r="I184" s="5"/>
      <c r="J184" s="5"/>
      <c r="K184" s="5">
        <v>211</v>
      </c>
      <c r="L184" s="5">
        <v>25</v>
      </c>
      <c r="M184" s="5">
        <v>0</v>
      </c>
      <c r="N184" s="5" t="s">
        <v>3</v>
      </c>
      <c r="O184" s="5">
        <v>2</v>
      </c>
      <c r="P184" s="5">
        <f>ROUND(Source!DQ158,O184)</f>
        <v>22820.23</v>
      </c>
      <c r="Q184" s="5"/>
      <c r="R184" s="5"/>
      <c r="S184" s="5"/>
      <c r="T184" s="5"/>
      <c r="U184" s="5"/>
      <c r="V184" s="5"/>
      <c r="W184" s="5"/>
    </row>
    <row r="185" spans="1:27" x14ac:dyDescent="0.2">
      <c r="A185" s="5">
        <v>50</v>
      </c>
      <c r="B185" s="5">
        <v>1</v>
      </c>
      <c r="C185" s="5">
        <v>0</v>
      </c>
      <c r="D185" s="5">
        <v>1</v>
      </c>
      <c r="E185" s="5">
        <v>224</v>
      </c>
      <c r="F185" s="5">
        <f>ROUND(Source!AR158,O185)</f>
        <v>50118.16</v>
      </c>
      <c r="G185" s="5" t="s">
        <v>241</v>
      </c>
      <c r="H185" s="5" t="s">
        <v>242</v>
      </c>
      <c r="I185" s="5"/>
      <c r="J185" s="5"/>
      <c r="K185" s="5">
        <v>224</v>
      </c>
      <c r="L185" s="5">
        <v>26</v>
      </c>
      <c r="M185" s="5">
        <v>0</v>
      </c>
      <c r="N185" s="5" t="s">
        <v>3</v>
      </c>
      <c r="O185" s="5">
        <v>2</v>
      </c>
      <c r="P185" s="5">
        <f>ROUND(Source!EJ158,O185)</f>
        <v>389200.72</v>
      </c>
      <c r="Q185" s="5"/>
      <c r="R185" s="5"/>
      <c r="S185" s="5"/>
      <c r="T185" s="5"/>
      <c r="U185" s="5"/>
      <c r="V185" s="5"/>
      <c r="W185" s="5"/>
    </row>
    <row r="188" spans="1:27" x14ac:dyDescent="0.2">
      <c r="A188">
        <v>-1</v>
      </c>
    </row>
    <row r="190" spans="1:27" x14ac:dyDescent="0.2">
      <c r="A190" s="4">
        <v>75</v>
      </c>
      <c r="B190" s="4" t="s">
        <v>243</v>
      </c>
      <c r="C190" s="4">
        <v>2019</v>
      </c>
      <c r="D190" s="4">
        <v>0</v>
      </c>
      <c r="E190" s="4">
        <v>2</v>
      </c>
      <c r="F190" s="4"/>
      <c r="G190" s="4">
        <v>0</v>
      </c>
      <c r="H190" s="4">
        <v>2</v>
      </c>
      <c r="I190" s="4">
        <v>1</v>
      </c>
      <c r="J190" s="4">
        <v>1</v>
      </c>
      <c r="K190" s="4">
        <v>93</v>
      </c>
      <c r="L190" s="4">
        <v>64</v>
      </c>
      <c r="M190" s="4">
        <v>1</v>
      </c>
      <c r="N190" s="4">
        <v>55106052</v>
      </c>
      <c r="O190" s="4">
        <v>1</v>
      </c>
    </row>
    <row r="191" spans="1:27" x14ac:dyDescent="0.2">
      <c r="A191" s="6">
        <v>1</v>
      </c>
      <c r="B191" s="6" t="s">
        <v>244</v>
      </c>
      <c r="C191" s="6" t="s">
        <v>245</v>
      </c>
      <c r="D191" s="6">
        <v>2019</v>
      </c>
      <c r="E191" s="6">
        <v>5</v>
      </c>
      <c r="F191" s="6">
        <v>1</v>
      </c>
      <c r="G191" s="6">
        <v>1</v>
      </c>
      <c r="H191" s="6">
        <v>0</v>
      </c>
      <c r="I191" s="6">
        <v>2</v>
      </c>
      <c r="J191" s="6">
        <v>1</v>
      </c>
      <c r="K191" s="6">
        <v>5.41</v>
      </c>
      <c r="L191" s="6">
        <v>4.3899999999999997</v>
      </c>
      <c r="M191" s="6">
        <v>1</v>
      </c>
      <c r="N191" s="6">
        <v>1</v>
      </c>
      <c r="O191" s="6">
        <v>5.41</v>
      </c>
      <c r="P191" s="6">
        <v>4.3899999999999997</v>
      </c>
      <c r="Q191" s="6">
        <v>1</v>
      </c>
      <c r="R191" s="6" t="s">
        <v>3</v>
      </c>
      <c r="S191" s="6" t="s">
        <v>3</v>
      </c>
      <c r="T191" s="6" t="s">
        <v>3</v>
      </c>
      <c r="U191" s="6" t="s">
        <v>3</v>
      </c>
      <c r="V191" s="6" t="s">
        <v>3</v>
      </c>
      <c r="W191" s="6" t="s">
        <v>3</v>
      </c>
      <c r="X191" s="6" t="s">
        <v>3</v>
      </c>
      <c r="Y191" s="6" t="s">
        <v>3</v>
      </c>
      <c r="Z191" s="6" t="s">
        <v>3</v>
      </c>
      <c r="AA191" s="6" t="s">
        <v>246</v>
      </c>
    </row>
    <row r="192" spans="1:27" x14ac:dyDescent="0.2">
      <c r="A192" s="6">
        <v>1</v>
      </c>
      <c r="B192" s="6" t="s">
        <v>244</v>
      </c>
      <c r="C192" s="6" t="s">
        <v>247</v>
      </c>
      <c r="D192" s="6">
        <v>2019</v>
      </c>
      <c r="E192" s="6">
        <v>3</v>
      </c>
      <c r="F192" s="6">
        <v>1</v>
      </c>
      <c r="G192" s="6">
        <v>1</v>
      </c>
      <c r="H192" s="6">
        <v>0</v>
      </c>
      <c r="I192" s="6">
        <v>2</v>
      </c>
      <c r="J192" s="6">
        <v>1</v>
      </c>
      <c r="K192" s="6">
        <v>1</v>
      </c>
      <c r="L192" s="6">
        <v>1</v>
      </c>
      <c r="M192" s="6">
        <v>1</v>
      </c>
      <c r="N192" s="6">
        <v>1</v>
      </c>
      <c r="O192" s="6">
        <v>1</v>
      </c>
      <c r="P192" s="6">
        <v>1</v>
      </c>
      <c r="Q192" s="6">
        <v>1</v>
      </c>
      <c r="R192" s="6" t="s">
        <v>3</v>
      </c>
      <c r="S192" s="6" t="s">
        <v>3</v>
      </c>
      <c r="T192" s="6" t="s">
        <v>3</v>
      </c>
      <c r="U192" s="6" t="s">
        <v>3</v>
      </c>
      <c r="V192" s="6" t="s">
        <v>3</v>
      </c>
      <c r="W192" s="6" t="s">
        <v>3</v>
      </c>
      <c r="X192" s="6" t="s">
        <v>3</v>
      </c>
      <c r="Y192" s="6" t="s">
        <v>3</v>
      </c>
      <c r="Z192" s="6" t="s">
        <v>3</v>
      </c>
      <c r="AA192" s="6" t="s">
        <v>3</v>
      </c>
    </row>
    <row r="193" spans="1:15" x14ac:dyDescent="0.2">
      <c r="A193" s="4">
        <v>75</v>
      </c>
      <c r="B193" s="4" t="s">
        <v>243</v>
      </c>
      <c r="C193" s="4">
        <v>2000</v>
      </c>
      <c r="D193" s="4">
        <v>0</v>
      </c>
      <c r="E193" s="4">
        <v>1</v>
      </c>
      <c r="F193" s="4"/>
      <c r="G193" s="4">
        <v>0</v>
      </c>
      <c r="H193" s="4">
        <v>2</v>
      </c>
      <c r="I193" s="4">
        <v>1</v>
      </c>
      <c r="J193" s="4">
        <v>1</v>
      </c>
      <c r="K193" s="4">
        <v>94</v>
      </c>
      <c r="L193" s="4">
        <v>86</v>
      </c>
      <c r="M193" s="4">
        <v>0</v>
      </c>
      <c r="N193" s="4">
        <v>55106055</v>
      </c>
      <c r="O193" s="4">
        <v>2</v>
      </c>
    </row>
    <row r="197" spans="1:15" x14ac:dyDescent="0.2">
      <c r="A197">
        <v>65</v>
      </c>
      <c r="C197">
        <v>1</v>
      </c>
      <c r="D197">
        <v>0</v>
      </c>
      <c r="E197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248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  <c r="N1">
        <v>10</v>
      </c>
      <c r="O1">
        <v>1</v>
      </c>
      <c r="P1">
        <v>0</v>
      </c>
      <c r="Q1">
        <v>11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4</v>
      </c>
      <c r="H12" s="1" t="s">
        <v>3</v>
      </c>
      <c r="I12" s="1">
        <v>0</v>
      </c>
      <c r="J12" s="1" t="s">
        <v>5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180</v>
      </c>
      <c r="S12" s="1">
        <v>157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52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55106052</v>
      </c>
      <c r="E14" s="1">
        <v>55106055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13</v>
      </c>
      <c r="E16" s="8">
        <f>(Source!P146)/1000</f>
        <v>5.7203400000000002</v>
      </c>
      <c r="F16" s="8">
        <f>(Source!P147)/1000</f>
        <v>199.92698999999999</v>
      </c>
      <c r="G16" s="8">
        <f>(Source!P138)/1000</f>
        <v>160.02420999999998</v>
      </c>
      <c r="H16" s="8">
        <f>(Source!P148)/1000+(Source!P149)/1000</f>
        <v>23.52918</v>
      </c>
      <c r="I16" s="8">
        <f>E16+F16+G16+H16</f>
        <v>389.20071999999993</v>
      </c>
      <c r="J16" s="8">
        <f>(Source!P144)/1000</f>
        <v>55.659080000000003</v>
      </c>
      <c r="T16" s="9">
        <f>(Source!F146)/1000</f>
        <v>0.14005999999999999</v>
      </c>
      <c r="U16" s="9">
        <f>(Source!F147)/1000</f>
        <v>18.078689999999998</v>
      </c>
      <c r="V16" s="9">
        <f>(Source!F138)/1000</f>
        <v>31.380369999999999</v>
      </c>
      <c r="W16" s="9">
        <f>(Source!F148)/1000+(Source!F149)/1000</f>
        <v>0.51903999999999995</v>
      </c>
      <c r="X16" s="9">
        <f>T16+U16+V16+W16</f>
        <v>50.118159999999996</v>
      </c>
      <c r="Y16" s="9">
        <f>(Source!F144)/1000</f>
        <v>2.5661199999999997</v>
      </c>
      <c r="AI16" s="7">
        <v>0</v>
      </c>
      <c r="AJ16" s="7">
        <v>-1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307001.87</v>
      </c>
      <c r="AU16" s="8">
        <v>230016.06</v>
      </c>
      <c r="AV16" s="8">
        <v>0</v>
      </c>
      <c r="AW16" s="8">
        <v>160024.21</v>
      </c>
      <c r="AX16" s="8">
        <v>0</v>
      </c>
      <c r="AY16" s="8">
        <v>21326.73</v>
      </c>
      <c r="AZ16" s="8">
        <v>11234.55</v>
      </c>
      <c r="BA16" s="8">
        <v>55659.08</v>
      </c>
      <c r="BB16" s="8">
        <v>5720.34</v>
      </c>
      <c r="BC16" s="8">
        <v>199926.99</v>
      </c>
      <c r="BD16" s="8">
        <v>23529.18</v>
      </c>
      <c r="BE16" s="8">
        <v>0</v>
      </c>
      <c r="BF16" s="8">
        <v>184</v>
      </c>
      <c r="BG16" s="8">
        <v>0</v>
      </c>
      <c r="BH16" s="8">
        <v>0</v>
      </c>
      <c r="BI16" s="8">
        <v>41740.36</v>
      </c>
      <c r="BJ16" s="8">
        <v>22820.23</v>
      </c>
      <c r="BK16" s="8">
        <v>389200.72</v>
      </c>
      <c r="BR16" s="9">
        <v>50118.16</v>
      </c>
      <c r="BS16" s="9">
        <v>45112.6</v>
      </c>
      <c r="BT16" s="9">
        <v>0</v>
      </c>
      <c r="BU16" s="9">
        <v>31380.37</v>
      </c>
      <c r="BV16" s="9">
        <v>0</v>
      </c>
      <c r="BW16" s="9">
        <v>2439.44</v>
      </c>
      <c r="BX16" s="9">
        <v>517.96</v>
      </c>
      <c r="BY16" s="9">
        <v>2566.12</v>
      </c>
      <c r="BZ16" s="9">
        <v>140.06</v>
      </c>
      <c r="CA16" s="9">
        <v>18078.689999999999</v>
      </c>
      <c r="CB16" s="9">
        <v>519.04</v>
      </c>
      <c r="CC16" s="9">
        <v>0</v>
      </c>
      <c r="CD16" s="9">
        <v>184</v>
      </c>
      <c r="CE16" s="9">
        <v>0</v>
      </c>
      <c r="CF16" s="9">
        <v>0</v>
      </c>
      <c r="CG16" s="9">
        <v>0</v>
      </c>
      <c r="CH16" s="9">
        <v>0</v>
      </c>
      <c r="CI16" s="9">
        <v>50118.16</v>
      </c>
    </row>
    <row r="18" spans="1:40" x14ac:dyDescent="0.2">
      <c r="A18">
        <v>51</v>
      </c>
      <c r="E18" s="10">
        <f>SUMIF(A16:A17,3,E16:E17)</f>
        <v>5.7203400000000002</v>
      </c>
      <c r="F18" s="10">
        <f>SUMIF(A16:A17,3,F16:F17)</f>
        <v>199.92698999999999</v>
      </c>
      <c r="G18" s="10">
        <f>SUMIF(A16:A17,3,G16:G17)</f>
        <v>160.02420999999998</v>
      </c>
      <c r="H18" s="10">
        <f>SUMIF(A16:A17,3,H16:H17)</f>
        <v>23.52918</v>
      </c>
      <c r="I18" s="10">
        <f>SUMIF(A16:A17,3,I16:I17)</f>
        <v>389.20071999999993</v>
      </c>
      <c r="J18" s="10">
        <f>SUMIF(A16:A17,3,J16:J17)</f>
        <v>55.659080000000003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0.14005999999999999</v>
      </c>
      <c r="U18" s="3">
        <f>SUMIF(A16:A17,3,U16:U17)</f>
        <v>18.078689999999998</v>
      </c>
      <c r="V18" s="3">
        <f>SUMIF(A16:A17,3,V16:V17)</f>
        <v>31.380369999999999</v>
      </c>
      <c r="W18" s="3">
        <f>SUMIF(A16:A17,3,W16:W17)</f>
        <v>0.51903999999999995</v>
      </c>
      <c r="X18" s="3">
        <f>SUMIF(A16:A17,3,X16:X17)</f>
        <v>50.118159999999996</v>
      </c>
      <c r="Y18" s="3">
        <f>SUMIF(A16:A17,3,Y16:Y17)</f>
        <v>2.5661199999999997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1</v>
      </c>
      <c r="C20" s="5">
        <v>0</v>
      </c>
      <c r="D20" s="5">
        <v>1</v>
      </c>
      <c r="E20" s="5">
        <v>201</v>
      </c>
      <c r="F20" s="5">
        <v>307001.87</v>
      </c>
      <c r="G20" s="5" t="s">
        <v>191</v>
      </c>
      <c r="H20" s="5" t="s">
        <v>192</v>
      </c>
      <c r="I20" s="5"/>
      <c r="J20" s="5"/>
      <c r="K20" s="5">
        <v>201</v>
      </c>
      <c r="L20" s="5">
        <v>1</v>
      </c>
      <c r="M20" s="5">
        <v>0</v>
      </c>
      <c r="N20" s="5" t="s">
        <v>3</v>
      </c>
      <c r="O20" s="5">
        <v>2</v>
      </c>
      <c r="P20" s="5">
        <v>50118.16</v>
      </c>
    </row>
    <row r="21" spans="1:40" x14ac:dyDescent="0.2">
      <c r="A21" s="5">
        <v>50</v>
      </c>
      <c r="B21" s="5">
        <v>1</v>
      </c>
      <c r="C21" s="5">
        <v>0</v>
      </c>
      <c r="D21" s="5">
        <v>1</v>
      </c>
      <c r="E21" s="5">
        <v>202</v>
      </c>
      <c r="F21" s="5">
        <v>230016.06</v>
      </c>
      <c r="G21" s="5" t="s">
        <v>193</v>
      </c>
      <c r="H21" s="5" t="s">
        <v>194</v>
      </c>
      <c r="I21" s="5"/>
      <c r="J21" s="5"/>
      <c r="K21" s="5">
        <v>202</v>
      </c>
      <c r="L21" s="5">
        <v>2</v>
      </c>
      <c r="M21" s="5">
        <v>0</v>
      </c>
      <c r="N21" s="5" t="s">
        <v>3</v>
      </c>
      <c r="O21" s="5">
        <v>2</v>
      </c>
      <c r="P21" s="5">
        <v>45112.6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195</v>
      </c>
      <c r="H22" s="5" t="s">
        <v>196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230016.06</v>
      </c>
      <c r="G23" s="5" t="s">
        <v>197</v>
      </c>
      <c r="H23" s="5" t="s">
        <v>198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45112.6</v>
      </c>
    </row>
    <row r="24" spans="1:40" x14ac:dyDescent="0.2">
      <c r="A24" s="5">
        <v>50</v>
      </c>
      <c r="B24" s="5">
        <v>1</v>
      </c>
      <c r="C24" s="5">
        <v>0</v>
      </c>
      <c r="D24" s="5">
        <v>1</v>
      </c>
      <c r="E24" s="5">
        <v>226</v>
      </c>
      <c r="F24" s="5">
        <v>69991.850000000006</v>
      </c>
      <c r="G24" s="5" t="s">
        <v>199</v>
      </c>
      <c r="H24" s="5" t="s">
        <v>200</v>
      </c>
      <c r="I24" s="5"/>
      <c r="J24" s="5"/>
      <c r="K24" s="5">
        <v>226</v>
      </c>
      <c r="L24" s="5">
        <v>5</v>
      </c>
      <c r="M24" s="5">
        <v>0</v>
      </c>
      <c r="N24" s="5" t="s">
        <v>3</v>
      </c>
      <c r="O24" s="5">
        <v>2</v>
      </c>
      <c r="P24" s="5">
        <v>13732.23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201</v>
      </c>
      <c r="H25" s="5" t="s">
        <v>202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69991.850000000006</v>
      </c>
      <c r="G26" s="5" t="s">
        <v>203</v>
      </c>
      <c r="H26" s="5" t="s">
        <v>204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13732.23</v>
      </c>
    </row>
    <row r="27" spans="1:40" x14ac:dyDescent="0.2">
      <c r="A27" s="5">
        <v>50</v>
      </c>
      <c r="B27" s="5">
        <v>1</v>
      </c>
      <c r="C27" s="5">
        <v>0</v>
      </c>
      <c r="D27" s="5">
        <v>1</v>
      </c>
      <c r="E27" s="5">
        <v>216</v>
      </c>
      <c r="F27" s="5">
        <v>160024.21</v>
      </c>
      <c r="G27" s="5" t="s">
        <v>205</v>
      </c>
      <c r="H27" s="5" t="s">
        <v>206</v>
      </c>
      <c r="I27" s="5"/>
      <c r="J27" s="5"/>
      <c r="K27" s="5">
        <v>216</v>
      </c>
      <c r="L27" s="5">
        <v>8</v>
      </c>
      <c r="M27" s="5">
        <v>0</v>
      </c>
      <c r="N27" s="5" t="s">
        <v>3</v>
      </c>
      <c r="O27" s="5">
        <v>2</v>
      </c>
      <c r="P27" s="5">
        <v>31380.37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207</v>
      </c>
      <c r="H28" s="5" t="s">
        <v>208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160024.21</v>
      </c>
      <c r="G29" s="5" t="s">
        <v>209</v>
      </c>
      <c r="H29" s="5" t="s">
        <v>210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31380.37</v>
      </c>
    </row>
    <row r="30" spans="1:40" x14ac:dyDescent="0.2">
      <c r="A30" s="5">
        <v>50</v>
      </c>
      <c r="B30" s="5">
        <v>1</v>
      </c>
      <c r="C30" s="5">
        <v>0</v>
      </c>
      <c r="D30" s="5">
        <v>1</v>
      </c>
      <c r="E30" s="5">
        <v>203</v>
      </c>
      <c r="F30" s="5">
        <v>21326.73</v>
      </c>
      <c r="G30" s="5" t="s">
        <v>211</v>
      </c>
      <c r="H30" s="5" t="s">
        <v>212</v>
      </c>
      <c r="I30" s="5"/>
      <c r="J30" s="5"/>
      <c r="K30" s="5">
        <v>203</v>
      </c>
      <c r="L30" s="5">
        <v>11</v>
      </c>
      <c r="M30" s="5">
        <v>0</v>
      </c>
      <c r="N30" s="5" t="s">
        <v>3</v>
      </c>
      <c r="O30" s="5">
        <v>2</v>
      </c>
      <c r="P30" s="5">
        <v>2439.44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213</v>
      </c>
      <c r="H31" s="5" t="s">
        <v>214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1</v>
      </c>
      <c r="C32" s="5">
        <v>0</v>
      </c>
      <c r="D32" s="5">
        <v>1</v>
      </c>
      <c r="E32" s="5">
        <v>204</v>
      </c>
      <c r="F32" s="5">
        <v>11234.55</v>
      </c>
      <c r="G32" s="5" t="s">
        <v>215</v>
      </c>
      <c r="H32" s="5" t="s">
        <v>216</v>
      </c>
      <c r="I32" s="5"/>
      <c r="J32" s="5"/>
      <c r="K32" s="5">
        <v>204</v>
      </c>
      <c r="L32" s="5">
        <v>13</v>
      </c>
      <c r="M32" s="5">
        <v>0</v>
      </c>
      <c r="N32" s="5" t="s">
        <v>3</v>
      </c>
      <c r="O32" s="5">
        <v>2</v>
      </c>
      <c r="P32" s="5">
        <v>517.96</v>
      </c>
    </row>
    <row r="33" spans="1:16" x14ac:dyDescent="0.2">
      <c r="A33" s="5">
        <v>50</v>
      </c>
      <c r="B33" s="5">
        <v>1</v>
      </c>
      <c r="C33" s="5">
        <v>0</v>
      </c>
      <c r="D33" s="5">
        <v>1</v>
      </c>
      <c r="E33" s="5">
        <v>205</v>
      </c>
      <c r="F33" s="5">
        <v>55659.08</v>
      </c>
      <c r="G33" s="5" t="s">
        <v>217</v>
      </c>
      <c r="H33" s="5" t="s">
        <v>218</v>
      </c>
      <c r="I33" s="5"/>
      <c r="J33" s="5"/>
      <c r="K33" s="5">
        <v>205</v>
      </c>
      <c r="L33" s="5">
        <v>14</v>
      </c>
      <c r="M33" s="5">
        <v>0</v>
      </c>
      <c r="N33" s="5" t="s">
        <v>3</v>
      </c>
      <c r="O33" s="5">
        <v>2</v>
      </c>
      <c r="P33" s="5">
        <v>2566.12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219</v>
      </c>
      <c r="H34" s="5" t="s">
        <v>220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1</v>
      </c>
      <c r="C35" s="5">
        <v>0</v>
      </c>
      <c r="D35" s="5">
        <v>1</v>
      </c>
      <c r="E35" s="5">
        <v>214</v>
      </c>
      <c r="F35" s="5">
        <v>5720.34</v>
      </c>
      <c r="G35" s="5" t="s">
        <v>221</v>
      </c>
      <c r="H35" s="5" t="s">
        <v>222</v>
      </c>
      <c r="I35" s="5"/>
      <c r="J35" s="5"/>
      <c r="K35" s="5">
        <v>214</v>
      </c>
      <c r="L35" s="5">
        <v>16</v>
      </c>
      <c r="M35" s="5">
        <v>0</v>
      </c>
      <c r="N35" s="5" t="s">
        <v>3</v>
      </c>
      <c r="O35" s="5">
        <v>2</v>
      </c>
      <c r="P35" s="5">
        <v>140.06</v>
      </c>
    </row>
    <row r="36" spans="1:16" x14ac:dyDescent="0.2">
      <c r="A36" s="5">
        <v>50</v>
      </c>
      <c r="B36" s="5">
        <v>1</v>
      </c>
      <c r="C36" s="5">
        <v>0</v>
      </c>
      <c r="D36" s="5">
        <v>1</v>
      </c>
      <c r="E36" s="5">
        <v>215</v>
      </c>
      <c r="F36" s="5">
        <v>199926.99</v>
      </c>
      <c r="G36" s="5" t="s">
        <v>223</v>
      </c>
      <c r="H36" s="5" t="s">
        <v>224</v>
      </c>
      <c r="I36" s="5"/>
      <c r="J36" s="5"/>
      <c r="K36" s="5">
        <v>215</v>
      </c>
      <c r="L36" s="5">
        <v>17</v>
      </c>
      <c r="M36" s="5">
        <v>0</v>
      </c>
      <c r="N36" s="5" t="s">
        <v>3</v>
      </c>
      <c r="O36" s="5">
        <v>2</v>
      </c>
      <c r="P36" s="5">
        <v>18078.689999999999</v>
      </c>
    </row>
    <row r="37" spans="1:16" x14ac:dyDescent="0.2">
      <c r="A37" s="5">
        <v>50</v>
      </c>
      <c r="B37" s="5">
        <v>1</v>
      </c>
      <c r="C37" s="5">
        <v>0</v>
      </c>
      <c r="D37" s="5">
        <v>1</v>
      </c>
      <c r="E37" s="5">
        <v>217</v>
      </c>
      <c r="F37" s="5">
        <v>23529.18</v>
      </c>
      <c r="G37" s="5" t="s">
        <v>225</v>
      </c>
      <c r="H37" s="5" t="s">
        <v>226</v>
      </c>
      <c r="I37" s="5"/>
      <c r="J37" s="5"/>
      <c r="K37" s="5">
        <v>217</v>
      </c>
      <c r="L37" s="5">
        <v>18</v>
      </c>
      <c r="M37" s="5">
        <v>0</v>
      </c>
      <c r="N37" s="5" t="s">
        <v>3</v>
      </c>
      <c r="O37" s="5">
        <v>2</v>
      </c>
      <c r="P37" s="5">
        <v>519.04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227</v>
      </c>
      <c r="H38" s="5" t="s">
        <v>228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229</v>
      </c>
      <c r="H39" s="5" t="s">
        <v>230</v>
      </c>
      <c r="I39" s="5"/>
      <c r="J39" s="5"/>
      <c r="K39" s="5">
        <v>206</v>
      </c>
      <c r="L39" s="5">
        <v>20</v>
      </c>
      <c r="M39" s="5">
        <v>3</v>
      </c>
      <c r="N39" s="5" t="s">
        <v>3</v>
      </c>
      <c r="O39" s="5">
        <v>2</v>
      </c>
      <c r="P39" s="5">
        <v>0</v>
      </c>
    </row>
    <row r="40" spans="1:16" x14ac:dyDescent="0.2">
      <c r="A40" s="5">
        <v>50</v>
      </c>
      <c r="B40" s="5">
        <v>1</v>
      </c>
      <c r="C40" s="5">
        <v>0</v>
      </c>
      <c r="D40" s="5">
        <v>1</v>
      </c>
      <c r="E40" s="5">
        <v>207</v>
      </c>
      <c r="F40" s="5">
        <v>183.85</v>
      </c>
      <c r="G40" s="5" t="s">
        <v>231</v>
      </c>
      <c r="H40" s="5" t="s">
        <v>232</v>
      </c>
      <c r="I40" s="5"/>
      <c r="J40" s="5"/>
      <c r="K40" s="5">
        <v>207</v>
      </c>
      <c r="L40" s="5">
        <v>21</v>
      </c>
      <c r="M40" s="5">
        <v>0</v>
      </c>
      <c r="N40" s="5" t="s">
        <v>3</v>
      </c>
      <c r="O40" s="5">
        <v>2</v>
      </c>
      <c r="P40" s="5">
        <v>183.85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0</v>
      </c>
      <c r="G41" s="5" t="s">
        <v>233</v>
      </c>
      <c r="H41" s="5" t="s">
        <v>234</v>
      </c>
      <c r="I41" s="5"/>
      <c r="J41" s="5"/>
      <c r="K41" s="5">
        <v>208</v>
      </c>
      <c r="L41" s="5">
        <v>22</v>
      </c>
      <c r="M41" s="5">
        <v>3</v>
      </c>
      <c r="N41" s="5" t="s">
        <v>3</v>
      </c>
      <c r="O41" s="5">
        <v>-1</v>
      </c>
      <c r="P41" s="5">
        <v>0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235</v>
      </c>
      <c r="H42" s="5" t="s">
        <v>236</v>
      </c>
      <c r="I42" s="5"/>
      <c r="J42" s="5"/>
      <c r="K42" s="5">
        <v>209</v>
      </c>
      <c r="L42" s="5">
        <v>23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1</v>
      </c>
      <c r="C43" s="5">
        <v>0</v>
      </c>
      <c r="D43" s="5">
        <v>1</v>
      </c>
      <c r="E43" s="5">
        <v>210</v>
      </c>
      <c r="F43" s="5">
        <v>41740.36</v>
      </c>
      <c r="G43" s="5" t="s">
        <v>237</v>
      </c>
      <c r="H43" s="5" t="s">
        <v>238</v>
      </c>
      <c r="I43" s="5"/>
      <c r="J43" s="5"/>
      <c r="K43" s="5">
        <v>210</v>
      </c>
      <c r="L43" s="5">
        <v>24</v>
      </c>
      <c r="M43" s="5">
        <v>0</v>
      </c>
      <c r="N43" s="5" t="s">
        <v>3</v>
      </c>
      <c r="O43" s="5">
        <v>2</v>
      </c>
      <c r="P43" s="5">
        <v>0</v>
      </c>
    </row>
    <row r="44" spans="1:16" x14ac:dyDescent="0.2">
      <c r="A44" s="5">
        <v>50</v>
      </c>
      <c r="B44" s="5">
        <v>1</v>
      </c>
      <c r="C44" s="5">
        <v>0</v>
      </c>
      <c r="D44" s="5">
        <v>1</v>
      </c>
      <c r="E44" s="5">
        <v>211</v>
      </c>
      <c r="F44" s="5">
        <v>22820.23</v>
      </c>
      <c r="G44" s="5" t="s">
        <v>239</v>
      </c>
      <c r="H44" s="5" t="s">
        <v>240</v>
      </c>
      <c r="I44" s="5"/>
      <c r="J44" s="5"/>
      <c r="K44" s="5">
        <v>211</v>
      </c>
      <c r="L44" s="5">
        <v>25</v>
      </c>
      <c r="M44" s="5">
        <v>0</v>
      </c>
      <c r="N44" s="5" t="s">
        <v>3</v>
      </c>
      <c r="O44" s="5">
        <v>2</v>
      </c>
      <c r="P44" s="5">
        <v>0</v>
      </c>
    </row>
    <row r="45" spans="1:16" x14ac:dyDescent="0.2">
      <c r="A45" s="5">
        <v>50</v>
      </c>
      <c r="B45" s="5">
        <v>1</v>
      </c>
      <c r="C45" s="5">
        <v>0</v>
      </c>
      <c r="D45" s="5">
        <v>1</v>
      </c>
      <c r="E45" s="5">
        <v>224</v>
      </c>
      <c r="F45" s="5">
        <v>389200.72</v>
      </c>
      <c r="G45" s="5" t="s">
        <v>241</v>
      </c>
      <c r="H45" s="5" t="s">
        <v>242</v>
      </c>
      <c r="I45" s="5"/>
      <c r="J45" s="5"/>
      <c r="K45" s="5">
        <v>224</v>
      </c>
      <c r="L45" s="5">
        <v>26</v>
      </c>
      <c r="M45" s="5">
        <v>0</v>
      </c>
      <c r="N45" s="5" t="s">
        <v>3</v>
      </c>
      <c r="O45" s="5">
        <v>2</v>
      </c>
      <c r="P45" s="5">
        <v>50118.16</v>
      </c>
    </row>
    <row r="47" spans="1:16" x14ac:dyDescent="0.2">
      <c r="A47">
        <v>-1</v>
      </c>
    </row>
    <row r="50" spans="1:27" x14ac:dyDescent="0.2">
      <c r="A50" s="4">
        <v>75</v>
      </c>
      <c r="B50" s="4" t="s">
        <v>243</v>
      </c>
      <c r="C50" s="4">
        <v>2019</v>
      </c>
      <c r="D50" s="4">
        <v>0</v>
      </c>
      <c r="E50" s="4">
        <v>2</v>
      </c>
      <c r="F50" s="4"/>
      <c r="G50" s="4">
        <v>0</v>
      </c>
      <c r="H50" s="4">
        <v>2</v>
      </c>
      <c r="I50" s="4">
        <v>1</v>
      </c>
      <c r="J50" s="4">
        <v>1</v>
      </c>
      <c r="K50" s="4">
        <v>93</v>
      </c>
      <c r="L50" s="4">
        <v>64</v>
      </c>
      <c r="M50" s="4">
        <v>1</v>
      </c>
      <c r="N50" s="4">
        <v>55106052</v>
      </c>
      <c r="O50" s="4">
        <v>1</v>
      </c>
    </row>
    <row r="51" spans="1:27" x14ac:dyDescent="0.2">
      <c r="A51" s="6">
        <v>1</v>
      </c>
      <c r="B51" s="6" t="s">
        <v>244</v>
      </c>
      <c r="C51" s="6" t="s">
        <v>245</v>
      </c>
      <c r="D51" s="6">
        <v>2019</v>
      </c>
      <c r="E51" s="6">
        <v>5</v>
      </c>
      <c r="F51" s="6">
        <v>1</v>
      </c>
      <c r="G51" s="6">
        <v>1</v>
      </c>
      <c r="H51" s="6">
        <v>0</v>
      </c>
      <c r="I51" s="6">
        <v>2</v>
      </c>
      <c r="J51" s="6">
        <v>1</v>
      </c>
      <c r="K51" s="6">
        <v>5.41</v>
      </c>
      <c r="L51" s="6">
        <v>4.3899999999999997</v>
      </c>
      <c r="M51" s="6">
        <v>1</v>
      </c>
      <c r="N51" s="6">
        <v>1</v>
      </c>
      <c r="O51" s="6">
        <v>5.41</v>
      </c>
      <c r="P51" s="6">
        <v>4.3899999999999997</v>
      </c>
      <c r="Q51" s="6">
        <v>1</v>
      </c>
      <c r="R51" s="6" t="s">
        <v>3</v>
      </c>
      <c r="S51" s="6" t="s">
        <v>3</v>
      </c>
      <c r="T51" s="6" t="s">
        <v>3</v>
      </c>
      <c r="U51" s="6" t="s">
        <v>3</v>
      </c>
      <c r="V51" s="6" t="s">
        <v>3</v>
      </c>
      <c r="W51" s="6" t="s">
        <v>3</v>
      </c>
      <c r="X51" s="6" t="s">
        <v>3</v>
      </c>
      <c r="Y51" s="6" t="s">
        <v>3</v>
      </c>
      <c r="Z51" s="6" t="s">
        <v>3</v>
      </c>
      <c r="AA51" s="6" t="s">
        <v>246</v>
      </c>
    </row>
    <row r="52" spans="1:27" x14ac:dyDescent="0.2">
      <c r="A52" s="6">
        <v>1</v>
      </c>
      <c r="B52" s="6" t="s">
        <v>244</v>
      </c>
      <c r="C52" s="6" t="s">
        <v>247</v>
      </c>
      <c r="D52" s="6">
        <v>2019</v>
      </c>
      <c r="E52" s="6">
        <v>3</v>
      </c>
      <c r="F52" s="6">
        <v>1</v>
      </c>
      <c r="G52" s="6">
        <v>1</v>
      </c>
      <c r="H52" s="6">
        <v>0</v>
      </c>
      <c r="I52" s="6">
        <v>2</v>
      </c>
      <c r="J52" s="6">
        <v>1</v>
      </c>
      <c r="K52" s="6">
        <v>1</v>
      </c>
      <c r="L52" s="6">
        <v>1</v>
      </c>
      <c r="M52" s="6">
        <v>1</v>
      </c>
      <c r="N52" s="6">
        <v>1</v>
      </c>
      <c r="O52" s="6">
        <v>1</v>
      </c>
      <c r="P52" s="6">
        <v>1</v>
      </c>
      <c r="Q52" s="6">
        <v>1</v>
      </c>
      <c r="R52" s="6" t="s">
        <v>3</v>
      </c>
      <c r="S52" s="6" t="s">
        <v>3</v>
      </c>
      <c r="T52" s="6" t="s">
        <v>3</v>
      </c>
      <c r="U52" s="6" t="s">
        <v>3</v>
      </c>
      <c r="V52" s="6" t="s">
        <v>3</v>
      </c>
      <c r="W52" s="6" t="s">
        <v>3</v>
      </c>
      <c r="X52" s="6" t="s">
        <v>3</v>
      </c>
      <c r="Y52" s="6" t="s">
        <v>3</v>
      </c>
      <c r="Z52" s="6" t="s">
        <v>3</v>
      </c>
      <c r="AA52" s="6" t="s">
        <v>3</v>
      </c>
    </row>
    <row r="53" spans="1:27" x14ac:dyDescent="0.2">
      <c r="A53" s="4">
        <v>75</v>
      </c>
      <c r="B53" s="4" t="s">
        <v>243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2</v>
      </c>
      <c r="I53" s="4">
        <v>1</v>
      </c>
      <c r="J53" s="4">
        <v>1</v>
      </c>
      <c r="K53" s="4">
        <v>94</v>
      </c>
      <c r="L53" s="4">
        <v>86</v>
      </c>
      <c r="M53" s="4">
        <v>0</v>
      </c>
      <c r="N53" s="4">
        <v>55106055</v>
      </c>
      <c r="O53" s="4">
        <v>2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5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55106055</v>
      </c>
      <c r="C1">
        <v>55106172</v>
      </c>
      <c r="D1">
        <v>22652952</v>
      </c>
      <c r="E1">
        <v>22652947</v>
      </c>
      <c r="F1">
        <v>1</v>
      </c>
      <c r="G1">
        <v>22652947</v>
      </c>
      <c r="H1">
        <v>1</v>
      </c>
      <c r="I1" t="s">
        <v>249</v>
      </c>
      <c r="J1" t="s">
        <v>3</v>
      </c>
      <c r="K1" t="s">
        <v>250</v>
      </c>
      <c r="L1">
        <v>1191</v>
      </c>
      <c r="N1">
        <v>1013</v>
      </c>
      <c r="O1" t="s">
        <v>251</v>
      </c>
      <c r="P1" t="s">
        <v>251</v>
      </c>
      <c r="Q1">
        <v>1</v>
      </c>
      <c r="W1">
        <v>0</v>
      </c>
      <c r="X1">
        <v>476480486</v>
      </c>
      <c r="Y1">
        <v>29.96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29.96</v>
      </c>
      <c r="AU1" t="s">
        <v>3</v>
      </c>
      <c r="AV1">
        <v>1</v>
      </c>
      <c r="AW1">
        <v>2</v>
      </c>
      <c r="AX1">
        <v>55106174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11.984000000000002</v>
      </c>
      <c r="CY1">
        <f t="shared" ref="CY1:CY7" si="0">AD1</f>
        <v>0</v>
      </c>
      <c r="CZ1">
        <f t="shared" ref="CZ1:CZ7" si="1">AH1</f>
        <v>0</v>
      </c>
      <c r="DA1">
        <f t="shared" ref="DA1:DA7" si="2">AL1</f>
        <v>1</v>
      </c>
      <c r="DB1">
        <f t="shared" ref="DB1:DB6" si="3">ROUND(ROUND(AT1*CZ1,2),6)</f>
        <v>0</v>
      </c>
      <c r="DC1">
        <f t="shared" ref="DC1:DC6" si="4">ROUND(ROUND(AT1*AG1,2),6)</f>
        <v>0</v>
      </c>
    </row>
    <row r="2" spans="1:107" x14ac:dyDescent="0.2">
      <c r="A2">
        <f>ROW(Source!A25)</f>
        <v>25</v>
      </c>
      <c r="B2">
        <v>55106052</v>
      </c>
      <c r="C2">
        <v>55106172</v>
      </c>
      <c r="D2">
        <v>22652952</v>
      </c>
      <c r="E2">
        <v>22652947</v>
      </c>
      <c r="F2">
        <v>1</v>
      </c>
      <c r="G2">
        <v>22652947</v>
      </c>
      <c r="H2">
        <v>1</v>
      </c>
      <c r="I2" t="s">
        <v>249</v>
      </c>
      <c r="J2" t="s">
        <v>3</v>
      </c>
      <c r="K2" t="s">
        <v>250</v>
      </c>
      <c r="L2">
        <v>1191</v>
      </c>
      <c r="N2">
        <v>1013</v>
      </c>
      <c r="O2" t="s">
        <v>251</v>
      </c>
      <c r="P2" t="s">
        <v>251</v>
      </c>
      <c r="Q2">
        <v>1</v>
      </c>
      <c r="W2">
        <v>0</v>
      </c>
      <c r="X2">
        <v>476480486</v>
      </c>
      <c r="Y2">
        <v>29.96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29.96</v>
      </c>
      <c r="AU2" t="s">
        <v>3</v>
      </c>
      <c r="AV2">
        <v>1</v>
      </c>
      <c r="AW2">
        <v>2</v>
      </c>
      <c r="AX2">
        <v>55106174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11.984000000000002</v>
      </c>
      <c r="CY2">
        <f t="shared" si="0"/>
        <v>0</v>
      </c>
      <c r="CZ2">
        <f t="shared" si="1"/>
        <v>0</v>
      </c>
      <c r="DA2">
        <f t="shared" si="2"/>
        <v>1</v>
      </c>
      <c r="DB2">
        <f t="shared" si="3"/>
        <v>0</v>
      </c>
      <c r="DC2">
        <f t="shared" si="4"/>
        <v>0</v>
      </c>
    </row>
    <row r="3" spans="1:107" x14ac:dyDescent="0.2">
      <c r="A3">
        <f>ROW(Source!A26)</f>
        <v>26</v>
      </c>
      <c r="B3">
        <v>55106055</v>
      </c>
      <c r="C3">
        <v>55106175</v>
      </c>
      <c r="D3">
        <v>22652952</v>
      </c>
      <c r="E3">
        <v>22652947</v>
      </c>
      <c r="F3">
        <v>1</v>
      </c>
      <c r="G3">
        <v>22652947</v>
      </c>
      <c r="H3">
        <v>1</v>
      </c>
      <c r="I3" t="s">
        <v>249</v>
      </c>
      <c r="J3" t="s">
        <v>3</v>
      </c>
      <c r="K3" t="s">
        <v>250</v>
      </c>
      <c r="L3">
        <v>1191</v>
      </c>
      <c r="N3">
        <v>1013</v>
      </c>
      <c r="O3" t="s">
        <v>251</v>
      </c>
      <c r="P3" t="s">
        <v>251</v>
      </c>
      <c r="Q3">
        <v>1</v>
      </c>
      <c r="W3">
        <v>0</v>
      </c>
      <c r="X3">
        <v>476480486</v>
      </c>
      <c r="Y3">
        <v>3.18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3.18</v>
      </c>
      <c r="AU3" t="s">
        <v>3</v>
      </c>
      <c r="AV3">
        <v>1</v>
      </c>
      <c r="AW3">
        <v>2</v>
      </c>
      <c r="AX3">
        <v>55106177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Y3*Source!I26</f>
        <v>9.5400000000000009</v>
      </c>
      <c r="CY3">
        <f t="shared" si="0"/>
        <v>0</v>
      </c>
      <c r="CZ3">
        <f t="shared" si="1"/>
        <v>0</v>
      </c>
      <c r="DA3">
        <f t="shared" si="2"/>
        <v>1</v>
      </c>
      <c r="DB3">
        <f t="shared" si="3"/>
        <v>0</v>
      </c>
      <c r="DC3">
        <f t="shared" si="4"/>
        <v>0</v>
      </c>
    </row>
    <row r="4" spans="1:107" x14ac:dyDescent="0.2">
      <c r="A4">
        <f>ROW(Source!A27)</f>
        <v>27</v>
      </c>
      <c r="B4">
        <v>55106052</v>
      </c>
      <c r="C4">
        <v>55106175</v>
      </c>
      <c r="D4">
        <v>22652952</v>
      </c>
      <c r="E4">
        <v>22652947</v>
      </c>
      <c r="F4">
        <v>1</v>
      </c>
      <c r="G4">
        <v>22652947</v>
      </c>
      <c r="H4">
        <v>1</v>
      </c>
      <c r="I4" t="s">
        <v>249</v>
      </c>
      <c r="J4" t="s">
        <v>3</v>
      </c>
      <c r="K4" t="s">
        <v>250</v>
      </c>
      <c r="L4">
        <v>1191</v>
      </c>
      <c r="N4">
        <v>1013</v>
      </c>
      <c r="O4" t="s">
        <v>251</v>
      </c>
      <c r="P4" t="s">
        <v>251</v>
      </c>
      <c r="Q4">
        <v>1</v>
      </c>
      <c r="W4">
        <v>0</v>
      </c>
      <c r="X4">
        <v>476480486</v>
      </c>
      <c r="Y4">
        <v>3.18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3.18</v>
      </c>
      <c r="AU4" t="s">
        <v>3</v>
      </c>
      <c r="AV4">
        <v>1</v>
      </c>
      <c r="AW4">
        <v>2</v>
      </c>
      <c r="AX4">
        <v>55106177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Y4*Source!I27</f>
        <v>9.5400000000000009</v>
      </c>
      <c r="CY4">
        <f t="shared" si="0"/>
        <v>0</v>
      </c>
      <c r="CZ4">
        <f t="shared" si="1"/>
        <v>0</v>
      </c>
      <c r="DA4">
        <f t="shared" si="2"/>
        <v>1</v>
      </c>
      <c r="DB4">
        <f t="shared" si="3"/>
        <v>0</v>
      </c>
      <c r="DC4">
        <f t="shared" si="4"/>
        <v>0</v>
      </c>
    </row>
    <row r="5" spans="1:107" x14ac:dyDescent="0.2">
      <c r="A5">
        <f>ROW(Source!A28)</f>
        <v>28</v>
      </c>
      <c r="B5">
        <v>55106055</v>
      </c>
      <c r="C5">
        <v>55106178</v>
      </c>
      <c r="D5">
        <v>22652952</v>
      </c>
      <c r="E5">
        <v>22652947</v>
      </c>
      <c r="F5">
        <v>1</v>
      </c>
      <c r="G5">
        <v>22652947</v>
      </c>
      <c r="H5">
        <v>1</v>
      </c>
      <c r="I5" t="s">
        <v>249</v>
      </c>
      <c r="J5" t="s">
        <v>3</v>
      </c>
      <c r="K5" t="s">
        <v>250</v>
      </c>
      <c r="L5">
        <v>1191</v>
      </c>
      <c r="N5">
        <v>1013</v>
      </c>
      <c r="O5" t="s">
        <v>251</v>
      </c>
      <c r="P5" t="s">
        <v>251</v>
      </c>
      <c r="Q5">
        <v>1</v>
      </c>
      <c r="W5">
        <v>0</v>
      </c>
      <c r="X5">
        <v>476480486</v>
      </c>
      <c r="Y5">
        <v>4.68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4.68</v>
      </c>
      <c r="AU5" t="s">
        <v>3</v>
      </c>
      <c r="AV5">
        <v>1</v>
      </c>
      <c r="AW5">
        <v>2</v>
      </c>
      <c r="AX5">
        <v>55106180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23.4</v>
      </c>
      <c r="CY5">
        <f t="shared" si="0"/>
        <v>0</v>
      </c>
      <c r="CZ5">
        <f t="shared" si="1"/>
        <v>0</v>
      </c>
      <c r="DA5">
        <f t="shared" si="2"/>
        <v>1</v>
      </c>
      <c r="DB5">
        <f t="shared" si="3"/>
        <v>0</v>
      </c>
      <c r="DC5">
        <f t="shared" si="4"/>
        <v>0</v>
      </c>
    </row>
    <row r="6" spans="1:107" x14ac:dyDescent="0.2">
      <c r="A6">
        <f>ROW(Source!A29)</f>
        <v>29</v>
      </c>
      <c r="B6">
        <v>55106052</v>
      </c>
      <c r="C6">
        <v>55106178</v>
      </c>
      <c r="D6">
        <v>22652952</v>
      </c>
      <c r="E6">
        <v>22652947</v>
      </c>
      <c r="F6">
        <v>1</v>
      </c>
      <c r="G6">
        <v>22652947</v>
      </c>
      <c r="H6">
        <v>1</v>
      </c>
      <c r="I6" t="s">
        <v>249</v>
      </c>
      <c r="J6" t="s">
        <v>3</v>
      </c>
      <c r="K6" t="s">
        <v>250</v>
      </c>
      <c r="L6">
        <v>1191</v>
      </c>
      <c r="N6">
        <v>1013</v>
      </c>
      <c r="O6" t="s">
        <v>251</v>
      </c>
      <c r="P6" t="s">
        <v>251</v>
      </c>
      <c r="Q6">
        <v>1</v>
      </c>
      <c r="W6">
        <v>0</v>
      </c>
      <c r="X6">
        <v>476480486</v>
      </c>
      <c r="Y6">
        <v>4.68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4.68</v>
      </c>
      <c r="AU6" t="s">
        <v>3</v>
      </c>
      <c r="AV6">
        <v>1</v>
      </c>
      <c r="AW6">
        <v>2</v>
      </c>
      <c r="AX6">
        <v>55106180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23.4</v>
      </c>
      <c r="CY6">
        <f t="shared" si="0"/>
        <v>0</v>
      </c>
      <c r="CZ6">
        <f t="shared" si="1"/>
        <v>0</v>
      </c>
      <c r="DA6">
        <f t="shared" si="2"/>
        <v>1</v>
      </c>
      <c r="DB6">
        <f t="shared" si="3"/>
        <v>0</v>
      </c>
      <c r="DC6">
        <f t="shared" si="4"/>
        <v>0</v>
      </c>
    </row>
    <row r="7" spans="1:107" x14ac:dyDescent="0.2">
      <c r="A7">
        <f>ROW(Source!A30)</f>
        <v>30</v>
      </c>
      <c r="B7">
        <v>55106055</v>
      </c>
      <c r="C7">
        <v>55106181</v>
      </c>
      <c r="D7">
        <v>22652952</v>
      </c>
      <c r="E7">
        <v>22652947</v>
      </c>
      <c r="F7">
        <v>1</v>
      </c>
      <c r="G7">
        <v>22652947</v>
      </c>
      <c r="H7">
        <v>1</v>
      </c>
      <c r="I7" t="s">
        <v>249</v>
      </c>
      <c r="J7" t="s">
        <v>3</v>
      </c>
      <c r="K7" t="s">
        <v>250</v>
      </c>
      <c r="L7">
        <v>1191</v>
      </c>
      <c r="N7">
        <v>1013</v>
      </c>
      <c r="O7" t="s">
        <v>251</v>
      </c>
      <c r="P7" t="s">
        <v>251</v>
      </c>
      <c r="Q7">
        <v>1</v>
      </c>
      <c r="W7">
        <v>0</v>
      </c>
      <c r="X7">
        <v>476480486</v>
      </c>
      <c r="Y7">
        <v>1.2765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1.1100000000000001</v>
      </c>
      <c r="AU7" t="s">
        <v>38</v>
      </c>
      <c r="AV7">
        <v>1</v>
      </c>
      <c r="AW7">
        <v>2</v>
      </c>
      <c r="AX7">
        <v>55106188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8.9354999999999993</v>
      </c>
      <c r="CY7">
        <f t="shared" si="0"/>
        <v>0</v>
      </c>
      <c r="CZ7">
        <f t="shared" si="1"/>
        <v>0</v>
      </c>
      <c r="DA7">
        <f t="shared" si="2"/>
        <v>1</v>
      </c>
      <c r="DB7">
        <f>ROUND((ROUND(AT7*CZ7,2)*1.15),6)</f>
        <v>0</v>
      </c>
      <c r="DC7">
        <f>ROUND((ROUND(AT7*AG7,2)*1.15),6)</f>
        <v>0</v>
      </c>
    </row>
    <row r="8" spans="1:107" x14ac:dyDescent="0.2">
      <c r="A8">
        <f>ROW(Source!A30)</f>
        <v>30</v>
      </c>
      <c r="B8">
        <v>55106055</v>
      </c>
      <c r="C8">
        <v>55106181</v>
      </c>
      <c r="D8">
        <v>22725577</v>
      </c>
      <c r="E8">
        <v>1</v>
      </c>
      <c r="F8">
        <v>1</v>
      </c>
      <c r="G8">
        <v>22652947</v>
      </c>
      <c r="H8">
        <v>2</v>
      </c>
      <c r="I8" t="s">
        <v>252</v>
      </c>
      <c r="J8" t="s">
        <v>253</v>
      </c>
      <c r="K8" t="s">
        <v>254</v>
      </c>
      <c r="L8">
        <v>1367</v>
      </c>
      <c r="N8">
        <v>1011</v>
      </c>
      <c r="O8" t="s">
        <v>255</v>
      </c>
      <c r="P8" t="s">
        <v>255</v>
      </c>
      <c r="Q8">
        <v>1</v>
      </c>
      <c r="W8">
        <v>0</v>
      </c>
      <c r="X8">
        <v>-243982840</v>
      </c>
      <c r="Y8">
        <v>0.32500000000000001</v>
      </c>
      <c r="AA8">
        <v>0</v>
      </c>
      <c r="AB8">
        <v>6.22</v>
      </c>
      <c r="AC8">
        <v>0.28999999999999998</v>
      </c>
      <c r="AD8">
        <v>0</v>
      </c>
      <c r="AE8">
        <v>0</v>
      </c>
      <c r="AF8">
        <v>6.22</v>
      </c>
      <c r="AG8">
        <v>0.28999999999999998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0.26</v>
      </c>
      <c r="AU8" t="s">
        <v>37</v>
      </c>
      <c r="AV8">
        <v>0</v>
      </c>
      <c r="AW8">
        <v>2</v>
      </c>
      <c r="AX8">
        <v>55106189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2.2749999999999999</v>
      </c>
      <c r="CY8">
        <f>AB8</f>
        <v>6.22</v>
      </c>
      <c r="CZ8">
        <f>AF8</f>
        <v>6.22</v>
      </c>
      <c r="DA8">
        <f>AJ8</f>
        <v>1</v>
      </c>
      <c r="DB8">
        <f>ROUND((ROUND(AT8*CZ8,2)*1.25),6)</f>
        <v>2.0249999999999999</v>
      </c>
      <c r="DC8">
        <f>ROUND((ROUND(AT8*AG8,2)*1.25),6)</f>
        <v>0.1</v>
      </c>
    </row>
    <row r="9" spans="1:107" x14ac:dyDescent="0.2">
      <c r="A9">
        <f>ROW(Source!A30)</f>
        <v>30</v>
      </c>
      <c r="B9">
        <v>55106055</v>
      </c>
      <c r="C9">
        <v>55106181</v>
      </c>
      <c r="D9">
        <v>22725906</v>
      </c>
      <c r="E9">
        <v>1</v>
      </c>
      <c r="F9">
        <v>1</v>
      </c>
      <c r="G9">
        <v>22652947</v>
      </c>
      <c r="H9">
        <v>2</v>
      </c>
      <c r="I9" t="s">
        <v>256</v>
      </c>
      <c r="J9" t="s">
        <v>257</v>
      </c>
      <c r="K9" t="s">
        <v>258</v>
      </c>
      <c r="L9">
        <v>1367</v>
      </c>
      <c r="N9">
        <v>1011</v>
      </c>
      <c r="O9" t="s">
        <v>255</v>
      </c>
      <c r="P9" t="s">
        <v>255</v>
      </c>
      <c r="Q9">
        <v>1</v>
      </c>
      <c r="W9">
        <v>0</v>
      </c>
      <c r="X9">
        <v>-875577540</v>
      </c>
      <c r="Y9">
        <v>2.5000000000000001E-2</v>
      </c>
      <c r="AA9">
        <v>0</v>
      </c>
      <c r="AB9">
        <v>0.68</v>
      </c>
      <c r="AC9">
        <v>0.04</v>
      </c>
      <c r="AD9">
        <v>0</v>
      </c>
      <c r="AE9">
        <v>0</v>
      </c>
      <c r="AF9">
        <v>0.68</v>
      </c>
      <c r="AG9">
        <v>0.04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0.02</v>
      </c>
      <c r="AU9" t="s">
        <v>37</v>
      </c>
      <c r="AV9">
        <v>0</v>
      </c>
      <c r="AW9">
        <v>2</v>
      </c>
      <c r="AX9">
        <v>55106190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0.17500000000000002</v>
      </c>
      <c r="CY9">
        <f>AB9</f>
        <v>0.68</v>
      </c>
      <c r="CZ9">
        <f>AF9</f>
        <v>0.68</v>
      </c>
      <c r="DA9">
        <f>AJ9</f>
        <v>1</v>
      </c>
      <c r="DB9">
        <f>ROUND((ROUND(AT9*CZ9,2)*1.25),6)</f>
        <v>1.2500000000000001E-2</v>
      </c>
      <c r="DC9">
        <f>ROUND((ROUND(AT9*AG9,2)*1.25),6)</f>
        <v>0</v>
      </c>
    </row>
    <row r="10" spans="1:107" x14ac:dyDescent="0.2">
      <c r="A10">
        <f>ROW(Source!A30)</f>
        <v>30</v>
      </c>
      <c r="B10">
        <v>55106055</v>
      </c>
      <c r="C10">
        <v>55106181</v>
      </c>
      <c r="D10">
        <v>22725940</v>
      </c>
      <c r="E10">
        <v>1</v>
      </c>
      <c r="F10">
        <v>1</v>
      </c>
      <c r="G10">
        <v>22652947</v>
      </c>
      <c r="H10">
        <v>2</v>
      </c>
      <c r="I10" t="s">
        <v>259</v>
      </c>
      <c r="J10" t="s">
        <v>260</v>
      </c>
      <c r="K10" t="s">
        <v>261</v>
      </c>
      <c r="L10">
        <v>1367</v>
      </c>
      <c r="N10">
        <v>1011</v>
      </c>
      <c r="O10" t="s">
        <v>255</v>
      </c>
      <c r="P10" t="s">
        <v>255</v>
      </c>
      <c r="Q10">
        <v>1</v>
      </c>
      <c r="W10">
        <v>0</v>
      </c>
      <c r="X10">
        <v>926785503</v>
      </c>
      <c r="Y10">
        <v>0.1875</v>
      </c>
      <c r="AA10">
        <v>0</v>
      </c>
      <c r="AB10">
        <v>0.64</v>
      </c>
      <c r="AC10">
        <v>0.04</v>
      </c>
      <c r="AD10">
        <v>0</v>
      </c>
      <c r="AE10">
        <v>0</v>
      </c>
      <c r="AF10">
        <v>0.64</v>
      </c>
      <c r="AG10">
        <v>0.04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0.15</v>
      </c>
      <c r="AU10" t="s">
        <v>37</v>
      </c>
      <c r="AV10">
        <v>0</v>
      </c>
      <c r="AW10">
        <v>2</v>
      </c>
      <c r="AX10">
        <v>55106191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1.3125</v>
      </c>
      <c r="CY10">
        <f>AB10</f>
        <v>0.64</v>
      </c>
      <c r="CZ10">
        <f>AF10</f>
        <v>0.64</v>
      </c>
      <c r="DA10">
        <f>AJ10</f>
        <v>1</v>
      </c>
      <c r="DB10">
        <f>ROUND((ROUND(AT10*CZ10,2)*1.25),6)</f>
        <v>0.125</v>
      </c>
      <c r="DC10">
        <f>ROUND((ROUND(AT10*AG10,2)*1.25),6)</f>
        <v>1.2500000000000001E-2</v>
      </c>
    </row>
    <row r="11" spans="1:107" x14ac:dyDescent="0.2">
      <c r="A11">
        <f>ROW(Source!A30)</f>
        <v>30</v>
      </c>
      <c r="B11">
        <v>55106055</v>
      </c>
      <c r="C11">
        <v>55106181</v>
      </c>
      <c r="D11">
        <v>22725894</v>
      </c>
      <c r="E11">
        <v>1</v>
      </c>
      <c r="F11">
        <v>1</v>
      </c>
      <c r="G11">
        <v>22652947</v>
      </c>
      <c r="H11">
        <v>2</v>
      </c>
      <c r="I11" t="s">
        <v>262</v>
      </c>
      <c r="J11" t="s">
        <v>263</v>
      </c>
      <c r="K11" t="s">
        <v>264</v>
      </c>
      <c r="L11">
        <v>1367</v>
      </c>
      <c r="N11">
        <v>1011</v>
      </c>
      <c r="O11" t="s">
        <v>255</v>
      </c>
      <c r="P11" t="s">
        <v>255</v>
      </c>
      <c r="Q11">
        <v>1</v>
      </c>
      <c r="W11">
        <v>0</v>
      </c>
      <c r="X11">
        <v>950854334</v>
      </c>
      <c r="Y11">
        <v>0.13750000000000001</v>
      </c>
      <c r="AA11">
        <v>0</v>
      </c>
      <c r="AB11">
        <v>2.36</v>
      </c>
      <c r="AC11">
        <v>0.1</v>
      </c>
      <c r="AD11">
        <v>0</v>
      </c>
      <c r="AE11">
        <v>0</v>
      </c>
      <c r="AF11">
        <v>2.36</v>
      </c>
      <c r="AG11">
        <v>0.1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0.11</v>
      </c>
      <c r="AU11" t="s">
        <v>37</v>
      </c>
      <c r="AV11">
        <v>0</v>
      </c>
      <c r="AW11">
        <v>2</v>
      </c>
      <c r="AX11">
        <v>55106192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0.96250000000000013</v>
      </c>
      <c r="CY11">
        <f>AB11</f>
        <v>2.36</v>
      </c>
      <c r="CZ11">
        <f>AF11</f>
        <v>2.36</v>
      </c>
      <c r="DA11">
        <f>AJ11</f>
        <v>1</v>
      </c>
      <c r="DB11">
        <f>ROUND((ROUND(AT11*CZ11,2)*1.25),6)</f>
        <v>0.32500000000000001</v>
      </c>
      <c r="DC11">
        <f>ROUND((ROUND(AT11*AG11,2)*1.25),6)</f>
        <v>1.2500000000000001E-2</v>
      </c>
    </row>
    <row r="12" spans="1:107" x14ac:dyDescent="0.2">
      <c r="A12">
        <f>ROW(Source!A30)</f>
        <v>30</v>
      </c>
      <c r="B12">
        <v>55106055</v>
      </c>
      <c r="C12">
        <v>55106181</v>
      </c>
      <c r="D12">
        <v>22703215</v>
      </c>
      <c r="E12">
        <v>1</v>
      </c>
      <c r="F12">
        <v>1</v>
      </c>
      <c r="G12">
        <v>22652947</v>
      </c>
      <c r="H12">
        <v>3</v>
      </c>
      <c r="I12" t="s">
        <v>265</v>
      </c>
      <c r="J12" t="s">
        <v>266</v>
      </c>
      <c r="K12" t="s">
        <v>267</v>
      </c>
      <c r="L12">
        <v>1346</v>
      </c>
      <c r="N12">
        <v>1009</v>
      </c>
      <c r="O12" t="s">
        <v>268</v>
      </c>
      <c r="P12" t="s">
        <v>268</v>
      </c>
      <c r="Q12">
        <v>1</v>
      </c>
      <c r="W12">
        <v>0</v>
      </c>
      <c r="X12">
        <v>-1260154368</v>
      </c>
      <c r="Y12">
        <v>0.02</v>
      </c>
      <c r="AA12">
        <v>20.63</v>
      </c>
      <c r="AB12">
        <v>0</v>
      </c>
      <c r="AC12">
        <v>0</v>
      </c>
      <c r="AD12">
        <v>0</v>
      </c>
      <c r="AE12">
        <v>20.63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0.02</v>
      </c>
      <c r="AU12" t="s">
        <v>3</v>
      </c>
      <c r="AV12">
        <v>0</v>
      </c>
      <c r="AW12">
        <v>2</v>
      </c>
      <c r="AX12">
        <v>55106193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0.14000000000000001</v>
      </c>
      <c r="CY12">
        <f>AA12</f>
        <v>20.63</v>
      </c>
      <c r="CZ12">
        <f>AE12</f>
        <v>20.63</v>
      </c>
      <c r="DA12">
        <f>AI12</f>
        <v>1</v>
      </c>
      <c r="DB12">
        <f>ROUND(ROUND(AT12*CZ12,2),6)</f>
        <v>0.41</v>
      </c>
      <c r="DC12">
        <f>ROUND(ROUND(AT12*AG12,2),6)</f>
        <v>0</v>
      </c>
    </row>
    <row r="13" spans="1:107" x14ac:dyDescent="0.2">
      <c r="A13">
        <f>ROW(Source!A31)</f>
        <v>31</v>
      </c>
      <c r="B13">
        <v>55106052</v>
      </c>
      <c r="C13">
        <v>55106181</v>
      </c>
      <c r="D13">
        <v>22652952</v>
      </c>
      <c r="E13">
        <v>22652947</v>
      </c>
      <c r="F13">
        <v>1</v>
      </c>
      <c r="G13">
        <v>22652947</v>
      </c>
      <c r="H13">
        <v>1</v>
      </c>
      <c r="I13" t="s">
        <v>249</v>
      </c>
      <c r="J13" t="s">
        <v>3</v>
      </c>
      <c r="K13" t="s">
        <v>250</v>
      </c>
      <c r="L13">
        <v>1191</v>
      </c>
      <c r="N13">
        <v>1013</v>
      </c>
      <c r="O13" t="s">
        <v>251</v>
      </c>
      <c r="P13" t="s">
        <v>251</v>
      </c>
      <c r="Q13">
        <v>1</v>
      </c>
      <c r="W13">
        <v>0</v>
      </c>
      <c r="X13">
        <v>476480486</v>
      </c>
      <c r="Y13">
        <v>1.2765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1.1100000000000001</v>
      </c>
      <c r="AU13" t="s">
        <v>38</v>
      </c>
      <c r="AV13">
        <v>1</v>
      </c>
      <c r="AW13">
        <v>2</v>
      </c>
      <c r="AX13">
        <v>55106188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Y13*Source!I31</f>
        <v>8.9354999999999993</v>
      </c>
      <c r="CY13">
        <f>AD13</f>
        <v>0</v>
      </c>
      <c r="CZ13">
        <f>AH13</f>
        <v>0</v>
      </c>
      <c r="DA13">
        <f>AL13</f>
        <v>1</v>
      </c>
      <c r="DB13">
        <f>ROUND((ROUND(AT13*CZ13,2)*1.15),6)</f>
        <v>0</v>
      </c>
      <c r="DC13">
        <f>ROUND((ROUND(AT13*AG13,2)*1.15),6)</f>
        <v>0</v>
      </c>
    </row>
    <row r="14" spans="1:107" x14ac:dyDescent="0.2">
      <c r="A14">
        <f>ROW(Source!A31)</f>
        <v>31</v>
      </c>
      <c r="B14">
        <v>55106052</v>
      </c>
      <c r="C14">
        <v>55106181</v>
      </c>
      <c r="D14">
        <v>22725577</v>
      </c>
      <c r="E14">
        <v>1</v>
      </c>
      <c r="F14">
        <v>1</v>
      </c>
      <c r="G14">
        <v>22652947</v>
      </c>
      <c r="H14">
        <v>2</v>
      </c>
      <c r="I14" t="s">
        <v>252</v>
      </c>
      <c r="J14" t="s">
        <v>253</v>
      </c>
      <c r="K14" t="s">
        <v>254</v>
      </c>
      <c r="L14">
        <v>1367</v>
      </c>
      <c r="N14">
        <v>1011</v>
      </c>
      <c r="O14" t="s">
        <v>255</v>
      </c>
      <c r="P14" t="s">
        <v>255</v>
      </c>
      <c r="Q14">
        <v>1</v>
      </c>
      <c r="W14">
        <v>0</v>
      </c>
      <c r="X14">
        <v>-243982840</v>
      </c>
      <c r="Y14">
        <v>0.32500000000000001</v>
      </c>
      <c r="AA14">
        <v>0</v>
      </c>
      <c r="AB14">
        <v>37.630000000000003</v>
      </c>
      <c r="AC14">
        <v>6.29</v>
      </c>
      <c r="AD14">
        <v>0</v>
      </c>
      <c r="AE14">
        <v>0</v>
      </c>
      <c r="AF14">
        <v>6.22</v>
      </c>
      <c r="AG14">
        <v>0.28999999999999998</v>
      </c>
      <c r="AH14">
        <v>0</v>
      </c>
      <c r="AI14">
        <v>1</v>
      </c>
      <c r="AJ14">
        <v>6.05</v>
      </c>
      <c r="AK14">
        <v>21.69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0.26</v>
      </c>
      <c r="AU14" t="s">
        <v>37</v>
      </c>
      <c r="AV14">
        <v>0</v>
      </c>
      <c r="AW14">
        <v>2</v>
      </c>
      <c r="AX14">
        <v>55106189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2.2749999999999999</v>
      </c>
      <c r="CY14">
        <f>AB14</f>
        <v>37.630000000000003</v>
      </c>
      <c r="CZ14">
        <f>AF14</f>
        <v>6.22</v>
      </c>
      <c r="DA14">
        <f>AJ14</f>
        <v>6.05</v>
      </c>
      <c r="DB14">
        <f>ROUND((ROUND(AT14*CZ14,2)*1.25),6)</f>
        <v>2.0249999999999999</v>
      </c>
      <c r="DC14">
        <f>ROUND((ROUND(AT14*AG14,2)*1.25),6)</f>
        <v>0.1</v>
      </c>
    </row>
    <row r="15" spans="1:107" x14ac:dyDescent="0.2">
      <c r="A15">
        <f>ROW(Source!A31)</f>
        <v>31</v>
      </c>
      <c r="B15">
        <v>55106052</v>
      </c>
      <c r="C15">
        <v>55106181</v>
      </c>
      <c r="D15">
        <v>22725906</v>
      </c>
      <c r="E15">
        <v>1</v>
      </c>
      <c r="F15">
        <v>1</v>
      </c>
      <c r="G15">
        <v>22652947</v>
      </c>
      <c r="H15">
        <v>2</v>
      </c>
      <c r="I15" t="s">
        <v>256</v>
      </c>
      <c r="J15" t="s">
        <v>257</v>
      </c>
      <c r="K15" t="s">
        <v>258</v>
      </c>
      <c r="L15">
        <v>1367</v>
      </c>
      <c r="N15">
        <v>1011</v>
      </c>
      <c r="O15" t="s">
        <v>255</v>
      </c>
      <c r="P15" t="s">
        <v>255</v>
      </c>
      <c r="Q15">
        <v>1</v>
      </c>
      <c r="W15">
        <v>0</v>
      </c>
      <c r="X15">
        <v>-875577540</v>
      </c>
      <c r="Y15">
        <v>2.5000000000000001E-2</v>
      </c>
      <c r="AA15">
        <v>0</v>
      </c>
      <c r="AB15">
        <v>5.22</v>
      </c>
      <c r="AC15">
        <v>0.87</v>
      </c>
      <c r="AD15">
        <v>0</v>
      </c>
      <c r="AE15">
        <v>0</v>
      </c>
      <c r="AF15">
        <v>0.68</v>
      </c>
      <c r="AG15">
        <v>0.04</v>
      </c>
      <c r="AH15">
        <v>0</v>
      </c>
      <c r="AI15">
        <v>1</v>
      </c>
      <c r="AJ15">
        <v>7.68</v>
      </c>
      <c r="AK15">
        <v>21.69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0.02</v>
      </c>
      <c r="AU15" t="s">
        <v>37</v>
      </c>
      <c r="AV15">
        <v>0</v>
      </c>
      <c r="AW15">
        <v>2</v>
      </c>
      <c r="AX15">
        <v>55106190</v>
      </c>
      <c r="AY15">
        <v>1</v>
      </c>
      <c r="AZ15">
        <v>0</v>
      </c>
      <c r="BA15">
        <v>16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Y15*Source!I31</f>
        <v>0.17500000000000002</v>
      </c>
      <c r="CY15">
        <f>AB15</f>
        <v>5.22</v>
      </c>
      <c r="CZ15">
        <f>AF15</f>
        <v>0.68</v>
      </c>
      <c r="DA15">
        <f>AJ15</f>
        <v>7.68</v>
      </c>
      <c r="DB15">
        <f>ROUND((ROUND(AT15*CZ15,2)*1.25),6)</f>
        <v>1.2500000000000001E-2</v>
      </c>
      <c r="DC15">
        <f>ROUND((ROUND(AT15*AG15,2)*1.25),6)</f>
        <v>0</v>
      </c>
    </row>
    <row r="16" spans="1:107" x14ac:dyDescent="0.2">
      <c r="A16">
        <f>ROW(Source!A31)</f>
        <v>31</v>
      </c>
      <c r="B16">
        <v>55106052</v>
      </c>
      <c r="C16">
        <v>55106181</v>
      </c>
      <c r="D16">
        <v>22725940</v>
      </c>
      <c r="E16">
        <v>1</v>
      </c>
      <c r="F16">
        <v>1</v>
      </c>
      <c r="G16">
        <v>22652947</v>
      </c>
      <c r="H16">
        <v>2</v>
      </c>
      <c r="I16" t="s">
        <v>259</v>
      </c>
      <c r="J16" t="s">
        <v>260</v>
      </c>
      <c r="K16" t="s">
        <v>261</v>
      </c>
      <c r="L16">
        <v>1367</v>
      </c>
      <c r="N16">
        <v>1011</v>
      </c>
      <c r="O16" t="s">
        <v>255</v>
      </c>
      <c r="P16" t="s">
        <v>255</v>
      </c>
      <c r="Q16">
        <v>1</v>
      </c>
      <c r="W16">
        <v>0</v>
      </c>
      <c r="X16">
        <v>926785503</v>
      </c>
      <c r="Y16">
        <v>0.1875</v>
      </c>
      <c r="AA16">
        <v>0</v>
      </c>
      <c r="AB16">
        <v>5.35</v>
      </c>
      <c r="AC16">
        <v>0.87</v>
      </c>
      <c r="AD16">
        <v>0</v>
      </c>
      <c r="AE16">
        <v>0</v>
      </c>
      <c r="AF16">
        <v>0.64</v>
      </c>
      <c r="AG16">
        <v>0.04</v>
      </c>
      <c r="AH16">
        <v>0</v>
      </c>
      <c r="AI16">
        <v>1</v>
      </c>
      <c r="AJ16">
        <v>8.36</v>
      </c>
      <c r="AK16">
        <v>21.69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0.15</v>
      </c>
      <c r="AU16" t="s">
        <v>37</v>
      </c>
      <c r="AV16">
        <v>0</v>
      </c>
      <c r="AW16">
        <v>2</v>
      </c>
      <c r="AX16">
        <v>55106191</v>
      </c>
      <c r="AY16">
        <v>1</v>
      </c>
      <c r="AZ16">
        <v>0</v>
      </c>
      <c r="BA16">
        <v>17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1.3125</v>
      </c>
      <c r="CY16">
        <f>AB16</f>
        <v>5.35</v>
      </c>
      <c r="CZ16">
        <f>AF16</f>
        <v>0.64</v>
      </c>
      <c r="DA16">
        <f>AJ16</f>
        <v>8.36</v>
      </c>
      <c r="DB16">
        <f>ROUND((ROUND(AT16*CZ16,2)*1.25),6)</f>
        <v>0.125</v>
      </c>
      <c r="DC16">
        <f>ROUND((ROUND(AT16*AG16,2)*1.25),6)</f>
        <v>1.2500000000000001E-2</v>
      </c>
    </row>
    <row r="17" spans="1:107" x14ac:dyDescent="0.2">
      <c r="A17">
        <f>ROW(Source!A31)</f>
        <v>31</v>
      </c>
      <c r="B17">
        <v>55106052</v>
      </c>
      <c r="C17">
        <v>55106181</v>
      </c>
      <c r="D17">
        <v>22725894</v>
      </c>
      <c r="E17">
        <v>1</v>
      </c>
      <c r="F17">
        <v>1</v>
      </c>
      <c r="G17">
        <v>22652947</v>
      </c>
      <c r="H17">
        <v>2</v>
      </c>
      <c r="I17" t="s">
        <v>262</v>
      </c>
      <c r="J17" t="s">
        <v>263</v>
      </c>
      <c r="K17" t="s">
        <v>264</v>
      </c>
      <c r="L17">
        <v>1367</v>
      </c>
      <c r="N17">
        <v>1011</v>
      </c>
      <c r="O17" t="s">
        <v>255</v>
      </c>
      <c r="P17" t="s">
        <v>255</v>
      </c>
      <c r="Q17">
        <v>1</v>
      </c>
      <c r="W17">
        <v>0</v>
      </c>
      <c r="X17">
        <v>950854334</v>
      </c>
      <c r="Y17">
        <v>0.13750000000000001</v>
      </c>
      <c r="AA17">
        <v>0</v>
      </c>
      <c r="AB17">
        <v>28.23</v>
      </c>
      <c r="AC17">
        <v>2.17</v>
      </c>
      <c r="AD17">
        <v>0</v>
      </c>
      <c r="AE17">
        <v>0</v>
      </c>
      <c r="AF17">
        <v>2.36</v>
      </c>
      <c r="AG17">
        <v>0.1</v>
      </c>
      <c r="AH17">
        <v>0</v>
      </c>
      <c r="AI17">
        <v>1</v>
      </c>
      <c r="AJ17">
        <v>11.96</v>
      </c>
      <c r="AK17">
        <v>21.69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0.11</v>
      </c>
      <c r="AU17" t="s">
        <v>37</v>
      </c>
      <c r="AV17">
        <v>0</v>
      </c>
      <c r="AW17">
        <v>2</v>
      </c>
      <c r="AX17">
        <v>55106192</v>
      </c>
      <c r="AY17">
        <v>1</v>
      </c>
      <c r="AZ17">
        <v>0</v>
      </c>
      <c r="BA17">
        <v>18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Y17*Source!I31</f>
        <v>0.96250000000000013</v>
      </c>
      <c r="CY17">
        <f>AB17</f>
        <v>28.23</v>
      </c>
      <c r="CZ17">
        <f>AF17</f>
        <v>2.36</v>
      </c>
      <c r="DA17">
        <f>AJ17</f>
        <v>11.96</v>
      </c>
      <c r="DB17">
        <f>ROUND((ROUND(AT17*CZ17,2)*1.25),6)</f>
        <v>0.32500000000000001</v>
      </c>
      <c r="DC17">
        <f>ROUND((ROUND(AT17*AG17,2)*1.25),6)</f>
        <v>1.2500000000000001E-2</v>
      </c>
    </row>
    <row r="18" spans="1:107" x14ac:dyDescent="0.2">
      <c r="A18">
        <f>ROW(Source!A31)</f>
        <v>31</v>
      </c>
      <c r="B18">
        <v>55106052</v>
      </c>
      <c r="C18">
        <v>55106181</v>
      </c>
      <c r="D18">
        <v>22703215</v>
      </c>
      <c r="E18">
        <v>1</v>
      </c>
      <c r="F18">
        <v>1</v>
      </c>
      <c r="G18">
        <v>22652947</v>
      </c>
      <c r="H18">
        <v>3</v>
      </c>
      <c r="I18" t="s">
        <v>265</v>
      </c>
      <c r="J18" t="s">
        <v>266</v>
      </c>
      <c r="K18" t="s">
        <v>267</v>
      </c>
      <c r="L18">
        <v>1346</v>
      </c>
      <c r="N18">
        <v>1009</v>
      </c>
      <c r="O18" t="s">
        <v>268</v>
      </c>
      <c r="P18" t="s">
        <v>268</v>
      </c>
      <c r="Q18">
        <v>1</v>
      </c>
      <c r="W18">
        <v>0</v>
      </c>
      <c r="X18">
        <v>-1260154368</v>
      </c>
      <c r="Y18">
        <v>0.02</v>
      </c>
      <c r="AA18">
        <v>91.8</v>
      </c>
      <c r="AB18">
        <v>0</v>
      </c>
      <c r="AC18">
        <v>0</v>
      </c>
      <c r="AD18">
        <v>0</v>
      </c>
      <c r="AE18">
        <v>20.63</v>
      </c>
      <c r="AF18">
        <v>0</v>
      </c>
      <c r="AG18">
        <v>0</v>
      </c>
      <c r="AH18">
        <v>0</v>
      </c>
      <c r="AI18">
        <v>4.45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0.02</v>
      </c>
      <c r="AU18" t="s">
        <v>3</v>
      </c>
      <c r="AV18">
        <v>0</v>
      </c>
      <c r="AW18">
        <v>2</v>
      </c>
      <c r="AX18">
        <v>55106193</v>
      </c>
      <c r="AY18">
        <v>1</v>
      </c>
      <c r="AZ18">
        <v>0</v>
      </c>
      <c r="BA18">
        <v>19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0.14000000000000001</v>
      </c>
      <c r="CY18">
        <f>AA18</f>
        <v>91.8</v>
      </c>
      <c r="CZ18">
        <f>AE18</f>
        <v>20.63</v>
      </c>
      <c r="DA18">
        <f>AI18</f>
        <v>4.45</v>
      </c>
      <c r="DB18">
        <f t="shared" ref="DB18:DB56" si="5">ROUND(ROUND(AT18*CZ18,2),6)</f>
        <v>0.41</v>
      </c>
      <c r="DC18">
        <f t="shared" ref="DC18:DC56" si="6">ROUND(ROUND(AT18*AG18,2),6)</f>
        <v>0</v>
      </c>
    </row>
    <row r="19" spans="1:107" x14ac:dyDescent="0.2">
      <c r="A19">
        <f>ROW(Source!A32)</f>
        <v>32</v>
      </c>
      <c r="B19">
        <v>55106055</v>
      </c>
      <c r="C19">
        <v>55106195</v>
      </c>
      <c r="D19">
        <v>22652952</v>
      </c>
      <c r="E19">
        <v>22652947</v>
      </c>
      <c r="F19">
        <v>1</v>
      </c>
      <c r="G19">
        <v>22652947</v>
      </c>
      <c r="H19">
        <v>1</v>
      </c>
      <c r="I19" t="s">
        <v>249</v>
      </c>
      <c r="J19" t="s">
        <v>3</v>
      </c>
      <c r="K19" t="s">
        <v>250</v>
      </c>
      <c r="L19">
        <v>1191</v>
      </c>
      <c r="N19">
        <v>1013</v>
      </c>
      <c r="O19" t="s">
        <v>251</v>
      </c>
      <c r="P19" t="s">
        <v>251</v>
      </c>
      <c r="Q19">
        <v>1</v>
      </c>
      <c r="W19">
        <v>0</v>
      </c>
      <c r="X19">
        <v>476480486</v>
      </c>
      <c r="Y19">
        <v>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1</v>
      </c>
      <c r="AU19" t="s">
        <v>3</v>
      </c>
      <c r="AV19">
        <v>1</v>
      </c>
      <c r="AW19">
        <v>2</v>
      </c>
      <c r="AX19">
        <v>55106198</v>
      </c>
      <c r="AY19">
        <v>1</v>
      </c>
      <c r="AZ19">
        <v>0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Y19*Source!I32</f>
        <v>7</v>
      </c>
      <c r="CY19">
        <f>AD19</f>
        <v>0</v>
      </c>
      <c r="CZ19">
        <f>AH19</f>
        <v>0</v>
      </c>
      <c r="DA19">
        <f>AL19</f>
        <v>1</v>
      </c>
      <c r="DB19">
        <f t="shared" si="5"/>
        <v>0</v>
      </c>
      <c r="DC19">
        <f t="shared" si="6"/>
        <v>0</v>
      </c>
    </row>
    <row r="20" spans="1:107" x14ac:dyDescent="0.2">
      <c r="A20">
        <f>ROW(Source!A32)</f>
        <v>32</v>
      </c>
      <c r="B20">
        <v>55106055</v>
      </c>
      <c r="C20">
        <v>55106195</v>
      </c>
      <c r="D20">
        <v>0</v>
      </c>
      <c r="E20">
        <v>22652947</v>
      </c>
      <c r="F20">
        <v>1</v>
      </c>
      <c r="G20">
        <v>22652947</v>
      </c>
      <c r="H20">
        <v>3</v>
      </c>
      <c r="I20" t="s">
        <v>49</v>
      </c>
      <c r="J20" t="s">
        <v>3</v>
      </c>
      <c r="K20" t="s">
        <v>50</v>
      </c>
      <c r="L20">
        <v>1354</v>
      </c>
      <c r="N20">
        <v>1010</v>
      </c>
      <c r="O20" t="s">
        <v>51</v>
      </c>
      <c r="P20" t="s">
        <v>51</v>
      </c>
      <c r="Q20">
        <v>1</v>
      </c>
      <c r="W20">
        <v>0</v>
      </c>
      <c r="X20">
        <v>-43413833</v>
      </c>
      <c r="Y20">
        <v>1</v>
      </c>
      <c r="AA20">
        <v>32.54</v>
      </c>
      <c r="AB20">
        <v>0</v>
      </c>
      <c r="AC20">
        <v>0</v>
      </c>
      <c r="AD20">
        <v>0</v>
      </c>
      <c r="AE20">
        <v>32.54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3</v>
      </c>
      <c r="AT20">
        <v>1</v>
      </c>
      <c r="AU20" t="s">
        <v>3</v>
      </c>
      <c r="AV20">
        <v>0</v>
      </c>
      <c r="AW20">
        <v>1</v>
      </c>
      <c r="AX20">
        <v>-1</v>
      </c>
      <c r="AY20">
        <v>0</v>
      </c>
      <c r="AZ20">
        <v>0</v>
      </c>
      <c r="BA20" t="s">
        <v>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Y20*Source!I32</f>
        <v>7</v>
      </c>
      <c r="CY20">
        <f>AA20</f>
        <v>32.54</v>
      </c>
      <c r="CZ20">
        <f>AE20</f>
        <v>32.54</v>
      </c>
      <c r="DA20">
        <f>AI20</f>
        <v>1</v>
      </c>
      <c r="DB20">
        <f t="shared" si="5"/>
        <v>32.54</v>
      </c>
      <c r="DC20">
        <f t="shared" si="6"/>
        <v>0</v>
      </c>
    </row>
    <row r="21" spans="1:107" x14ac:dyDescent="0.2">
      <c r="A21">
        <f>ROW(Source!A33)</f>
        <v>33</v>
      </c>
      <c r="B21">
        <v>55106052</v>
      </c>
      <c r="C21">
        <v>55106195</v>
      </c>
      <c r="D21">
        <v>22652952</v>
      </c>
      <c r="E21">
        <v>22652947</v>
      </c>
      <c r="F21">
        <v>1</v>
      </c>
      <c r="G21">
        <v>22652947</v>
      </c>
      <c r="H21">
        <v>1</v>
      </c>
      <c r="I21" t="s">
        <v>249</v>
      </c>
      <c r="J21" t="s">
        <v>3</v>
      </c>
      <c r="K21" t="s">
        <v>250</v>
      </c>
      <c r="L21">
        <v>1191</v>
      </c>
      <c r="N21">
        <v>1013</v>
      </c>
      <c r="O21" t="s">
        <v>251</v>
      </c>
      <c r="P21" t="s">
        <v>251</v>
      </c>
      <c r="Q21">
        <v>1</v>
      </c>
      <c r="W21">
        <v>0</v>
      </c>
      <c r="X21">
        <v>476480486</v>
      </c>
      <c r="Y21">
        <v>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1</v>
      </c>
      <c r="AU21" t="s">
        <v>3</v>
      </c>
      <c r="AV21">
        <v>1</v>
      </c>
      <c r="AW21">
        <v>2</v>
      </c>
      <c r="AX21">
        <v>55106198</v>
      </c>
      <c r="AY21">
        <v>1</v>
      </c>
      <c r="AZ21">
        <v>0</v>
      </c>
      <c r="BA21">
        <v>22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Y21*Source!I33</f>
        <v>7</v>
      </c>
      <c r="CY21">
        <f>AD21</f>
        <v>0</v>
      </c>
      <c r="CZ21">
        <f>AH21</f>
        <v>0</v>
      </c>
      <c r="DA21">
        <f>AL21</f>
        <v>1</v>
      </c>
      <c r="DB21">
        <f t="shared" si="5"/>
        <v>0</v>
      </c>
      <c r="DC21">
        <f t="shared" si="6"/>
        <v>0</v>
      </c>
    </row>
    <row r="22" spans="1:107" x14ac:dyDescent="0.2">
      <c r="A22">
        <f>ROW(Source!A33)</f>
        <v>33</v>
      </c>
      <c r="B22">
        <v>55106052</v>
      </c>
      <c r="C22">
        <v>55106195</v>
      </c>
      <c r="D22">
        <v>0</v>
      </c>
      <c r="E22">
        <v>22652947</v>
      </c>
      <c r="F22">
        <v>1</v>
      </c>
      <c r="G22">
        <v>22652947</v>
      </c>
      <c r="H22">
        <v>3</v>
      </c>
      <c r="I22" t="s">
        <v>49</v>
      </c>
      <c r="J22" t="s">
        <v>3</v>
      </c>
      <c r="K22" t="s">
        <v>50</v>
      </c>
      <c r="L22">
        <v>1354</v>
      </c>
      <c r="N22">
        <v>1010</v>
      </c>
      <c r="O22" t="s">
        <v>51</v>
      </c>
      <c r="P22" t="s">
        <v>51</v>
      </c>
      <c r="Q22">
        <v>1</v>
      </c>
      <c r="W22">
        <v>0</v>
      </c>
      <c r="X22">
        <v>-43413833</v>
      </c>
      <c r="Y22">
        <v>1</v>
      </c>
      <c r="AA22">
        <v>174.42</v>
      </c>
      <c r="AB22">
        <v>0</v>
      </c>
      <c r="AC22">
        <v>0</v>
      </c>
      <c r="AD22">
        <v>0</v>
      </c>
      <c r="AE22">
        <v>32.24</v>
      </c>
      <c r="AF22">
        <v>0</v>
      </c>
      <c r="AG22">
        <v>0</v>
      </c>
      <c r="AH22">
        <v>0</v>
      </c>
      <c r="AI22">
        <v>5.41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1</v>
      </c>
      <c r="AU22" t="s">
        <v>3</v>
      </c>
      <c r="AV22">
        <v>0</v>
      </c>
      <c r="AW22">
        <v>1</v>
      </c>
      <c r="AX22">
        <v>-1</v>
      </c>
      <c r="AY22">
        <v>0</v>
      </c>
      <c r="AZ22">
        <v>0</v>
      </c>
      <c r="BA22" t="s">
        <v>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Y22*Source!I33</f>
        <v>7</v>
      </c>
      <c r="CY22">
        <f>AA22</f>
        <v>174.42</v>
      </c>
      <c r="CZ22">
        <f>AE22</f>
        <v>32.24</v>
      </c>
      <c r="DA22">
        <f>AI22</f>
        <v>5.41</v>
      </c>
      <c r="DB22">
        <f t="shared" si="5"/>
        <v>32.24</v>
      </c>
      <c r="DC22">
        <f t="shared" si="6"/>
        <v>0</v>
      </c>
    </row>
    <row r="23" spans="1:107" x14ac:dyDescent="0.2">
      <c r="A23">
        <f>ROW(Source!A36)</f>
        <v>36</v>
      </c>
      <c r="B23">
        <v>55106055</v>
      </c>
      <c r="C23">
        <v>55106200</v>
      </c>
      <c r="D23">
        <v>22652952</v>
      </c>
      <c r="E23">
        <v>22652947</v>
      </c>
      <c r="F23">
        <v>1</v>
      </c>
      <c r="G23">
        <v>22652947</v>
      </c>
      <c r="H23">
        <v>1</v>
      </c>
      <c r="I23" t="s">
        <v>249</v>
      </c>
      <c r="J23" t="s">
        <v>3</v>
      </c>
      <c r="K23" t="s">
        <v>250</v>
      </c>
      <c r="L23">
        <v>1191</v>
      </c>
      <c r="N23">
        <v>1013</v>
      </c>
      <c r="O23" t="s">
        <v>251</v>
      </c>
      <c r="P23" t="s">
        <v>251</v>
      </c>
      <c r="Q23">
        <v>1</v>
      </c>
      <c r="W23">
        <v>0</v>
      </c>
      <c r="X23">
        <v>476480486</v>
      </c>
      <c r="Y23">
        <v>0.52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0.52</v>
      </c>
      <c r="AU23" t="s">
        <v>3</v>
      </c>
      <c r="AV23">
        <v>1</v>
      </c>
      <c r="AW23">
        <v>2</v>
      </c>
      <c r="AX23">
        <v>55106202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Y23*Source!I36</f>
        <v>3.64</v>
      </c>
      <c r="CY23">
        <f>AD23</f>
        <v>0</v>
      </c>
      <c r="CZ23">
        <f>AH23</f>
        <v>0</v>
      </c>
      <c r="DA23">
        <f>AL23</f>
        <v>1</v>
      </c>
      <c r="DB23">
        <f t="shared" si="5"/>
        <v>0</v>
      </c>
      <c r="DC23">
        <f t="shared" si="6"/>
        <v>0</v>
      </c>
    </row>
    <row r="24" spans="1:107" x14ac:dyDescent="0.2">
      <c r="A24">
        <f>ROW(Source!A37)</f>
        <v>37</v>
      </c>
      <c r="B24">
        <v>55106052</v>
      </c>
      <c r="C24">
        <v>55106200</v>
      </c>
      <c r="D24">
        <v>22652952</v>
      </c>
      <c r="E24">
        <v>22652947</v>
      </c>
      <c r="F24">
        <v>1</v>
      </c>
      <c r="G24">
        <v>22652947</v>
      </c>
      <c r="H24">
        <v>1</v>
      </c>
      <c r="I24" t="s">
        <v>249</v>
      </c>
      <c r="J24" t="s">
        <v>3</v>
      </c>
      <c r="K24" t="s">
        <v>250</v>
      </c>
      <c r="L24">
        <v>1191</v>
      </c>
      <c r="N24">
        <v>1013</v>
      </c>
      <c r="O24" t="s">
        <v>251</v>
      </c>
      <c r="P24" t="s">
        <v>251</v>
      </c>
      <c r="Q24">
        <v>1</v>
      </c>
      <c r="W24">
        <v>0</v>
      </c>
      <c r="X24">
        <v>476480486</v>
      </c>
      <c r="Y24">
        <v>0.52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0.52</v>
      </c>
      <c r="AU24" t="s">
        <v>3</v>
      </c>
      <c r="AV24">
        <v>1</v>
      </c>
      <c r="AW24">
        <v>2</v>
      </c>
      <c r="AX24">
        <v>55106202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Y24*Source!I37</f>
        <v>3.64</v>
      </c>
      <c r="CY24">
        <f>AD24</f>
        <v>0</v>
      </c>
      <c r="CZ24">
        <f>AH24</f>
        <v>0</v>
      </c>
      <c r="DA24">
        <f>AL24</f>
        <v>1</v>
      </c>
      <c r="DB24">
        <f t="shared" si="5"/>
        <v>0</v>
      </c>
      <c r="DC24">
        <f t="shared" si="6"/>
        <v>0</v>
      </c>
    </row>
    <row r="25" spans="1:107" x14ac:dyDescent="0.2">
      <c r="A25">
        <f>ROW(Source!A38)</f>
        <v>38</v>
      </c>
      <c r="B25">
        <v>55106055</v>
      </c>
      <c r="C25">
        <v>55106203</v>
      </c>
      <c r="D25">
        <v>22652952</v>
      </c>
      <c r="E25">
        <v>22652947</v>
      </c>
      <c r="F25">
        <v>1</v>
      </c>
      <c r="G25">
        <v>22652947</v>
      </c>
      <c r="H25">
        <v>1</v>
      </c>
      <c r="I25" t="s">
        <v>249</v>
      </c>
      <c r="J25" t="s">
        <v>3</v>
      </c>
      <c r="K25" t="s">
        <v>250</v>
      </c>
      <c r="L25">
        <v>1191</v>
      </c>
      <c r="N25">
        <v>1013</v>
      </c>
      <c r="O25" t="s">
        <v>251</v>
      </c>
      <c r="P25" t="s">
        <v>251</v>
      </c>
      <c r="Q25">
        <v>1</v>
      </c>
      <c r="W25">
        <v>0</v>
      </c>
      <c r="X25">
        <v>476480486</v>
      </c>
      <c r="Y25">
        <v>15.93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15.93</v>
      </c>
      <c r="AU25" t="s">
        <v>3</v>
      </c>
      <c r="AV25">
        <v>1</v>
      </c>
      <c r="AW25">
        <v>2</v>
      </c>
      <c r="AX25">
        <v>55106208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Y25*Source!I38</f>
        <v>15.93</v>
      </c>
      <c r="CY25">
        <f>AD25</f>
        <v>0</v>
      </c>
      <c r="CZ25">
        <f>AH25</f>
        <v>0</v>
      </c>
      <c r="DA25">
        <f>AL25</f>
        <v>1</v>
      </c>
      <c r="DB25">
        <f t="shared" si="5"/>
        <v>0</v>
      </c>
      <c r="DC25">
        <f t="shared" si="6"/>
        <v>0</v>
      </c>
    </row>
    <row r="26" spans="1:107" x14ac:dyDescent="0.2">
      <c r="A26">
        <f>ROW(Source!A38)</f>
        <v>38</v>
      </c>
      <c r="B26">
        <v>55106055</v>
      </c>
      <c r="C26">
        <v>55106203</v>
      </c>
      <c r="D26">
        <v>22706508</v>
      </c>
      <c r="E26">
        <v>1</v>
      </c>
      <c r="F26">
        <v>1</v>
      </c>
      <c r="G26">
        <v>22652947</v>
      </c>
      <c r="H26">
        <v>3</v>
      </c>
      <c r="I26" t="s">
        <v>69</v>
      </c>
      <c r="J26" t="s">
        <v>72</v>
      </c>
      <c r="K26" t="s">
        <v>70</v>
      </c>
      <c r="L26">
        <v>1301</v>
      </c>
      <c r="N26">
        <v>1003</v>
      </c>
      <c r="O26" t="s">
        <v>71</v>
      </c>
      <c r="P26" t="s">
        <v>71</v>
      </c>
      <c r="Q26">
        <v>1</v>
      </c>
      <c r="W26">
        <v>0</v>
      </c>
      <c r="X26">
        <v>-1867355440</v>
      </c>
      <c r="Y26">
        <v>102</v>
      </c>
      <c r="AA26">
        <v>5.19</v>
      </c>
      <c r="AB26">
        <v>0</v>
      </c>
      <c r="AC26">
        <v>0</v>
      </c>
      <c r="AD26">
        <v>0</v>
      </c>
      <c r="AE26">
        <v>5.19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3</v>
      </c>
      <c r="AT26">
        <v>102</v>
      </c>
      <c r="AU26" t="s">
        <v>3</v>
      </c>
      <c r="AV26">
        <v>0</v>
      </c>
      <c r="AW26">
        <v>1</v>
      </c>
      <c r="AX26">
        <v>-1</v>
      </c>
      <c r="AY26">
        <v>0</v>
      </c>
      <c r="AZ26">
        <v>0</v>
      </c>
      <c r="BA26" t="s">
        <v>3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Y26*Source!I38</f>
        <v>102</v>
      </c>
      <c r="CY26">
        <f>AA26</f>
        <v>5.19</v>
      </c>
      <c r="CZ26">
        <f>AE26</f>
        <v>5.19</v>
      </c>
      <c r="DA26">
        <f>AI26</f>
        <v>1</v>
      </c>
      <c r="DB26">
        <f t="shared" si="5"/>
        <v>529.38</v>
      </c>
      <c r="DC26">
        <f t="shared" si="6"/>
        <v>0</v>
      </c>
    </row>
    <row r="27" spans="1:107" x14ac:dyDescent="0.2">
      <c r="A27">
        <f>ROW(Source!A38)</f>
        <v>38</v>
      </c>
      <c r="B27">
        <v>55106055</v>
      </c>
      <c r="C27">
        <v>55106203</v>
      </c>
      <c r="D27">
        <v>22714619</v>
      </c>
      <c r="E27">
        <v>1</v>
      </c>
      <c r="F27">
        <v>1</v>
      </c>
      <c r="G27">
        <v>22652947</v>
      </c>
      <c r="H27">
        <v>3</v>
      </c>
      <c r="I27" t="s">
        <v>78</v>
      </c>
      <c r="J27" t="s">
        <v>81</v>
      </c>
      <c r="K27" t="s">
        <v>79</v>
      </c>
      <c r="L27">
        <v>1355</v>
      </c>
      <c r="N27">
        <v>1010</v>
      </c>
      <c r="O27" t="s">
        <v>80</v>
      </c>
      <c r="P27" t="s">
        <v>80</v>
      </c>
      <c r="Q27">
        <v>100</v>
      </c>
      <c r="W27">
        <v>0</v>
      </c>
      <c r="X27">
        <v>1689615020</v>
      </c>
      <c r="Y27">
        <v>0.91</v>
      </c>
      <c r="AA27">
        <v>154.37</v>
      </c>
      <c r="AB27">
        <v>0</v>
      </c>
      <c r="AC27">
        <v>0</v>
      </c>
      <c r="AD27">
        <v>0</v>
      </c>
      <c r="AE27">
        <v>154.37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3</v>
      </c>
      <c r="AT27">
        <v>0.91</v>
      </c>
      <c r="AU27" t="s">
        <v>3</v>
      </c>
      <c r="AV27">
        <v>0</v>
      </c>
      <c r="AW27">
        <v>1</v>
      </c>
      <c r="AX27">
        <v>-1</v>
      </c>
      <c r="AY27">
        <v>0</v>
      </c>
      <c r="AZ27">
        <v>0</v>
      </c>
      <c r="BA27" t="s">
        <v>3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Y27*Source!I38</f>
        <v>0.91</v>
      </c>
      <c r="CY27">
        <f>AA27</f>
        <v>154.37</v>
      </c>
      <c r="CZ27">
        <f>AE27</f>
        <v>154.37</v>
      </c>
      <c r="DA27">
        <f>AI27</f>
        <v>1</v>
      </c>
      <c r="DB27">
        <f t="shared" si="5"/>
        <v>140.47999999999999</v>
      </c>
      <c r="DC27">
        <f t="shared" si="6"/>
        <v>0</v>
      </c>
    </row>
    <row r="28" spans="1:107" x14ac:dyDescent="0.2">
      <c r="A28">
        <f>ROW(Source!A38)</f>
        <v>38</v>
      </c>
      <c r="B28">
        <v>55106055</v>
      </c>
      <c r="C28">
        <v>55106203</v>
      </c>
      <c r="D28">
        <v>22713808</v>
      </c>
      <c r="E28">
        <v>1</v>
      </c>
      <c r="F28">
        <v>1</v>
      </c>
      <c r="G28">
        <v>22652947</v>
      </c>
      <c r="H28">
        <v>3</v>
      </c>
      <c r="I28" t="s">
        <v>74</v>
      </c>
      <c r="J28" t="s">
        <v>76</v>
      </c>
      <c r="K28" t="s">
        <v>75</v>
      </c>
      <c r="L28">
        <v>1354</v>
      </c>
      <c r="N28">
        <v>1010</v>
      </c>
      <c r="O28" t="s">
        <v>51</v>
      </c>
      <c r="P28" t="s">
        <v>51</v>
      </c>
      <c r="Q28">
        <v>1</v>
      </c>
      <c r="W28">
        <v>0</v>
      </c>
      <c r="X28">
        <v>-838499012</v>
      </c>
      <c r="Y28">
        <v>5</v>
      </c>
      <c r="AA28">
        <v>26.19</v>
      </c>
      <c r="AB28">
        <v>0</v>
      </c>
      <c r="AC28">
        <v>0</v>
      </c>
      <c r="AD28">
        <v>0</v>
      </c>
      <c r="AE28">
        <v>26.19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3</v>
      </c>
      <c r="AT28">
        <v>5</v>
      </c>
      <c r="AU28" t="s">
        <v>3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Y28*Source!I38</f>
        <v>5</v>
      </c>
      <c r="CY28">
        <f>AA28</f>
        <v>26.19</v>
      </c>
      <c r="CZ28">
        <f>AE28</f>
        <v>26.19</v>
      </c>
      <c r="DA28">
        <f>AI28</f>
        <v>1</v>
      </c>
      <c r="DB28">
        <f t="shared" si="5"/>
        <v>130.94999999999999</v>
      </c>
      <c r="DC28">
        <f t="shared" si="6"/>
        <v>0</v>
      </c>
    </row>
    <row r="29" spans="1:107" x14ac:dyDescent="0.2">
      <c r="A29">
        <f>ROW(Source!A39)</f>
        <v>39</v>
      </c>
      <c r="B29">
        <v>55106052</v>
      </c>
      <c r="C29">
        <v>55106203</v>
      </c>
      <c r="D29">
        <v>22652952</v>
      </c>
      <c r="E29">
        <v>22652947</v>
      </c>
      <c r="F29">
        <v>1</v>
      </c>
      <c r="G29">
        <v>22652947</v>
      </c>
      <c r="H29">
        <v>1</v>
      </c>
      <c r="I29" t="s">
        <v>249</v>
      </c>
      <c r="J29" t="s">
        <v>3</v>
      </c>
      <c r="K29" t="s">
        <v>250</v>
      </c>
      <c r="L29">
        <v>1191</v>
      </c>
      <c r="N29">
        <v>1013</v>
      </c>
      <c r="O29" t="s">
        <v>251</v>
      </c>
      <c r="P29" t="s">
        <v>251</v>
      </c>
      <c r="Q29">
        <v>1</v>
      </c>
      <c r="W29">
        <v>0</v>
      </c>
      <c r="X29">
        <v>476480486</v>
      </c>
      <c r="Y29">
        <v>15.93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15.93</v>
      </c>
      <c r="AU29" t="s">
        <v>3</v>
      </c>
      <c r="AV29">
        <v>1</v>
      </c>
      <c r="AW29">
        <v>2</v>
      </c>
      <c r="AX29">
        <v>55106208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Y29*Source!I39</f>
        <v>15.93</v>
      </c>
      <c r="CY29">
        <f>AD29</f>
        <v>0</v>
      </c>
      <c r="CZ29">
        <f>AH29</f>
        <v>0</v>
      </c>
      <c r="DA29">
        <f>AL29</f>
        <v>1</v>
      </c>
      <c r="DB29">
        <f t="shared" si="5"/>
        <v>0</v>
      </c>
      <c r="DC29">
        <f t="shared" si="6"/>
        <v>0</v>
      </c>
    </row>
    <row r="30" spans="1:107" x14ac:dyDescent="0.2">
      <c r="A30">
        <f>ROW(Source!A39)</f>
        <v>39</v>
      </c>
      <c r="B30">
        <v>55106052</v>
      </c>
      <c r="C30">
        <v>55106203</v>
      </c>
      <c r="D30">
        <v>22706508</v>
      </c>
      <c r="E30">
        <v>1</v>
      </c>
      <c r="F30">
        <v>1</v>
      </c>
      <c r="G30">
        <v>22652947</v>
      </c>
      <c r="H30">
        <v>3</v>
      </c>
      <c r="I30" t="s">
        <v>69</v>
      </c>
      <c r="J30" t="s">
        <v>72</v>
      </c>
      <c r="K30" t="s">
        <v>70</v>
      </c>
      <c r="L30">
        <v>1301</v>
      </c>
      <c r="N30">
        <v>1003</v>
      </c>
      <c r="O30" t="s">
        <v>71</v>
      </c>
      <c r="P30" t="s">
        <v>71</v>
      </c>
      <c r="Q30">
        <v>1</v>
      </c>
      <c r="W30">
        <v>0</v>
      </c>
      <c r="X30">
        <v>-1867355440</v>
      </c>
      <c r="Y30">
        <v>102</v>
      </c>
      <c r="AA30">
        <v>34.51</v>
      </c>
      <c r="AB30">
        <v>0</v>
      </c>
      <c r="AC30">
        <v>0</v>
      </c>
      <c r="AD30">
        <v>0</v>
      </c>
      <c r="AE30">
        <v>5.19</v>
      </c>
      <c r="AF30">
        <v>0</v>
      </c>
      <c r="AG30">
        <v>0</v>
      </c>
      <c r="AH30">
        <v>0</v>
      </c>
      <c r="AI30">
        <v>6.65</v>
      </c>
      <c r="AJ30">
        <v>1</v>
      </c>
      <c r="AK30">
        <v>1</v>
      </c>
      <c r="AL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3</v>
      </c>
      <c r="AT30">
        <v>102</v>
      </c>
      <c r="AU30" t="s">
        <v>3</v>
      </c>
      <c r="AV30">
        <v>0</v>
      </c>
      <c r="AW30">
        <v>1</v>
      </c>
      <c r="AX30">
        <v>-1</v>
      </c>
      <c r="AY30">
        <v>0</v>
      </c>
      <c r="AZ30">
        <v>0</v>
      </c>
      <c r="BA30" t="s">
        <v>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Y30*Source!I39</f>
        <v>102</v>
      </c>
      <c r="CY30">
        <f>AA30</f>
        <v>34.51</v>
      </c>
      <c r="CZ30">
        <f>AE30</f>
        <v>5.19</v>
      </c>
      <c r="DA30">
        <f>AI30</f>
        <v>6.65</v>
      </c>
      <c r="DB30">
        <f t="shared" si="5"/>
        <v>529.38</v>
      </c>
      <c r="DC30">
        <f t="shared" si="6"/>
        <v>0</v>
      </c>
    </row>
    <row r="31" spans="1:107" x14ac:dyDescent="0.2">
      <c r="A31">
        <f>ROW(Source!A39)</f>
        <v>39</v>
      </c>
      <c r="B31">
        <v>55106052</v>
      </c>
      <c r="C31">
        <v>55106203</v>
      </c>
      <c r="D31">
        <v>22714619</v>
      </c>
      <c r="E31">
        <v>1</v>
      </c>
      <c r="F31">
        <v>1</v>
      </c>
      <c r="G31">
        <v>22652947</v>
      </c>
      <c r="H31">
        <v>3</v>
      </c>
      <c r="I31" t="s">
        <v>78</v>
      </c>
      <c r="J31" t="s">
        <v>81</v>
      </c>
      <c r="K31" t="s">
        <v>79</v>
      </c>
      <c r="L31">
        <v>1355</v>
      </c>
      <c r="N31">
        <v>1010</v>
      </c>
      <c r="O31" t="s">
        <v>80</v>
      </c>
      <c r="P31" t="s">
        <v>80</v>
      </c>
      <c r="Q31">
        <v>100</v>
      </c>
      <c r="W31">
        <v>0</v>
      </c>
      <c r="X31">
        <v>1689615020</v>
      </c>
      <c r="Y31">
        <v>0.91</v>
      </c>
      <c r="AA31">
        <v>214.57</v>
      </c>
      <c r="AB31">
        <v>0</v>
      </c>
      <c r="AC31">
        <v>0</v>
      </c>
      <c r="AD31">
        <v>0</v>
      </c>
      <c r="AE31">
        <v>154.37</v>
      </c>
      <c r="AF31">
        <v>0</v>
      </c>
      <c r="AG31">
        <v>0</v>
      </c>
      <c r="AH31">
        <v>0</v>
      </c>
      <c r="AI31">
        <v>1.39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3</v>
      </c>
      <c r="AT31">
        <v>0.91</v>
      </c>
      <c r="AU31" t="s">
        <v>3</v>
      </c>
      <c r="AV31">
        <v>0</v>
      </c>
      <c r="AW31">
        <v>1</v>
      </c>
      <c r="AX31">
        <v>-1</v>
      </c>
      <c r="AY31">
        <v>0</v>
      </c>
      <c r="AZ31">
        <v>0</v>
      </c>
      <c r="BA31" t="s">
        <v>3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Y31*Source!I39</f>
        <v>0.91</v>
      </c>
      <c r="CY31">
        <f>AA31</f>
        <v>214.57</v>
      </c>
      <c r="CZ31">
        <f>AE31</f>
        <v>154.37</v>
      </c>
      <c r="DA31">
        <f>AI31</f>
        <v>1.39</v>
      </c>
      <c r="DB31">
        <f t="shared" si="5"/>
        <v>140.47999999999999</v>
      </c>
      <c r="DC31">
        <f t="shared" si="6"/>
        <v>0</v>
      </c>
    </row>
    <row r="32" spans="1:107" x14ac:dyDescent="0.2">
      <c r="A32">
        <f>ROW(Source!A39)</f>
        <v>39</v>
      </c>
      <c r="B32">
        <v>55106052</v>
      </c>
      <c r="C32">
        <v>55106203</v>
      </c>
      <c r="D32">
        <v>22713808</v>
      </c>
      <c r="E32">
        <v>1</v>
      </c>
      <c r="F32">
        <v>1</v>
      </c>
      <c r="G32">
        <v>22652947</v>
      </c>
      <c r="H32">
        <v>3</v>
      </c>
      <c r="I32" t="s">
        <v>74</v>
      </c>
      <c r="J32" t="s">
        <v>76</v>
      </c>
      <c r="K32" t="s">
        <v>75</v>
      </c>
      <c r="L32">
        <v>1354</v>
      </c>
      <c r="N32">
        <v>1010</v>
      </c>
      <c r="O32" t="s">
        <v>51</v>
      </c>
      <c r="P32" t="s">
        <v>51</v>
      </c>
      <c r="Q32">
        <v>1</v>
      </c>
      <c r="W32">
        <v>0</v>
      </c>
      <c r="X32">
        <v>-838499012</v>
      </c>
      <c r="Y32">
        <v>5</v>
      </c>
      <c r="AA32">
        <v>25.14</v>
      </c>
      <c r="AB32">
        <v>0</v>
      </c>
      <c r="AC32">
        <v>0</v>
      </c>
      <c r="AD32">
        <v>0</v>
      </c>
      <c r="AE32">
        <v>26.19</v>
      </c>
      <c r="AF32">
        <v>0</v>
      </c>
      <c r="AG32">
        <v>0</v>
      </c>
      <c r="AH32">
        <v>0</v>
      </c>
      <c r="AI32">
        <v>0.96</v>
      </c>
      <c r="AJ32">
        <v>1</v>
      </c>
      <c r="AK32">
        <v>1</v>
      </c>
      <c r="AL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3</v>
      </c>
      <c r="AT32">
        <v>5</v>
      </c>
      <c r="AU32" t="s">
        <v>3</v>
      </c>
      <c r="AV32">
        <v>0</v>
      </c>
      <c r="AW32">
        <v>1</v>
      </c>
      <c r="AX32">
        <v>-1</v>
      </c>
      <c r="AY32">
        <v>0</v>
      </c>
      <c r="AZ32">
        <v>0</v>
      </c>
      <c r="BA32" t="s">
        <v>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Y32*Source!I39</f>
        <v>5</v>
      </c>
      <c r="CY32">
        <f>AA32</f>
        <v>25.14</v>
      </c>
      <c r="CZ32">
        <f>AE32</f>
        <v>26.19</v>
      </c>
      <c r="DA32">
        <f>AI32</f>
        <v>0.96</v>
      </c>
      <c r="DB32">
        <f t="shared" si="5"/>
        <v>130.94999999999999</v>
      </c>
      <c r="DC32">
        <f t="shared" si="6"/>
        <v>0</v>
      </c>
    </row>
    <row r="33" spans="1:107" x14ac:dyDescent="0.2">
      <c r="A33">
        <f>ROW(Source!A46)</f>
        <v>46</v>
      </c>
      <c r="B33">
        <v>55106055</v>
      </c>
      <c r="C33">
        <v>55106215</v>
      </c>
      <c r="D33">
        <v>22652952</v>
      </c>
      <c r="E33">
        <v>22652947</v>
      </c>
      <c r="F33">
        <v>1</v>
      </c>
      <c r="G33">
        <v>22652947</v>
      </c>
      <c r="H33">
        <v>1</v>
      </c>
      <c r="I33" t="s">
        <v>249</v>
      </c>
      <c r="J33" t="s">
        <v>3</v>
      </c>
      <c r="K33" t="s">
        <v>250</v>
      </c>
      <c r="L33">
        <v>1191</v>
      </c>
      <c r="N33">
        <v>1013</v>
      </c>
      <c r="O33" t="s">
        <v>251</v>
      </c>
      <c r="P33" t="s">
        <v>251</v>
      </c>
      <c r="Q33">
        <v>1</v>
      </c>
      <c r="W33">
        <v>0</v>
      </c>
      <c r="X33">
        <v>476480486</v>
      </c>
      <c r="Y33">
        <v>40.67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40.67</v>
      </c>
      <c r="AU33" t="s">
        <v>3</v>
      </c>
      <c r="AV33">
        <v>1</v>
      </c>
      <c r="AW33">
        <v>2</v>
      </c>
      <c r="AX33">
        <v>55106221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Y33*Source!I46</f>
        <v>20.335000000000001</v>
      </c>
      <c r="CY33">
        <f>AD33</f>
        <v>0</v>
      </c>
      <c r="CZ33">
        <f>AH33</f>
        <v>0</v>
      </c>
      <c r="DA33">
        <f>AL33</f>
        <v>1</v>
      </c>
      <c r="DB33">
        <f t="shared" si="5"/>
        <v>0</v>
      </c>
      <c r="DC33">
        <f t="shared" si="6"/>
        <v>0</v>
      </c>
    </row>
    <row r="34" spans="1:107" x14ac:dyDescent="0.2">
      <c r="A34">
        <f>ROW(Source!A46)</f>
        <v>46</v>
      </c>
      <c r="B34">
        <v>55106055</v>
      </c>
      <c r="C34">
        <v>55106215</v>
      </c>
      <c r="D34">
        <v>22703036</v>
      </c>
      <c r="E34">
        <v>1</v>
      </c>
      <c r="F34">
        <v>1</v>
      </c>
      <c r="G34">
        <v>22652947</v>
      </c>
      <c r="H34">
        <v>3</v>
      </c>
      <c r="I34" t="s">
        <v>89</v>
      </c>
      <c r="J34" t="s">
        <v>91</v>
      </c>
      <c r="K34" t="s">
        <v>90</v>
      </c>
      <c r="L34">
        <v>1301</v>
      </c>
      <c r="N34">
        <v>1003</v>
      </c>
      <c r="O34" t="s">
        <v>71</v>
      </c>
      <c r="P34" t="s">
        <v>71</v>
      </c>
      <c r="Q34">
        <v>1</v>
      </c>
      <c r="W34">
        <v>0</v>
      </c>
      <c r="X34">
        <v>-1211388013</v>
      </c>
      <c r="Y34">
        <v>100</v>
      </c>
      <c r="AA34">
        <v>7.28</v>
      </c>
      <c r="AB34">
        <v>0</v>
      </c>
      <c r="AC34">
        <v>0</v>
      </c>
      <c r="AD34">
        <v>0</v>
      </c>
      <c r="AE34">
        <v>7.28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3</v>
      </c>
      <c r="AT34">
        <v>100</v>
      </c>
      <c r="AU34" t="s">
        <v>3</v>
      </c>
      <c r="AV34">
        <v>0</v>
      </c>
      <c r="AW34">
        <v>1</v>
      </c>
      <c r="AX34">
        <v>-1</v>
      </c>
      <c r="AY34">
        <v>0</v>
      </c>
      <c r="AZ34">
        <v>0</v>
      </c>
      <c r="BA34" t="s">
        <v>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Y34*Source!I46</f>
        <v>50</v>
      </c>
      <c r="CY34">
        <f>AA34</f>
        <v>7.28</v>
      </c>
      <c r="CZ34">
        <f>AE34</f>
        <v>7.28</v>
      </c>
      <c r="DA34">
        <f>AI34</f>
        <v>1</v>
      </c>
      <c r="DB34">
        <f t="shared" si="5"/>
        <v>728</v>
      </c>
      <c r="DC34">
        <f t="shared" si="6"/>
        <v>0</v>
      </c>
    </row>
    <row r="35" spans="1:107" x14ac:dyDescent="0.2">
      <c r="A35">
        <f>ROW(Source!A46)</f>
        <v>46</v>
      </c>
      <c r="B35">
        <v>55106055</v>
      </c>
      <c r="C35">
        <v>55106215</v>
      </c>
      <c r="D35">
        <v>22703037</v>
      </c>
      <c r="E35">
        <v>1</v>
      </c>
      <c r="F35">
        <v>1</v>
      </c>
      <c r="G35">
        <v>22652947</v>
      </c>
      <c r="H35">
        <v>3</v>
      </c>
      <c r="I35" t="s">
        <v>102</v>
      </c>
      <c r="J35" t="s">
        <v>104</v>
      </c>
      <c r="K35" t="s">
        <v>103</v>
      </c>
      <c r="L35">
        <v>1356</v>
      </c>
      <c r="N35">
        <v>1010</v>
      </c>
      <c r="O35" t="s">
        <v>95</v>
      </c>
      <c r="P35" t="s">
        <v>95</v>
      </c>
      <c r="Q35">
        <v>1000</v>
      </c>
      <c r="W35">
        <v>0</v>
      </c>
      <c r="X35">
        <v>2124294238</v>
      </c>
      <c r="Y35">
        <v>1.4E-2</v>
      </c>
      <c r="AA35">
        <v>8875.18</v>
      </c>
      <c r="AB35">
        <v>0</v>
      </c>
      <c r="AC35">
        <v>0</v>
      </c>
      <c r="AD35">
        <v>0</v>
      </c>
      <c r="AE35">
        <v>8875.18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3</v>
      </c>
      <c r="AT35">
        <v>1.4E-2</v>
      </c>
      <c r="AU35" t="s">
        <v>3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Y35*Source!I46</f>
        <v>7.0000000000000001E-3</v>
      </c>
      <c r="CY35">
        <f>AA35</f>
        <v>8875.18</v>
      </c>
      <c r="CZ35">
        <f>AE35</f>
        <v>8875.18</v>
      </c>
      <c r="DA35">
        <f>AI35</f>
        <v>1</v>
      </c>
      <c r="DB35">
        <f t="shared" si="5"/>
        <v>124.25</v>
      </c>
      <c r="DC35">
        <f t="shared" si="6"/>
        <v>0</v>
      </c>
    </row>
    <row r="36" spans="1:107" x14ac:dyDescent="0.2">
      <c r="A36">
        <f>ROW(Source!A46)</f>
        <v>46</v>
      </c>
      <c r="B36">
        <v>55106055</v>
      </c>
      <c r="C36">
        <v>55106215</v>
      </c>
      <c r="D36">
        <v>22703038</v>
      </c>
      <c r="E36">
        <v>1</v>
      </c>
      <c r="F36">
        <v>1</v>
      </c>
      <c r="G36">
        <v>22652947</v>
      </c>
      <c r="H36">
        <v>3</v>
      </c>
      <c r="I36" t="s">
        <v>93</v>
      </c>
      <c r="J36" t="s">
        <v>96</v>
      </c>
      <c r="K36" t="s">
        <v>94</v>
      </c>
      <c r="L36">
        <v>1356</v>
      </c>
      <c r="N36">
        <v>1010</v>
      </c>
      <c r="O36" t="s">
        <v>95</v>
      </c>
      <c r="P36" t="s">
        <v>95</v>
      </c>
      <c r="Q36">
        <v>1000</v>
      </c>
      <c r="W36">
        <v>0</v>
      </c>
      <c r="X36">
        <v>2143346931</v>
      </c>
      <c r="Y36">
        <v>0.02</v>
      </c>
      <c r="AA36">
        <v>11139.68</v>
      </c>
      <c r="AB36">
        <v>0</v>
      </c>
      <c r="AC36">
        <v>0</v>
      </c>
      <c r="AD36">
        <v>0</v>
      </c>
      <c r="AE36">
        <v>11139.68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3</v>
      </c>
      <c r="AT36">
        <v>0.02</v>
      </c>
      <c r="AU36" t="s">
        <v>3</v>
      </c>
      <c r="AV36">
        <v>0</v>
      </c>
      <c r="AW36">
        <v>1</v>
      </c>
      <c r="AX36">
        <v>-1</v>
      </c>
      <c r="AY36">
        <v>0</v>
      </c>
      <c r="AZ36">
        <v>0</v>
      </c>
      <c r="BA36" t="s">
        <v>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Y36*Source!I46</f>
        <v>0.01</v>
      </c>
      <c r="CY36">
        <f>AA36</f>
        <v>11139.68</v>
      </c>
      <c r="CZ36">
        <f>AE36</f>
        <v>11139.68</v>
      </c>
      <c r="DA36">
        <f>AI36</f>
        <v>1</v>
      </c>
      <c r="DB36">
        <f t="shared" si="5"/>
        <v>222.79</v>
      </c>
      <c r="DC36">
        <f t="shared" si="6"/>
        <v>0</v>
      </c>
    </row>
    <row r="37" spans="1:107" x14ac:dyDescent="0.2">
      <c r="A37">
        <f>ROW(Source!A46)</f>
        <v>46</v>
      </c>
      <c r="B37">
        <v>55106055</v>
      </c>
      <c r="C37">
        <v>55106215</v>
      </c>
      <c r="D37">
        <v>22703040</v>
      </c>
      <c r="E37">
        <v>1</v>
      </c>
      <c r="F37">
        <v>1</v>
      </c>
      <c r="G37">
        <v>22652947</v>
      </c>
      <c r="H37">
        <v>3</v>
      </c>
      <c r="I37" t="s">
        <v>98</v>
      </c>
      <c r="J37" t="s">
        <v>100</v>
      </c>
      <c r="K37" t="s">
        <v>99</v>
      </c>
      <c r="L37">
        <v>1356</v>
      </c>
      <c r="N37">
        <v>1010</v>
      </c>
      <c r="O37" t="s">
        <v>95</v>
      </c>
      <c r="P37" t="s">
        <v>95</v>
      </c>
      <c r="Q37">
        <v>1000</v>
      </c>
      <c r="W37">
        <v>0</v>
      </c>
      <c r="X37">
        <v>1934155101</v>
      </c>
      <c r="Y37">
        <v>6.0000000000000001E-3</v>
      </c>
      <c r="AA37">
        <v>5447.7</v>
      </c>
      <c r="AB37">
        <v>0</v>
      </c>
      <c r="AC37">
        <v>0</v>
      </c>
      <c r="AD37">
        <v>0</v>
      </c>
      <c r="AE37">
        <v>5447.7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3</v>
      </c>
      <c r="AT37">
        <v>6.0000000000000001E-3</v>
      </c>
      <c r="AU37" t="s">
        <v>3</v>
      </c>
      <c r="AV37">
        <v>0</v>
      </c>
      <c r="AW37">
        <v>1</v>
      </c>
      <c r="AX37">
        <v>-1</v>
      </c>
      <c r="AY37">
        <v>0</v>
      </c>
      <c r="AZ37">
        <v>0</v>
      </c>
      <c r="BA37" t="s">
        <v>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Y37*Source!I46</f>
        <v>3.0000000000000001E-3</v>
      </c>
      <c r="CY37">
        <f>AA37</f>
        <v>5447.7</v>
      </c>
      <c r="CZ37">
        <f>AE37</f>
        <v>5447.7</v>
      </c>
      <c r="DA37">
        <f>AI37</f>
        <v>1</v>
      </c>
      <c r="DB37">
        <f t="shared" si="5"/>
        <v>32.69</v>
      </c>
      <c r="DC37">
        <f t="shared" si="6"/>
        <v>0</v>
      </c>
    </row>
    <row r="38" spans="1:107" x14ac:dyDescent="0.2">
      <c r="A38">
        <f>ROW(Source!A47)</f>
        <v>47</v>
      </c>
      <c r="B38">
        <v>55106052</v>
      </c>
      <c r="C38">
        <v>55106215</v>
      </c>
      <c r="D38">
        <v>22652952</v>
      </c>
      <c r="E38">
        <v>22652947</v>
      </c>
      <c r="F38">
        <v>1</v>
      </c>
      <c r="G38">
        <v>22652947</v>
      </c>
      <c r="H38">
        <v>1</v>
      </c>
      <c r="I38" t="s">
        <v>249</v>
      </c>
      <c r="J38" t="s">
        <v>3</v>
      </c>
      <c r="K38" t="s">
        <v>250</v>
      </c>
      <c r="L38">
        <v>1191</v>
      </c>
      <c r="N38">
        <v>1013</v>
      </c>
      <c r="O38" t="s">
        <v>251</v>
      </c>
      <c r="P38" t="s">
        <v>251</v>
      </c>
      <c r="Q38">
        <v>1</v>
      </c>
      <c r="W38">
        <v>0</v>
      </c>
      <c r="X38">
        <v>476480486</v>
      </c>
      <c r="Y38">
        <v>40.67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40.67</v>
      </c>
      <c r="AU38" t="s">
        <v>3</v>
      </c>
      <c r="AV38">
        <v>1</v>
      </c>
      <c r="AW38">
        <v>2</v>
      </c>
      <c r="AX38">
        <v>55106221</v>
      </c>
      <c r="AY38">
        <v>1</v>
      </c>
      <c r="AZ38">
        <v>0</v>
      </c>
      <c r="BA38">
        <v>41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Y38*Source!I47</f>
        <v>20.335000000000001</v>
      </c>
      <c r="CY38">
        <f>AD38</f>
        <v>0</v>
      </c>
      <c r="CZ38">
        <f>AH38</f>
        <v>0</v>
      </c>
      <c r="DA38">
        <f>AL38</f>
        <v>1</v>
      </c>
      <c r="DB38">
        <f t="shared" si="5"/>
        <v>0</v>
      </c>
      <c r="DC38">
        <f t="shared" si="6"/>
        <v>0</v>
      </c>
    </row>
    <row r="39" spans="1:107" x14ac:dyDescent="0.2">
      <c r="A39">
        <f>ROW(Source!A47)</f>
        <v>47</v>
      </c>
      <c r="B39">
        <v>55106052</v>
      </c>
      <c r="C39">
        <v>55106215</v>
      </c>
      <c r="D39">
        <v>22703036</v>
      </c>
      <c r="E39">
        <v>1</v>
      </c>
      <c r="F39">
        <v>1</v>
      </c>
      <c r="G39">
        <v>22652947</v>
      </c>
      <c r="H39">
        <v>3</v>
      </c>
      <c r="I39" t="s">
        <v>89</v>
      </c>
      <c r="J39" t="s">
        <v>91</v>
      </c>
      <c r="K39" t="s">
        <v>90</v>
      </c>
      <c r="L39">
        <v>1301</v>
      </c>
      <c r="N39">
        <v>1003</v>
      </c>
      <c r="O39" t="s">
        <v>71</v>
      </c>
      <c r="P39" t="s">
        <v>71</v>
      </c>
      <c r="Q39">
        <v>1</v>
      </c>
      <c r="W39">
        <v>0</v>
      </c>
      <c r="X39">
        <v>-1211388013</v>
      </c>
      <c r="Y39">
        <v>100</v>
      </c>
      <c r="AA39">
        <v>13.47</v>
      </c>
      <c r="AB39">
        <v>0</v>
      </c>
      <c r="AC39">
        <v>0</v>
      </c>
      <c r="AD39">
        <v>0</v>
      </c>
      <c r="AE39">
        <v>7.28</v>
      </c>
      <c r="AF39">
        <v>0</v>
      </c>
      <c r="AG39">
        <v>0</v>
      </c>
      <c r="AH39">
        <v>0</v>
      </c>
      <c r="AI39">
        <v>1.85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3</v>
      </c>
      <c r="AT39">
        <v>100</v>
      </c>
      <c r="AU39" t="s">
        <v>3</v>
      </c>
      <c r="AV39">
        <v>0</v>
      </c>
      <c r="AW39">
        <v>1</v>
      </c>
      <c r="AX39">
        <v>-1</v>
      </c>
      <c r="AY39">
        <v>0</v>
      </c>
      <c r="AZ39">
        <v>0</v>
      </c>
      <c r="BA39" t="s">
        <v>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Y39*Source!I47</f>
        <v>50</v>
      </c>
      <c r="CY39">
        <f>AA39</f>
        <v>13.47</v>
      </c>
      <c r="CZ39">
        <f>AE39</f>
        <v>7.28</v>
      </c>
      <c r="DA39">
        <f>AI39</f>
        <v>1.85</v>
      </c>
      <c r="DB39">
        <f t="shared" si="5"/>
        <v>728</v>
      </c>
      <c r="DC39">
        <f t="shared" si="6"/>
        <v>0</v>
      </c>
    </row>
    <row r="40" spans="1:107" x14ac:dyDescent="0.2">
      <c r="A40">
        <f>ROW(Source!A47)</f>
        <v>47</v>
      </c>
      <c r="B40">
        <v>55106052</v>
      </c>
      <c r="C40">
        <v>55106215</v>
      </c>
      <c r="D40">
        <v>22703037</v>
      </c>
      <c r="E40">
        <v>1</v>
      </c>
      <c r="F40">
        <v>1</v>
      </c>
      <c r="G40">
        <v>22652947</v>
      </c>
      <c r="H40">
        <v>3</v>
      </c>
      <c r="I40" t="s">
        <v>102</v>
      </c>
      <c r="J40" t="s">
        <v>104</v>
      </c>
      <c r="K40" t="s">
        <v>103</v>
      </c>
      <c r="L40">
        <v>1356</v>
      </c>
      <c r="N40">
        <v>1010</v>
      </c>
      <c r="O40" t="s">
        <v>95</v>
      </c>
      <c r="P40" t="s">
        <v>95</v>
      </c>
      <c r="Q40">
        <v>1000</v>
      </c>
      <c r="W40">
        <v>0</v>
      </c>
      <c r="X40">
        <v>2124294238</v>
      </c>
      <c r="Y40">
        <v>1.4E-2</v>
      </c>
      <c r="AA40">
        <v>12780.26</v>
      </c>
      <c r="AB40">
        <v>0</v>
      </c>
      <c r="AC40">
        <v>0</v>
      </c>
      <c r="AD40">
        <v>0</v>
      </c>
      <c r="AE40">
        <v>8875.18</v>
      </c>
      <c r="AF40">
        <v>0</v>
      </c>
      <c r="AG40">
        <v>0</v>
      </c>
      <c r="AH40">
        <v>0</v>
      </c>
      <c r="AI40">
        <v>1.44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3</v>
      </c>
      <c r="AT40">
        <v>1.4E-2</v>
      </c>
      <c r="AU40" t="s">
        <v>3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3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Y40*Source!I47</f>
        <v>7.0000000000000001E-3</v>
      </c>
      <c r="CY40">
        <f>AA40</f>
        <v>12780.26</v>
      </c>
      <c r="CZ40">
        <f>AE40</f>
        <v>8875.18</v>
      </c>
      <c r="DA40">
        <f>AI40</f>
        <v>1.44</v>
      </c>
      <c r="DB40">
        <f t="shared" si="5"/>
        <v>124.25</v>
      </c>
      <c r="DC40">
        <f t="shared" si="6"/>
        <v>0</v>
      </c>
    </row>
    <row r="41" spans="1:107" x14ac:dyDescent="0.2">
      <c r="A41">
        <f>ROW(Source!A47)</f>
        <v>47</v>
      </c>
      <c r="B41">
        <v>55106052</v>
      </c>
      <c r="C41">
        <v>55106215</v>
      </c>
      <c r="D41">
        <v>22703038</v>
      </c>
      <c r="E41">
        <v>1</v>
      </c>
      <c r="F41">
        <v>1</v>
      </c>
      <c r="G41">
        <v>22652947</v>
      </c>
      <c r="H41">
        <v>3</v>
      </c>
      <c r="I41" t="s">
        <v>93</v>
      </c>
      <c r="J41" t="s">
        <v>96</v>
      </c>
      <c r="K41" t="s">
        <v>94</v>
      </c>
      <c r="L41">
        <v>1356</v>
      </c>
      <c r="N41">
        <v>1010</v>
      </c>
      <c r="O41" t="s">
        <v>95</v>
      </c>
      <c r="P41" t="s">
        <v>95</v>
      </c>
      <c r="Q41">
        <v>1000</v>
      </c>
      <c r="W41">
        <v>0</v>
      </c>
      <c r="X41">
        <v>2143346931</v>
      </c>
      <c r="Y41">
        <v>0.02</v>
      </c>
      <c r="AA41">
        <v>12699.24</v>
      </c>
      <c r="AB41">
        <v>0</v>
      </c>
      <c r="AC41">
        <v>0</v>
      </c>
      <c r="AD41">
        <v>0</v>
      </c>
      <c r="AE41">
        <v>11139.68</v>
      </c>
      <c r="AF41">
        <v>0</v>
      </c>
      <c r="AG41">
        <v>0</v>
      </c>
      <c r="AH41">
        <v>0</v>
      </c>
      <c r="AI41">
        <v>1.1399999999999999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0.02</v>
      </c>
      <c r="AU41" t="s">
        <v>3</v>
      </c>
      <c r="AV41">
        <v>0</v>
      </c>
      <c r="AW41">
        <v>1</v>
      </c>
      <c r="AX41">
        <v>-1</v>
      </c>
      <c r="AY41">
        <v>0</v>
      </c>
      <c r="AZ41">
        <v>0</v>
      </c>
      <c r="BA41" t="s">
        <v>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Y41*Source!I47</f>
        <v>0.01</v>
      </c>
      <c r="CY41">
        <f>AA41</f>
        <v>12699.24</v>
      </c>
      <c r="CZ41">
        <f>AE41</f>
        <v>11139.68</v>
      </c>
      <c r="DA41">
        <f>AI41</f>
        <v>1.1399999999999999</v>
      </c>
      <c r="DB41">
        <f t="shared" si="5"/>
        <v>222.79</v>
      </c>
      <c r="DC41">
        <f t="shared" si="6"/>
        <v>0</v>
      </c>
    </row>
    <row r="42" spans="1:107" x14ac:dyDescent="0.2">
      <c r="A42">
        <f>ROW(Source!A47)</f>
        <v>47</v>
      </c>
      <c r="B42">
        <v>55106052</v>
      </c>
      <c r="C42">
        <v>55106215</v>
      </c>
      <c r="D42">
        <v>22703040</v>
      </c>
      <c r="E42">
        <v>1</v>
      </c>
      <c r="F42">
        <v>1</v>
      </c>
      <c r="G42">
        <v>22652947</v>
      </c>
      <c r="H42">
        <v>3</v>
      </c>
      <c r="I42" t="s">
        <v>98</v>
      </c>
      <c r="J42" t="s">
        <v>100</v>
      </c>
      <c r="K42" t="s">
        <v>99</v>
      </c>
      <c r="L42">
        <v>1356</v>
      </c>
      <c r="N42">
        <v>1010</v>
      </c>
      <c r="O42" t="s">
        <v>95</v>
      </c>
      <c r="P42" t="s">
        <v>95</v>
      </c>
      <c r="Q42">
        <v>1000</v>
      </c>
      <c r="W42">
        <v>0</v>
      </c>
      <c r="X42">
        <v>1934155101</v>
      </c>
      <c r="Y42">
        <v>6.0000000000000001E-3</v>
      </c>
      <c r="AA42">
        <v>9805.86</v>
      </c>
      <c r="AB42">
        <v>0</v>
      </c>
      <c r="AC42">
        <v>0</v>
      </c>
      <c r="AD42">
        <v>0</v>
      </c>
      <c r="AE42">
        <v>5447.7</v>
      </c>
      <c r="AF42">
        <v>0</v>
      </c>
      <c r="AG42">
        <v>0</v>
      </c>
      <c r="AH42">
        <v>0</v>
      </c>
      <c r="AI42">
        <v>1.8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6.0000000000000001E-3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Y42*Source!I47</f>
        <v>3.0000000000000001E-3</v>
      </c>
      <c r="CY42">
        <f>AA42</f>
        <v>9805.86</v>
      </c>
      <c r="CZ42">
        <f>AE42</f>
        <v>5447.7</v>
      </c>
      <c r="DA42">
        <f>AI42</f>
        <v>1.8</v>
      </c>
      <c r="DB42">
        <f t="shared" si="5"/>
        <v>32.69</v>
      </c>
      <c r="DC42">
        <f t="shared" si="6"/>
        <v>0</v>
      </c>
    </row>
    <row r="43" spans="1:107" x14ac:dyDescent="0.2">
      <c r="A43">
        <f>ROW(Source!A60)</f>
        <v>60</v>
      </c>
      <c r="B43">
        <v>55106055</v>
      </c>
      <c r="C43">
        <v>55106235</v>
      </c>
      <c r="D43">
        <v>22652952</v>
      </c>
      <c r="E43">
        <v>22652947</v>
      </c>
      <c r="F43">
        <v>1</v>
      </c>
      <c r="G43">
        <v>22652947</v>
      </c>
      <c r="H43">
        <v>1</v>
      </c>
      <c r="I43" t="s">
        <v>249</v>
      </c>
      <c r="J43" t="s">
        <v>3</v>
      </c>
      <c r="K43" t="s">
        <v>250</v>
      </c>
      <c r="L43">
        <v>1191</v>
      </c>
      <c r="N43">
        <v>1013</v>
      </c>
      <c r="O43" t="s">
        <v>251</v>
      </c>
      <c r="P43" t="s">
        <v>251</v>
      </c>
      <c r="Q43">
        <v>1</v>
      </c>
      <c r="W43">
        <v>0</v>
      </c>
      <c r="X43">
        <v>476480486</v>
      </c>
      <c r="Y43">
        <v>6.18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6.18</v>
      </c>
      <c r="AU43" t="s">
        <v>3</v>
      </c>
      <c r="AV43">
        <v>1</v>
      </c>
      <c r="AW43">
        <v>2</v>
      </c>
      <c r="AX43">
        <v>55106237</v>
      </c>
      <c r="AY43">
        <v>1</v>
      </c>
      <c r="AZ43">
        <v>0</v>
      </c>
      <c r="BA43">
        <v>49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Y43*Source!I60</f>
        <v>6.18</v>
      </c>
      <c r="CY43">
        <f t="shared" ref="CY43:CY53" si="7">AD43</f>
        <v>0</v>
      </c>
      <c r="CZ43">
        <f t="shared" ref="CZ43:CZ53" si="8">AH43</f>
        <v>0</v>
      </c>
      <c r="DA43">
        <f t="shared" ref="DA43:DA53" si="9">AL43</f>
        <v>1</v>
      </c>
      <c r="DB43">
        <f t="shared" si="5"/>
        <v>0</v>
      </c>
      <c r="DC43">
        <f t="shared" si="6"/>
        <v>0</v>
      </c>
    </row>
    <row r="44" spans="1:107" x14ac:dyDescent="0.2">
      <c r="A44">
        <f>ROW(Source!A61)</f>
        <v>61</v>
      </c>
      <c r="B44">
        <v>55106052</v>
      </c>
      <c r="C44">
        <v>55106235</v>
      </c>
      <c r="D44">
        <v>22652952</v>
      </c>
      <c r="E44">
        <v>22652947</v>
      </c>
      <c r="F44">
        <v>1</v>
      </c>
      <c r="G44">
        <v>22652947</v>
      </c>
      <c r="H44">
        <v>1</v>
      </c>
      <c r="I44" t="s">
        <v>249</v>
      </c>
      <c r="J44" t="s">
        <v>3</v>
      </c>
      <c r="K44" t="s">
        <v>250</v>
      </c>
      <c r="L44">
        <v>1191</v>
      </c>
      <c r="N44">
        <v>1013</v>
      </c>
      <c r="O44" t="s">
        <v>251</v>
      </c>
      <c r="P44" t="s">
        <v>251</v>
      </c>
      <c r="Q44">
        <v>1</v>
      </c>
      <c r="W44">
        <v>0</v>
      </c>
      <c r="X44">
        <v>476480486</v>
      </c>
      <c r="Y44">
        <v>6.18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6.18</v>
      </c>
      <c r="AU44" t="s">
        <v>3</v>
      </c>
      <c r="AV44">
        <v>1</v>
      </c>
      <c r="AW44">
        <v>2</v>
      </c>
      <c r="AX44">
        <v>55106237</v>
      </c>
      <c r="AY44">
        <v>1</v>
      </c>
      <c r="AZ44">
        <v>0</v>
      </c>
      <c r="BA44">
        <v>50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Y44*Source!I61</f>
        <v>6.18</v>
      </c>
      <c r="CY44">
        <f t="shared" si="7"/>
        <v>0</v>
      </c>
      <c r="CZ44">
        <f t="shared" si="8"/>
        <v>0</v>
      </c>
      <c r="DA44">
        <f t="shared" si="9"/>
        <v>1</v>
      </c>
      <c r="DB44">
        <f t="shared" si="5"/>
        <v>0</v>
      </c>
      <c r="DC44">
        <f t="shared" si="6"/>
        <v>0</v>
      </c>
    </row>
    <row r="45" spans="1:107" x14ac:dyDescent="0.2">
      <c r="A45">
        <f>ROW(Source!A62)</f>
        <v>62</v>
      </c>
      <c r="B45">
        <v>55106055</v>
      </c>
      <c r="C45">
        <v>55106238</v>
      </c>
      <c r="D45">
        <v>22652952</v>
      </c>
      <c r="E45">
        <v>22652947</v>
      </c>
      <c r="F45">
        <v>1</v>
      </c>
      <c r="G45">
        <v>22652947</v>
      </c>
      <c r="H45">
        <v>1</v>
      </c>
      <c r="I45" t="s">
        <v>249</v>
      </c>
      <c r="J45" t="s">
        <v>3</v>
      </c>
      <c r="K45" t="s">
        <v>250</v>
      </c>
      <c r="L45">
        <v>1191</v>
      </c>
      <c r="N45">
        <v>1013</v>
      </c>
      <c r="O45" t="s">
        <v>251</v>
      </c>
      <c r="P45" t="s">
        <v>251</v>
      </c>
      <c r="Q45">
        <v>1</v>
      </c>
      <c r="W45">
        <v>0</v>
      </c>
      <c r="X45">
        <v>476480486</v>
      </c>
      <c r="Y45">
        <v>3.09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3.09</v>
      </c>
      <c r="AU45" t="s">
        <v>3</v>
      </c>
      <c r="AV45">
        <v>1</v>
      </c>
      <c r="AW45">
        <v>2</v>
      </c>
      <c r="AX45">
        <v>55106240</v>
      </c>
      <c r="AY45">
        <v>1</v>
      </c>
      <c r="AZ45">
        <v>0</v>
      </c>
      <c r="BA45">
        <v>51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Y45*Source!I62</f>
        <v>1.5449999999999999</v>
      </c>
      <c r="CY45">
        <f t="shared" si="7"/>
        <v>0</v>
      </c>
      <c r="CZ45">
        <f t="shared" si="8"/>
        <v>0</v>
      </c>
      <c r="DA45">
        <f t="shared" si="9"/>
        <v>1</v>
      </c>
      <c r="DB45">
        <f t="shared" si="5"/>
        <v>0</v>
      </c>
      <c r="DC45">
        <f t="shared" si="6"/>
        <v>0</v>
      </c>
    </row>
    <row r="46" spans="1:107" x14ac:dyDescent="0.2">
      <c r="A46">
        <f>ROW(Source!A63)</f>
        <v>63</v>
      </c>
      <c r="B46">
        <v>55106052</v>
      </c>
      <c r="C46">
        <v>55106238</v>
      </c>
      <c r="D46">
        <v>22652952</v>
      </c>
      <c r="E46">
        <v>22652947</v>
      </c>
      <c r="F46">
        <v>1</v>
      </c>
      <c r="G46">
        <v>22652947</v>
      </c>
      <c r="H46">
        <v>1</v>
      </c>
      <c r="I46" t="s">
        <v>249</v>
      </c>
      <c r="J46" t="s">
        <v>3</v>
      </c>
      <c r="K46" t="s">
        <v>250</v>
      </c>
      <c r="L46">
        <v>1191</v>
      </c>
      <c r="N46">
        <v>1013</v>
      </c>
      <c r="O46" t="s">
        <v>251</v>
      </c>
      <c r="P46" t="s">
        <v>251</v>
      </c>
      <c r="Q46">
        <v>1</v>
      </c>
      <c r="W46">
        <v>0</v>
      </c>
      <c r="X46">
        <v>476480486</v>
      </c>
      <c r="Y46">
        <v>3.09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3.09</v>
      </c>
      <c r="AU46" t="s">
        <v>3</v>
      </c>
      <c r="AV46">
        <v>1</v>
      </c>
      <c r="AW46">
        <v>2</v>
      </c>
      <c r="AX46">
        <v>55106240</v>
      </c>
      <c r="AY46">
        <v>1</v>
      </c>
      <c r="AZ46">
        <v>0</v>
      </c>
      <c r="BA46">
        <v>52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Y46*Source!I63</f>
        <v>1.5449999999999999</v>
      </c>
      <c r="CY46">
        <f t="shared" si="7"/>
        <v>0</v>
      </c>
      <c r="CZ46">
        <f t="shared" si="8"/>
        <v>0</v>
      </c>
      <c r="DA46">
        <f t="shared" si="9"/>
        <v>1</v>
      </c>
      <c r="DB46">
        <f t="shared" si="5"/>
        <v>0</v>
      </c>
      <c r="DC46">
        <f t="shared" si="6"/>
        <v>0</v>
      </c>
    </row>
    <row r="47" spans="1:107" x14ac:dyDescent="0.2">
      <c r="A47">
        <f>ROW(Source!A64)</f>
        <v>64</v>
      </c>
      <c r="B47">
        <v>55106055</v>
      </c>
      <c r="C47">
        <v>55106241</v>
      </c>
      <c r="D47">
        <v>22652952</v>
      </c>
      <c r="E47">
        <v>22652947</v>
      </c>
      <c r="F47">
        <v>1</v>
      </c>
      <c r="G47">
        <v>22652947</v>
      </c>
      <c r="H47">
        <v>1</v>
      </c>
      <c r="I47" t="s">
        <v>249</v>
      </c>
      <c r="J47" t="s">
        <v>3</v>
      </c>
      <c r="K47" t="s">
        <v>250</v>
      </c>
      <c r="L47">
        <v>1191</v>
      </c>
      <c r="N47">
        <v>1013</v>
      </c>
      <c r="O47" t="s">
        <v>251</v>
      </c>
      <c r="P47" t="s">
        <v>251</v>
      </c>
      <c r="Q47">
        <v>1</v>
      </c>
      <c r="W47">
        <v>0</v>
      </c>
      <c r="X47">
        <v>476480486</v>
      </c>
      <c r="Y47">
        <v>4.12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4.12</v>
      </c>
      <c r="AU47" t="s">
        <v>3</v>
      </c>
      <c r="AV47">
        <v>1</v>
      </c>
      <c r="AW47">
        <v>2</v>
      </c>
      <c r="AX47">
        <v>55106243</v>
      </c>
      <c r="AY47">
        <v>1</v>
      </c>
      <c r="AZ47">
        <v>0</v>
      </c>
      <c r="BA47">
        <v>53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Y47*Source!I64</f>
        <v>41.2</v>
      </c>
      <c r="CY47">
        <f t="shared" si="7"/>
        <v>0</v>
      </c>
      <c r="CZ47">
        <f t="shared" si="8"/>
        <v>0</v>
      </c>
      <c r="DA47">
        <f t="shared" si="9"/>
        <v>1</v>
      </c>
      <c r="DB47">
        <f t="shared" si="5"/>
        <v>0</v>
      </c>
      <c r="DC47">
        <f t="shared" si="6"/>
        <v>0</v>
      </c>
    </row>
    <row r="48" spans="1:107" x14ac:dyDescent="0.2">
      <c r="A48">
        <f>ROW(Source!A65)</f>
        <v>65</v>
      </c>
      <c r="B48">
        <v>55106052</v>
      </c>
      <c r="C48">
        <v>55106241</v>
      </c>
      <c r="D48">
        <v>22652952</v>
      </c>
      <c r="E48">
        <v>22652947</v>
      </c>
      <c r="F48">
        <v>1</v>
      </c>
      <c r="G48">
        <v>22652947</v>
      </c>
      <c r="H48">
        <v>1</v>
      </c>
      <c r="I48" t="s">
        <v>249</v>
      </c>
      <c r="J48" t="s">
        <v>3</v>
      </c>
      <c r="K48" t="s">
        <v>250</v>
      </c>
      <c r="L48">
        <v>1191</v>
      </c>
      <c r="N48">
        <v>1013</v>
      </c>
      <c r="O48" t="s">
        <v>251</v>
      </c>
      <c r="P48" t="s">
        <v>251</v>
      </c>
      <c r="Q48">
        <v>1</v>
      </c>
      <c r="W48">
        <v>0</v>
      </c>
      <c r="X48">
        <v>476480486</v>
      </c>
      <c r="Y48">
        <v>4.12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4.12</v>
      </c>
      <c r="AU48" t="s">
        <v>3</v>
      </c>
      <c r="AV48">
        <v>1</v>
      </c>
      <c r="AW48">
        <v>2</v>
      </c>
      <c r="AX48">
        <v>55106243</v>
      </c>
      <c r="AY48">
        <v>1</v>
      </c>
      <c r="AZ48">
        <v>0</v>
      </c>
      <c r="BA48">
        <v>54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Y48*Source!I65</f>
        <v>41.2</v>
      </c>
      <c r="CY48">
        <f t="shared" si="7"/>
        <v>0</v>
      </c>
      <c r="CZ48">
        <f t="shared" si="8"/>
        <v>0</v>
      </c>
      <c r="DA48">
        <f t="shared" si="9"/>
        <v>1</v>
      </c>
      <c r="DB48">
        <f t="shared" si="5"/>
        <v>0</v>
      </c>
      <c r="DC48">
        <f t="shared" si="6"/>
        <v>0</v>
      </c>
    </row>
    <row r="49" spans="1:107" x14ac:dyDescent="0.2">
      <c r="A49">
        <f>ROW(Source!A72)</f>
        <v>72</v>
      </c>
      <c r="B49">
        <v>55106055</v>
      </c>
      <c r="C49">
        <v>55106247</v>
      </c>
      <c r="D49">
        <v>22652952</v>
      </c>
      <c r="E49">
        <v>22652947</v>
      </c>
      <c r="F49">
        <v>1</v>
      </c>
      <c r="G49">
        <v>22652947</v>
      </c>
      <c r="H49">
        <v>1</v>
      </c>
      <c r="I49" t="s">
        <v>249</v>
      </c>
      <c r="J49" t="s">
        <v>3</v>
      </c>
      <c r="K49" t="s">
        <v>250</v>
      </c>
      <c r="L49">
        <v>1191</v>
      </c>
      <c r="N49">
        <v>1013</v>
      </c>
      <c r="O49" t="s">
        <v>251</v>
      </c>
      <c r="P49" t="s">
        <v>251</v>
      </c>
      <c r="Q49">
        <v>1</v>
      </c>
      <c r="W49">
        <v>0</v>
      </c>
      <c r="X49">
        <v>476480486</v>
      </c>
      <c r="Y49">
        <v>2.06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2.06</v>
      </c>
      <c r="AU49" t="s">
        <v>3</v>
      </c>
      <c r="AV49">
        <v>1</v>
      </c>
      <c r="AW49">
        <v>2</v>
      </c>
      <c r="AX49">
        <v>55106249</v>
      </c>
      <c r="AY49">
        <v>1</v>
      </c>
      <c r="AZ49">
        <v>0</v>
      </c>
      <c r="BA49">
        <v>55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Y49*Source!I72</f>
        <v>2.06</v>
      </c>
      <c r="CY49">
        <f t="shared" si="7"/>
        <v>0</v>
      </c>
      <c r="CZ49">
        <f t="shared" si="8"/>
        <v>0</v>
      </c>
      <c r="DA49">
        <f t="shared" si="9"/>
        <v>1</v>
      </c>
      <c r="DB49">
        <f t="shared" si="5"/>
        <v>0</v>
      </c>
      <c r="DC49">
        <f t="shared" si="6"/>
        <v>0</v>
      </c>
    </row>
    <row r="50" spans="1:107" x14ac:dyDescent="0.2">
      <c r="A50">
        <f>ROW(Source!A73)</f>
        <v>73</v>
      </c>
      <c r="B50">
        <v>55106052</v>
      </c>
      <c r="C50">
        <v>55106247</v>
      </c>
      <c r="D50">
        <v>22652952</v>
      </c>
      <c r="E50">
        <v>22652947</v>
      </c>
      <c r="F50">
        <v>1</v>
      </c>
      <c r="G50">
        <v>22652947</v>
      </c>
      <c r="H50">
        <v>1</v>
      </c>
      <c r="I50" t="s">
        <v>249</v>
      </c>
      <c r="J50" t="s">
        <v>3</v>
      </c>
      <c r="K50" t="s">
        <v>250</v>
      </c>
      <c r="L50">
        <v>1191</v>
      </c>
      <c r="N50">
        <v>1013</v>
      </c>
      <c r="O50" t="s">
        <v>251</v>
      </c>
      <c r="P50" t="s">
        <v>251</v>
      </c>
      <c r="Q50">
        <v>1</v>
      </c>
      <c r="W50">
        <v>0</v>
      </c>
      <c r="X50">
        <v>476480486</v>
      </c>
      <c r="Y50">
        <v>2.06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2.06</v>
      </c>
      <c r="AU50" t="s">
        <v>3</v>
      </c>
      <c r="AV50">
        <v>1</v>
      </c>
      <c r="AW50">
        <v>2</v>
      </c>
      <c r="AX50">
        <v>55106249</v>
      </c>
      <c r="AY50">
        <v>1</v>
      </c>
      <c r="AZ50">
        <v>0</v>
      </c>
      <c r="BA50">
        <v>56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Y50*Source!I73</f>
        <v>2.06</v>
      </c>
      <c r="CY50">
        <f t="shared" si="7"/>
        <v>0</v>
      </c>
      <c r="CZ50">
        <f t="shared" si="8"/>
        <v>0</v>
      </c>
      <c r="DA50">
        <f t="shared" si="9"/>
        <v>1</v>
      </c>
      <c r="DB50">
        <f t="shared" si="5"/>
        <v>0</v>
      </c>
      <c r="DC50">
        <f t="shared" si="6"/>
        <v>0</v>
      </c>
    </row>
    <row r="51" spans="1:107" x14ac:dyDescent="0.2">
      <c r="A51">
        <f>ROW(Source!A74)</f>
        <v>74</v>
      </c>
      <c r="B51">
        <v>55106055</v>
      </c>
      <c r="C51">
        <v>55106250</v>
      </c>
      <c r="D51">
        <v>22652952</v>
      </c>
      <c r="E51">
        <v>22652947</v>
      </c>
      <c r="F51">
        <v>1</v>
      </c>
      <c r="G51">
        <v>22652947</v>
      </c>
      <c r="H51">
        <v>1</v>
      </c>
      <c r="I51" t="s">
        <v>249</v>
      </c>
      <c r="J51" t="s">
        <v>3</v>
      </c>
      <c r="K51" t="s">
        <v>250</v>
      </c>
      <c r="L51">
        <v>1191</v>
      </c>
      <c r="N51">
        <v>1013</v>
      </c>
      <c r="O51" t="s">
        <v>251</v>
      </c>
      <c r="P51" t="s">
        <v>251</v>
      </c>
      <c r="Q51">
        <v>1</v>
      </c>
      <c r="W51">
        <v>0</v>
      </c>
      <c r="X51">
        <v>476480486</v>
      </c>
      <c r="Y51">
        <v>14.64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14.64</v>
      </c>
      <c r="AU51" t="s">
        <v>3</v>
      </c>
      <c r="AV51">
        <v>1</v>
      </c>
      <c r="AW51">
        <v>2</v>
      </c>
      <c r="AX51">
        <v>55106252</v>
      </c>
      <c r="AY51">
        <v>1</v>
      </c>
      <c r="AZ51">
        <v>0</v>
      </c>
      <c r="BA51">
        <v>57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Y51*Source!I74</f>
        <v>5.8560000000000008</v>
      </c>
      <c r="CY51">
        <f t="shared" si="7"/>
        <v>0</v>
      </c>
      <c r="CZ51">
        <f t="shared" si="8"/>
        <v>0</v>
      </c>
      <c r="DA51">
        <f t="shared" si="9"/>
        <v>1</v>
      </c>
      <c r="DB51">
        <f t="shared" si="5"/>
        <v>0</v>
      </c>
      <c r="DC51">
        <f t="shared" si="6"/>
        <v>0</v>
      </c>
    </row>
    <row r="52" spans="1:107" x14ac:dyDescent="0.2">
      <c r="A52">
        <f>ROW(Source!A75)</f>
        <v>75</v>
      </c>
      <c r="B52">
        <v>55106052</v>
      </c>
      <c r="C52">
        <v>55106250</v>
      </c>
      <c r="D52">
        <v>22652952</v>
      </c>
      <c r="E52">
        <v>22652947</v>
      </c>
      <c r="F52">
        <v>1</v>
      </c>
      <c r="G52">
        <v>22652947</v>
      </c>
      <c r="H52">
        <v>1</v>
      </c>
      <c r="I52" t="s">
        <v>249</v>
      </c>
      <c r="J52" t="s">
        <v>3</v>
      </c>
      <c r="K52" t="s">
        <v>250</v>
      </c>
      <c r="L52">
        <v>1191</v>
      </c>
      <c r="N52">
        <v>1013</v>
      </c>
      <c r="O52" t="s">
        <v>251</v>
      </c>
      <c r="P52" t="s">
        <v>251</v>
      </c>
      <c r="Q52">
        <v>1</v>
      </c>
      <c r="W52">
        <v>0</v>
      </c>
      <c r="X52">
        <v>476480486</v>
      </c>
      <c r="Y52">
        <v>14.64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14.64</v>
      </c>
      <c r="AU52" t="s">
        <v>3</v>
      </c>
      <c r="AV52">
        <v>1</v>
      </c>
      <c r="AW52">
        <v>2</v>
      </c>
      <c r="AX52">
        <v>55106252</v>
      </c>
      <c r="AY52">
        <v>1</v>
      </c>
      <c r="AZ52">
        <v>0</v>
      </c>
      <c r="BA52">
        <v>58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Y52*Source!I75</f>
        <v>5.8560000000000008</v>
      </c>
      <c r="CY52">
        <f t="shared" si="7"/>
        <v>0</v>
      </c>
      <c r="CZ52">
        <f t="shared" si="8"/>
        <v>0</v>
      </c>
      <c r="DA52">
        <f t="shared" si="9"/>
        <v>1</v>
      </c>
      <c r="DB52">
        <f t="shared" si="5"/>
        <v>0</v>
      </c>
      <c r="DC52">
        <f t="shared" si="6"/>
        <v>0</v>
      </c>
    </row>
    <row r="53" spans="1:107" x14ac:dyDescent="0.2">
      <c r="A53">
        <f>ROW(Source!A76)</f>
        <v>76</v>
      </c>
      <c r="B53">
        <v>55106055</v>
      </c>
      <c r="C53">
        <v>55106253</v>
      </c>
      <c r="D53">
        <v>22652952</v>
      </c>
      <c r="E53">
        <v>22652947</v>
      </c>
      <c r="F53">
        <v>1</v>
      </c>
      <c r="G53">
        <v>22652947</v>
      </c>
      <c r="H53">
        <v>1</v>
      </c>
      <c r="I53" t="s">
        <v>249</v>
      </c>
      <c r="J53" t="s">
        <v>3</v>
      </c>
      <c r="K53" t="s">
        <v>250</v>
      </c>
      <c r="L53">
        <v>1191</v>
      </c>
      <c r="N53">
        <v>1013</v>
      </c>
      <c r="O53" t="s">
        <v>251</v>
      </c>
      <c r="P53" t="s">
        <v>251</v>
      </c>
      <c r="Q53">
        <v>1</v>
      </c>
      <c r="W53">
        <v>0</v>
      </c>
      <c r="X53">
        <v>476480486</v>
      </c>
      <c r="Y53">
        <v>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2</v>
      </c>
      <c r="AU53" t="s">
        <v>3</v>
      </c>
      <c r="AV53">
        <v>1</v>
      </c>
      <c r="AW53">
        <v>2</v>
      </c>
      <c r="AX53">
        <v>55106256</v>
      </c>
      <c r="AY53">
        <v>1</v>
      </c>
      <c r="AZ53">
        <v>0</v>
      </c>
      <c r="BA53">
        <v>59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Y53*Source!I76</f>
        <v>2</v>
      </c>
      <c r="CY53">
        <f t="shared" si="7"/>
        <v>0</v>
      </c>
      <c r="CZ53">
        <f t="shared" si="8"/>
        <v>0</v>
      </c>
      <c r="DA53">
        <f t="shared" si="9"/>
        <v>1</v>
      </c>
      <c r="DB53">
        <f t="shared" si="5"/>
        <v>0</v>
      </c>
      <c r="DC53">
        <f t="shared" si="6"/>
        <v>0</v>
      </c>
    </row>
    <row r="54" spans="1:107" x14ac:dyDescent="0.2">
      <c r="A54">
        <f>ROW(Source!A76)</f>
        <v>76</v>
      </c>
      <c r="B54">
        <v>55106055</v>
      </c>
      <c r="C54">
        <v>55106253</v>
      </c>
      <c r="D54">
        <v>22674638</v>
      </c>
      <c r="E54">
        <v>22652947</v>
      </c>
      <c r="F54">
        <v>1</v>
      </c>
      <c r="G54">
        <v>22652947</v>
      </c>
      <c r="H54">
        <v>3</v>
      </c>
      <c r="I54" t="s">
        <v>269</v>
      </c>
      <c r="J54" t="s">
        <v>3</v>
      </c>
      <c r="K54" t="s">
        <v>270</v>
      </c>
      <c r="L54">
        <v>1348</v>
      </c>
      <c r="N54">
        <v>1009</v>
      </c>
      <c r="O54" t="s">
        <v>271</v>
      </c>
      <c r="P54" t="s">
        <v>271</v>
      </c>
      <c r="Q54">
        <v>1000</v>
      </c>
      <c r="W54">
        <v>0</v>
      </c>
      <c r="X54">
        <v>-783086922</v>
      </c>
      <c r="Y54">
        <v>4.4999999999999998E-2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4.4999999999999998E-2</v>
      </c>
      <c r="AU54" t="s">
        <v>3</v>
      </c>
      <c r="AV54">
        <v>0</v>
      </c>
      <c r="AW54">
        <v>2</v>
      </c>
      <c r="AX54">
        <v>55106257</v>
      </c>
      <c r="AY54">
        <v>1</v>
      </c>
      <c r="AZ54">
        <v>0</v>
      </c>
      <c r="BA54">
        <v>60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Y54*Source!I76</f>
        <v>4.4999999999999998E-2</v>
      </c>
      <c r="CY54">
        <f>AA54</f>
        <v>0</v>
      </c>
      <c r="CZ54">
        <f>AE54</f>
        <v>0</v>
      </c>
      <c r="DA54">
        <f>AI54</f>
        <v>1</v>
      </c>
      <c r="DB54">
        <f t="shared" si="5"/>
        <v>0</v>
      </c>
      <c r="DC54">
        <f t="shared" si="6"/>
        <v>0</v>
      </c>
    </row>
    <row r="55" spans="1:107" x14ac:dyDescent="0.2">
      <c r="A55">
        <f>ROW(Source!A77)</f>
        <v>77</v>
      </c>
      <c r="B55">
        <v>55106052</v>
      </c>
      <c r="C55">
        <v>55106253</v>
      </c>
      <c r="D55">
        <v>22652952</v>
      </c>
      <c r="E55">
        <v>22652947</v>
      </c>
      <c r="F55">
        <v>1</v>
      </c>
      <c r="G55">
        <v>22652947</v>
      </c>
      <c r="H55">
        <v>1</v>
      </c>
      <c r="I55" t="s">
        <v>249</v>
      </c>
      <c r="J55" t="s">
        <v>3</v>
      </c>
      <c r="K55" t="s">
        <v>250</v>
      </c>
      <c r="L55">
        <v>1191</v>
      </c>
      <c r="N55">
        <v>1013</v>
      </c>
      <c r="O55" t="s">
        <v>251</v>
      </c>
      <c r="P55" t="s">
        <v>251</v>
      </c>
      <c r="Q55">
        <v>1</v>
      </c>
      <c r="W55">
        <v>0</v>
      </c>
      <c r="X55">
        <v>476480486</v>
      </c>
      <c r="Y55">
        <v>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2</v>
      </c>
      <c r="AU55" t="s">
        <v>3</v>
      </c>
      <c r="AV55">
        <v>1</v>
      </c>
      <c r="AW55">
        <v>2</v>
      </c>
      <c r="AX55">
        <v>55106256</v>
      </c>
      <c r="AY55">
        <v>1</v>
      </c>
      <c r="AZ55">
        <v>0</v>
      </c>
      <c r="BA55">
        <v>61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Y55*Source!I77</f>
        <v>2</v>
      </c>
      <c r="CY55">
        <f>AD55</f>
        <v>0</v>
      </c>
      <c r="CZ55">
        <f>AH55</f>
        <v>0</v>
      </c>
      <c r="DA55">
        <f>AL55</f>
        <v>1</v>
      </c>
      <c r="DB55">
        <f t="shared" si="5"/>
        <v>0</v>
      </c>
      <c r="DC55">
        <f t="shared" si="6"/>
        <v>0</v>
      </c>
    </row>
    <row r="56" spans="1:107" x14ac:dyDescent="0.2">
      <c r="A56">
        <f>ROW(Source!A77)</f>
        <v>77</v>
      </c>
      <c r="B56">
        <v>55106052</v>
      </c>
      <c r="C56">
        <v>55106253</v>
      </c>
      <c r="D56">
        <v>22674638</v>
      </c>
      <c r="E56">
        <v>22652947</v>
      </c>
      <c r="F56">
        <v>1</v>
      </c>
      <c r="G56">
        <v>22652947</v>
      </c>
      <c r="H56">
        <v>3</v>
      </c>
      <c r="I56" t="s">
        <v>269</v>
      </c>
      <c r="J56" t="s">
        <v>3</v>
      </c>
      <c r="K56" t="s">
        <v>270</v>
      </c>
      <c r="L56">
        <v>1348</v>
      </c>
      <c r="N56">
        <v>1009</v>
      </c>
      <c r="O56" t="s">
        <v>271</v>
      </c>
      <c r="P56" t="s">
        <v>271</v>
      </c>
      <c r="Q56">
        <v>1000</v>
      </c>
      <c r="W56">
        <v>0</v>
      </c>
      <c r="X56">
        <v>-783086922</v>
      </c>
      <c r="Y56">
        <v>4.4999999999999998E-2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4.4999999999999998E-2</v>
      </c>
      <c r="AU56" t="s">
        <v>3</v>
      </c>
      <c r="AV56">
        <v>0</v>
      </c>
      <c r="AW56">
        <v>2</v>
      </c>
      <c r="AX56">
        <v>55106257</v>
      </c>
      <c r="AY56">
        <v>1</v>
      </c>
      <c r="AZ56">
        <v>0</v>
      </c>
      <c r="BA56">
        <v>62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Y56*Source!I77</f>
        <v>4.4999999999999998E-2</v>
      </c>
      <c r="CY56">
        <f>AA56</f>
        <v>0</v>
      </c>
      <c r="CZ56">
        <f>AE56</f>
        <v>0</v>
      </c>
      <c r="DA56">
        <f>AI56</f>
        <v>1</v>
      </c>
      <c r="DB56">
        <f t="shared" si="5"/>
        <v>0</v>
      </c>
      <c r="DC56">
        <f t="shared" si="6"/>
        <v>0</v>
      </c>
    </row>
    <row r="57" spans="1:107" x14ac:dyDescent="0.2">
      <c r="A57">
        <f>ROW(Source!A78)</f>
        <v>78</v>
      </c>
      <c r="B57">
        <v>55106055</v>
      </c>
      <c r="C57">
        <v>55106258</v>
      </c>
      <c r="D57">
        <v>22652952</v>
      </c>
      <c r="E57">
        <v>22652947</v>
      </c>
      <c r="F57">
        <v>1</v>
      </c>
      <c r="G57">
        <v>22652947</v>
      </c>
      <c r="H57">
        <v>1</v>
      </c>
      <c r="I57" t="s">
        <v>249</v>
      </c>
      <c r="J57" t="s">
        <v>3</v>
      </c>
      <c r="K57" t="s">
        <v>250</v>
      </c>
      <c r="L57">
        <v>1191</v>
      </c>
      <c r="N57">
        <v>1013</v>
      </c>
      <c r="O57" t="s">
        <v>251</v>
      </c>
      <c r="P57" t="s">
        <v>251</v>
      </c>
      <c r="Q57">
        <v>1</v>
      </c>
      <c r="W57">
        <v>0</v>
      </c>
      <c r="X57">
        <v>476480486</v>
      </c>
      <c r="Y57">
        <v>4.8479999999999999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6.06</v>
      </c>
      <c r="AU57" t="s">
        <v>161</v>
      </c>
      <c r="AV57">
        <v>1</v>
      </c>
      <c r="AW57">
        <v>2</v>
      </c>
      <c r="AX57">
        <v>55106260</v>
      </c>
      <c r="AY57">
        <v>1</v>
      </c>
      <c r="AZ57">
        <v>0</v>
      </c>
      <c r="BA57">
        <v>63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Y57*Source!I78</f>
        <v>24.24</v>
      </c>
      <c r="CY57">
        <f>AD57</f>
        <v>0</v>
      </c>
      <c r="CZ57">
        <f>AH57</f>
        <v>0</v>
      </c>
      <c r="DA57">
        <f>AL57</f>
        <v>1</v>
      </c>
      <c r="DB57">
        <f>ROUND((ROUND(AT57*CZ57,2)*0.8),6)</f>
        <v>0</v>
      </c>
      <c r="DC57">
        <f>ROUND((ROUND(AT57*AG57,2)*0.8),6)</f>
        <v>0</v>
      </c>
    </row>
    <row r="58" spans="1:107" x14ac:dyDescent="0.2">
      <c r="A58">
        <f>ROW(Source!A79)</f>
        <v>79</v>
      </c>
      <c r="B58">
        <v>55106052</v>
      </c>
      <c r="C58">
        <v>55106258</v>
      </c>
      <c r="D58">
        <v>22652952</v>
      </c>
      <c r="E58">
        <v>22652947</v>
      </c>
      <c r="F58">
        <v>1</v>
      </c>
      <c r="G58">
        <v>22652947</v>
      </c>
      <c r="H58">
        <v>1</v>
      </c>
      <c r="I58" t="s">
        <v>249</v>
      </c>
      <c r="J58" t="s">
        <v>3</v>
      </c>
      <c r="K58" t="s">
        <v>250</v>
      </c>
      <c r="L58">
        <v>1191</v>
      </c>
      <c r="N58">
        <v>1013</v>
      </c>
      <c r="O58" t="s">
        <v>251</v>
      </c>
      <c r="P58" t="s">
        <v>251</v>
      </c>
      <c r="Q58">
        <v>1</v>
      </c>
      <c r="W58">
        <v>0</v>
      </c>
      <c r="X58">
        <v>476480486</v>
      </c>
      <c r="Y58">
        <v>4.8479999999999999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6.06</v>
      </c>
      <c r="AU58" t="s">
        <v>161</v>
      </c>
      <c r="AV58">
        <v>1</v>
      </c>
      <c r="AW58">
        <v>2</v>
      </c>
      <c r="AX58">
        <v>55106260</v>
      </c>
      <c r="AY58">
        <v>1</v>
      </c>
      <c r="AZ58">
        <v>0</v>
      </c>
      <c r="BA58">
        <v>64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Y58*Source!I79</f>
        <v>24.24</v>
      </c>
      <c r="CY58">
        <f>AD58</f>
        <v>0</v>
      </c>
      <c r="CZ58">
        <f>AH58</f>
        <v>0</v>
      </c>
      <c r="DA58">
        <f>AL58</f>
        <v>1</v>
      </c>
      <c r="DB58">
        <f>ROUND((ROUND(AT58*CZ58,2)*0.8),6)</f>
        <v>0</v>
      </c>
      <c r="DC58">
        <f>ROUND((ROUND(AT58*AG58,2)*0.8),6)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55106174</v>
      </c>
      <c r="C1">
        <v>55106172</v>
      </c>
      <c r="D1">
        <v>22652952</v>
      </c>
      <c r="E1">
        <v>22652947</v>
      </c>
      <c r="F1">
        <v>1</v>
      </c>
      <c r="G1">
        <v>22652947</v>
      </c>
      <c r="H1">
        <v>1</v>
      </c>
      <c r="I1" t="s">
        <v>249</v>
      </c>
      <c r="J1" t="s">
        <v>3</v>
      </c>
      <c r="K1" t="s">
        <v>250</v>
      </c>
      <c r="L1">
        <v>1191</v>
      </c>
      <c r="N1">
        <v>1013</v>
      </c>
      <c r="O1" t="s">
        <v>251</v>
      </c>
      <c r="P1" t="s">
        <v>251</v>
      </c>
      <c r="Q1">
        <v>1</v>
      </c>
      <c r="X1">
        <v>29.96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3</v>
      </c>
      <c r="AG1">
        <v>29.96</v>
      </c>
      <c r="AH1">
        <v>2</v>
      </c>
      <c r="AI1">
        <v>55106173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ROW(Source!A25)</f>
        <v>25</v>
      </c>
      <c r="B2">
        <v>55106174</v>
      </c>
      <c r="C2">
        <v>55106172</v>
      </c>
      <c r="D2">
        <v>22652952</v>
      </c>
      <c r="E2">
        <v>22652947</v>
      </c>
      <c r="F2">
        <v>1</v>
      </c>
      <c r="G2">
        <v>22652947</v>
      </c>
      <c r="H2">
        <v>1</v>
      </c>
      <c r="I2" t="s">
        <v>249</v>
      </c>
      <c r="J2" t="s">
        <v>3</v>
      </c>
      <c r="K2" t="s">
        <v>250</v>
      </c>
      <c r="L2">
        <v>1191</v>
      </c>
      <c r="N2">
        <v>1013</v>
      </c>
      <c r="O2" t="s">
        <v>251</v>
      </c>
      <c r="P2" t="s">
        <v>251</v>
      </c>
      <c r="Q2">
        <v>1</v>
      </c>
      <c r="X2">
        <v>29.96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1</v>
      </c>
      <c r="AF2" t="s">
        <v>3</v>
      </c>
      <c r="AG2">
        <v>29.96</v>
      </c>
      <c r="AH2">
        <v>2</v>
      </c>
      <c r="AI2">
        <v>55106173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ROW(Source!A26)</f>
        <v>26</v>
      </c>
      <c r="B3">
        <v>55106177</v>
      </c>
      <c r="C3">
        <v>55106175</v>
      </c>
      <c r="D3">
        <v>22652952</v>
      </c>
      <c r="E3">
        <v>22652947</v>
      </c>
      <c r="F3">
        <v>1</v>
      </c>
      <c r="G3">
        <v>22652947</v>
      </c>
      <c r="H3">
        <v>1</v>
      </c>
      <c r="I3" t="s">
        <v>249</v>
      </c>
      <c r="J3" t="s">
        <v>3</v>
      </c>
      <c r="K3" t="s">
        <v>250</v>
      </c>
      <c r="L3">
        <v>1191</v>
      </c>
      <c r="N3">
        <v>1013</v>
      </c>
      <c r="O3" t="s">
        <v>251</v>
      </c>
      <c r="P3" t="s">
        <v>251</v>
      </c>
      <c r="Q3">
        <v>1</v>
      </c>
      <c r="X3">
        <v>3.18</v>
      </c>
      <c r="Y3">
        <v>0</v>
      </c>
      <c r="Z3">
        <v>0</v>
      </c>
      <c r="AA3">
        <v>0</v>
      </c>
      <c r="AB3">
        <v>0</v>
      </c>
      <c r="AC3">
        <v>0</v>
      </c>
      <c r="AD3">
        <v>1</v>
      </c>
      <c r="AE3">
        <v>1</v>
      </c>
      <c r="AF3" t="s">
        <v>3</v>
      </c>
      <c r="AG3">
        <v>3.18</v>
      </c>
      <c r="AH3">
        <v>2</v>
      </c>
      <c r="AI3">
        <v>55106176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ROW(Source!A27)</f>
        <v>27</v>
      </c>
      <c r="B4">
        <v>55106177</v>
      </c>
      <c r="C4">
        <v>55106175</v>
      </c>
      <c r="D4">
        <v>22652952</v>
      </c>
      <c r="E4">
        <v>22652947</v>
      </c>
      <c r="F4">
        <v>1</v>
      </c>
      <c r="G4">
        <v>22652947</v>
      </c>
      <c r="H4">
        <v>1</v>
      </c>
      <c r="I4" t="s">
        <v>249</v>
      </c>
      <c r="J4" t="s">
        <v>3</v>
      </c>
      <c r="K4" t="s">
        <v>250</v>
      </c>
      <c r="L4">
        <v>1191</v>
      </c>
      <c r="N4">
        <v>1013</v>
      </c>
      <c r="O4" t="s">
        <v>251</v>
      </c>
      <c r="P4" t="s">
        <v>251</v>
      </c>
      <c r="Q4">
        <v>1</v>
      </c>
      <c r="X4">
        <v>3.18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1</v>
      </c>
      <c r="AF4" t="s">
        <v>3</v>
      </c>
      <c r="AG4">
        <v>3.18</v>
      </c>
      <c r="AH4">
        <v>2</v>
      </c>
      <c r="AI4">
        <v>55106176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55106180</v>
      </c>
      <c r="C5">
        <v>55106178</v>
      </c>
      <c r="D5">
        <v>22652952</v>
      </c>
      <c r="E5">
        <v>22652947</v>
      </c>
      <c r="F5">
        <v>1</v>
      </c>
      <c r="G5">
        <v>22652947</v>
      </c>
      <c r="H5">
        <v>1</v>
      </c>
      <c r="I5" t="s">
        <v>249</v>
      </c>
      <c r="J5" t="s">
        <v>3</v>
      </c>
      <c r="K5" t="s">
        <v>250</v>
      </c>
      <c r="L5">
        <v>1191</v>
      </c>
      <c r="N5">
        <v>1013</v>
      </c>
      <c r="O5" t="s">
        <v>251</v>
      </c>
      <c r="P5" t="s">
        <v>251</v>
      </c>
      <c r="Q5">
        <v>1</v>
      </c>
      <c r="X5">
        <v>4.68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1</v>
      </c>
      <c r="AF5" t="s">
        <v>3</v>
      </c>
      <c r="AG5">
        <v>4.68</v>
      </c>
      <c r="AH5">
        <v>2</v>
      </c>
      <c r="AI5">
        <v>55106179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55106180</v>
      </c>
      <c r="C6">
        <v>55106178</v>
      </c>
      <c r="D6">
        <v>22652952</v>
      </c>
      <c r="E6">
        <v>22652947</v>
      </c>
      <c r="F6">
        <v>1</v>
      </c>
      <c r="G6">
        <v>22652947</v>
      </c>
      <c r="H6">
        <v>1</v>
      </c>
      <c r="I6" t="s">
        <v>249</v>
      </c>
      <c r="J6" t="s">
        <v>3</v>
      </c>
      <c r="K6" t="s">
        <v>250</v>
      </c>
      <c r="L6">
        <v>1191</v>
      </c>
      <c r="N6">
        <v>1013</v>
      </c>
      <c r="O6" t="s">
        <v>251</v>
      </c>
      <c r="P6" t="s">
        <v>251</v>
      </c>
      <c r="Q6">
        <v>1</v>
      </c>
      <c r="X6">
        <v>4.68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1</v>
      </c>
      <c r="AF6" t="s">
        <v>3</v>
      </c>
      <c r="AG6">
        <v>4.68</v>
      </c>
      <c r="AH6">
        <v>2</v>
      </c>
      <c r="AI6">
        <v>55106179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55106188</v>
      </c>
      <c r="C7">
        <v>55106181</v>
      </c>
      <c r="D7">
        <v>22652952</v>
      </c>
      <c r="E7">
        <v>22652947</v>
      </c>
      <c r="F7">
        <v>1</v>
      </c>
      <c r="G7">
        <v>22652947</v>
      </c>
      <c r="H7">
        <v>1</v>
      </c>
      <c r="I7" t="s">
        <v>249</v>
      </c>
      <c r="J7" t="s">
        <v>3</v>
      </c>
      <c r="K7" t="s">
        <v>250</v>
      </c>
      <c r="L7">
        <v>1191</v>
      </c>
      <c r="N7">
        <v>1013</v>
      </c>
      <c r="O7" t="s">
        <v>251</v>
      </c>
      <c r="P7" t="s">
        <v>251</v>
      </c>
      <c r="Q7">
        <v>1</v>
      </c>
      <c r="X7">
        <v>1.1100000000000001</v>
      </c>
      <c r="Y7">
        <v>0</v>
      </c>
      <c r="Z7">
        <v>0</v>
      </c>
      <c r="AA7">
        <v>0</v>
      </c>
      <c r="AB7">
        <v>0</v>
      </c>
      <c r="AC7">
        <v>0</v>
      </c>
      <c r="AD7">
        <v>1</v>
      </c>
      <c r="AE7">
        <v>1</v>
      </c>
      <c r="AF7" t="s">
        <v>38</v>
      </c>
      <c r="AG7">
        <v>1.2765</v>
      </c>
      <c r="AH7">
        <v>2</v>
      </c>
      <c r="AI7">
        <v>55106182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55106189</v>
      </c>
      <c r="C8">
        <v>55106181</v>
      </c>
      <c r="D8">
        <v>22725577</v>
      </c>
      <c r="E8">
        <v>1</v>
      </c>
      <c r="F8">
        <v>1</v>
      </c>
      <c r="G8">
        <v>22652947</v>
      </c>
      <c r="H8">
        <v>2</v>
      </c>
      <c r="I8" t="s">
        <v>252</v>
      </c>
      <c r="J8" t="s">
        <v>253</v>
      </c>
      <c r="K8" t="s">
        <v>254</v>
      </c>
      <c r="L8">
        <v>1367</v>
      </c>
      <c r="N8">
        <v>1011</v>
      </c>
      <c r="O8" t="s">
        <v>255</v>
      </c>
      <c r="P8" t="s">
        <v>255</v>
      </c>
      <c r="Q8">
        <v>1</v>
      </c>
      <c r="X8">
        <v>0.26</v>
      </c>
      <c r="Y8">
        <v>0</v>
      </c>
      <c r="Z8">
        <v>6.22</v>
      </c>
      <c r="AA8">
        <v>0.28999999999999998</v>
      </c>
      <c r="AB8">
        <v>0</v>
      </c>
      <c r="AC8">
        <v>0</v>
      </c>
      <c r="AD8">
        <v>1</v>
      </c>
      <c r="AE8">
        <v>0</v>
      </c>
      <c r="AF8" t="s">
        <v>37</v>
      </c>
      <c r="AG8">
        <v>0.32500000000000001</v>
      </c>
      <c r="AH8">
        <v>2</v>
      </c>
      <c r="AI8">
        <v>55106183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55106190</v>
      </c>
      <c r="C9">
        <v>55106181</v>
      </c>
      <c r="D9">
        <v>22725906</v>
      </c>
      <c r="E9">
        <v>1</v>
      </c>
      <c r="F9">
        <v>1</v>
      </c>
      <c r="G9">
        <v>22652947</v>
      </c>
      <c r="H9">
        <v>2</v>
      </c>
      <c r="I9" t="s">
        <v>256</v>
      </c>
      <c r="J9" t="s">
        <v>257</v>
      </c>
      <c r="K9" t="s">
        <v>258</v>
      </c>
      <c r="L9">
        <v>1367</v>
      </c>
      <c r="N9">
        <v>1011</v>
      </c>
      <c r="O9" t="s">
        <v>255</v>
      </c>
      <c r="P9" t="s">
        <v>255</v>
      </c>
      <c r="Q9">
        <v>1</v>
      </c>
      <c r="X9">
        <v>0.02</v>
      </c>
      <c r="Y9">
        <v>0</v>
      </c>
      <c r="Z9">
        <v>0.68</v>
      </c>
      <c r="AA9">
        <v>0.04</v>
      </c>
      <c r="AB9">
        <v>0</v>
      </c>
      <c r="AC9">
        <v>0</v>
      </c>
      <c r="AD9">
        <v>1</v>
      </c>
      <c r="AE9">
        <v>0</v>
      </c>
      <c r="AF9" t="s">
        <v>37</v>
      </c>
      <c r="AG9">
        <v>2.5000000000000001E-2</v>
      </c>
      <c r="AH9">
        <v>2</v>
      </c>
      <c r="AI9">
        <v>55106184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55106191</v>
      </c>
      <c r="C10">
        <v>55106181</v>
      </c>
      <c r="D10">
        <v>22725940</v>
      </c>
      <c r="E10">
        <v>1</v>
      </c>
      <c r="F10">
        <v>1</v>
      </c>
      <c r="G10">
        <v>22652947</v>
      </c>
      <c r="H10">
        <v>2</v>
      </c>
      <c r="I10" t="s">
        <v>259</v>
      </c>
      <c r="J10" t="s">
        <v>260</v>
      </c>
      <c r="K10" t="s">
        <v>261</v>
      </c>
      <c r="L10">
        <v>1367</v>
      </c>
      <c r="N10">
        <v>1011</v>
      </c>
      <c r="O10" t="s">
        <v>255</v>
      </c>
      <c r="P10" t="s">
        <v>255</v>
      </c>
      <c r="Q10">
        <v>1</v>
      </c>
      <c r="X10">
        <v>0.15</v>
      </c>
      <c r="Y10">
        <v>0</v>
      </c>
      <c r="Z10">
        <v>0.64</v>
      </c>
      <c r="AA10">
        <v>0.04</v>
      </c>
      <c r="AB10">
        <v>0</v>
      </c>
      <c r="AC10">
        <v>0</v>
      </c>
      <c r="AD10">
        <v>1</v>
      </c>
      <c r="AE10">
        <v>0</v>
      </c>
      <c r="AF10" t="s">
        <v>37</v>
      </c>
      <c r="AG10">
        <v>0.1875</v>
      </c>
      <c r="AH10">
        <v>2</v>
      </c>
      <c r="AI10">
        <v>55106185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55106192</v>
      </c>
      <c r="C11">
        <v>55106181</v>
      </c>
      <c r="D11">
        <v>22725894</v>
      </c>
      <c r="E11">
        <v>1</v>
      </c>
      <c r="F11">
        <v>1</v>
      </c>
      <c r="G11">
        <v>22652947</v>
      </c>
      <c r="H11">
        <v>2</v>
      </c>
      <c r="I11" t="s">
        <v>262</v>
      </c>
      <c r="J11" t="s">
        <v>263</v>
      </c>
      <c r="K11" t="s">
        <v>264</v>
      </c>
      <c r="L11">
        <v>1367</v>
      </c>
      <c r="N11">
        <v>1011</v>
      </c>
      <c r="O11" t="s">
        <v>255</v>
      </c>
      <c r="P11" t="s">
        <v>255</v>
      </c>
      <c r="Q11">
        <v>1</v>
      </c>
      <c r="X11">
        <v>0.11</v>
      </c>
      <c r="Y11">
        <v>0</v>
      </c>
      <c r="Z11">
        <v>2.36</v>
      </c>
      <c r="AA11">
        <v>0.1</v>
      </c>
      <c r="AB11">
        <v>0</v>
      </c>
      <c r="AC11">
        <v>0</v>
      </c>
      <c r="AD11">
        <v>1</v>
      </c>
      <c r="AE11">
        <v>0</v>
      </c>
      <c r="AF11" t="s">
        <v>37</v>
      </c>
      <c r="AG11">
        <v>0.13750000000000001</v>
      </c>
      <c r="AH11">
        <v>2</v>
      </c>
      <c r="AI11">
        <v>55106186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55106193</v>
      </c>
      <c r="C12">
        <v>55106181</v>
      </c>
      <c r="D12">
        <v>22703215</v>
      </c>
      <c r="E12">
        <v>1</v>
      </c>
      <c r="F12">
        <v>1</v>
      </c>
      <c r="G12">
        <v>22652947</v>
      </c>
      <c r="H12">
        <v>3</v>
      </c>
      <c r="I12" t="s">
        <v>265</v>
      </c>
      <c r="J12" t="s">
        <v>266</v>
      </c>
      <c r="K12" t="s">
        <v>267</v>
      </c>
      <c r="L12">
        <v>1346</v>
      </c>
      <c r="N12">
        <v>1009</v>
      </c>
      <c r="O12" t="s">
        <v>268</v>
      </c>
      <c r="P12" t="s">
        <v>268</v>
      </c>
      <c r="Q12">
        <v>1</v>
      </c>
      <c r="X12">
        <v>0.02</v>
      </c>
      <c r="Y12">
        <v>20.63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0.02</v>
      </c>
      <c r="AH12">
        <v>2</v>
      </c>
      <c r="AI12">
        <v>55106187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55106194</v>
      </c>
      <c r="C13">
        <v>55106181</v>
      </c>
      <c r="D13">
        <v>37095323</v>
      </c>
      <c r="E13">
        <v>22652947</v>
      </c>
      <c r="F13">
        <v>1</v>
      </c>
      <c r="G13">
        <v>22652947</v>
      </c>
      <c r="H13">
        <v>3</v>
      </c>
      <c r="I13" t="s">
        <v>272</v>
      </c>
      <c r="J13" t="s">
        <v>3</v>
      </c>
      <c r="K13" t="s">
        <v>273</v>
      </c>
      <c r="L13">
        <v>1354</v>
      </c>
      <c r="N13">
        <v>1010</v>
      </c>
      <c r="O13" t="s">
        <v>51</v>
      </c>
      <c r="P13" t="s">
        <v>51</v>
      </c>
      <c r="Q13">
        <v>1</v>
      </c>
      <c r="X13">
        <v>1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 t="s">
        <v>3</v>
      </c>
      <c r="AG13">
        <v>1</v>
      </c>
      <c r="AH13">
        <v>3</v>
      </c>
      <c r="AI13">
        <v>-1</v>
      </c>
      <c r="AJ13" t="s">
        <v>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ROW(Source!A31)</f>
        <v>31</v>
      </c>
      <c r="B14">
        <v>55106188</v>
      </c>
      <c r="C14">
        <v>55106181</v>
      </c>
      <c r="D14">
        <v>22652952</v>
      </c>
      <c r="E14">
        <v>22652947</v>
      </c>
      <c r="F14">
        <v>1</v>
      </c>
      <c r="G14">
        <v>22652947</v>
      </c>
      <c r="H14">
        <v>1</v>
      </c>
      <c r="I14" t="s">
        <v>249</v>
      </c>
      <c r="J14" t="s">
        <v>3</v>
      </c>
      <c r="K14" t="s">
        <v>250</v>
      </c>
      <c r="L14">
        <v>1191</v>
      </c>
      <c r="N14">
        <v>1013</v>
      </c>
      <c r="O14" t="s">
        <v>251</v>
      </c>
      <c r="P14" t="s">
        <v>251</v>
      </c>
      <c r="Q14">
        <v>1</v>
      </c>
      <c r="X14">
        <v>1.1100000000000001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1</v>
      </c>
      <c r="AF14" t="s">
        <v>38</v>
      </c>
      <c r="AG14">
        <v>1.2765</v>
      </c>
      <c r="AH14">
        <v>2</v>
      </c>
      <c r="AI14">
        <v>55106182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55106189</v>
      </c>
      <c r="C15">
        <v>55106181</v>
      </c>
      <c r="D15">
        <v>22725577</v>
      </c>
      <c r="E15">
        <v>1</v>
      </c>
      <c r="F15">
        <v>1</v>
      </c>
      <c r="G15">
        <v>22652947</v>
      </c>
      <c r="H15">
        <v>2</v>
      </c>
      <c r="I15" t="s">
        <v>252</v>
      </c>
      <c r="J15" t="s">
        <v>253</v>
      </c>
      <c r="K15" t="s">
        <v>254</v>
      </c>
      <c r="L15">
        <v>1367</v>
      </c>
      <c r="N15">
        <v>1011</v>
      </c>
      <c r="O15" t="s">
        <v>255</v>
      </c>
      <c r="P15" t="s">
        <v>255</v>
      </c>
      <c r="Q15">
        <v>1</v>
      </c>
      <c r="X15">
        <v>0.26</v>
      </c>
      <c r="Y15">
        <v>0</v>
      </c>
      <c r="Z15">
        <v>6.22</v>
      </c>
      <c r="AA15">
        <v>0.28999999999999998</v>
      </c>
      <c r="AB15">
        <v>0</v>
      </c>
      <c r="AC15">
        <v>0</v>
      </c>
      <c r="AD15">
        <v>1</v>
      </c>
      <c r="AE15">
        <v>0</v>
      </c>
      <c r="AF15" t="s">
        <v>37</v>
      </c>
      <c r="AG15">
        <v>0.32500000000000001</v>
      </c>
      <c r="AH15">
        <v>2</v>
      </c>
      <c r="AI15">
        <v>55106183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55106190</v>
      </c>
      <c r="C16">
        <v>55106181</v>
      </c>
      <c r="D16">
        <v>22725906</v>
      </c>
      <c r="E16">
        <v>1</v>
      </c>
      <c r="F16">
        <v>1</v>
      </c>
      <c r="G16">
        <v>22652947</v>
      </c>
      <c r="H16">
        <v>2</v>
      </c>
      <c r="I16" t="s">
        <v>256</v>
      </c>
      <c r="J16" t="s">
        <v>257</v>
      </c>
      <c r="K16" t="s">
        <v>258</v>
      </c>
      <c r="L16">
        <v>1367</v>
      </c>
      <c r="N16">
        <v>1011</v>
      </c>
      <c r="O16" t="s">
        <v>255</v>
      </c>
      <c r="P16" t="s">
        <v>255</v>
      </c>
      <c r="Q16">
        <v>1</v>
      </c>
      <c r="X16">
        <v>0.02</v>
      </c>
      <c r="Y16">
        <v>0</v>
      </c>
      <c r="Z16">
        <v>0.68</v>
      </c>
      <c r="AA16">
        <v>0.04</v>
      </c>
      <c r="AB16">
        <v>0</v>
      </c>
      <c r="AC16">
        <v>0</v>
      </c>
      <c r="AD16">
        <v>1</v>
      </c>
      <c r="AE16">
        <v>0</v>
      </c>
      <c r="AF16" t="s">
        <v>37</v>
      </c>
      <c r="AG16">
        <v>2.5000000000000001E-2</v>
      </c>
      <c r="AH16">
        <v>2</v>
      </c>
      <c r="AI16">
        <v>55106184</v>
      </c>
      <c r="AJ16">
        <v>15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55106191</v>
      </c>
      <c r="C17">
        <v>55106181</v>
      </c>
      <c r="D17">
        <v>22725940</v>
      </c>
      <c r="E17">
        <v>1</v>
      </c>
      <c r="F17">
        <v>1</v>
      </c>
      <c r="G17">
        <v>22652947</v>
      </c>
      <c r="H17">
        <v>2</v>
      </c>
      <c r="I17" t="s">
        <v>259</v>
      </c>
      <c r="J17" t="s">
        <v>260</v>
      </c>
      <c r="K17" t="s">
        <v>261</v>
      </c>
      <c r="L17">
        <v>1367</v>
      </c>
      <c r="N17">
        <v>1011</v>
      </c>
      <c r="O17" t="s">
        <v>255</v>
      </c>
      <c r="P17" t="s">
        <v>255</v>
      </c>
      <c r="Q17">
        <v>1</v>
      </c>
      <c r="X17">
        <v>0.15</v>
      </c>
      <c r="Y17">
        <v>0</v>
      </c>
      <c r="Z17">
        <v>0.64</v>
      </c>
      <c r="AA17">
        <v>0.04</v>
      </c>
      <c r="AB17">
        <v>0</v>
      </c>
      <c r="AC17">
        <v>0</v>
      </c>
      <c r="AD17">
        <v>1</v>
      </c>
      <c r="AE17">
        <v>0</v>
      </c>
      <c r="AF17" t="s">
        <v>37</v>
      </c>
      <c r="AG17">
        <v>0.1875</v>
      </c>
      <c r="AH17">
        <v>2</v>
      </c>
      <c r="AI17">
        <v>55106185</v>
      </c>
      <c r="AJ17">
        <v>16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55106192</v>
      </c>
      <c r="C18">
        <v>55106181</v>
      </c>
      <c r="D18">
        <v>22725894</v>
      </c>
      <c r="E18">
        <v>1</v>
      </c>
      <c r="F18">
        <v>1</v>
      </c>
      <c r="G18">
        <v>22652947</v>
      </c>
      <c r="H18">
        <v>2</v>
      </c>
      <c r="I18" t="s">
        <v>262</v>
      </c>
      <c r="J18" t="s">
        <v>263</v>
      </c>
      <c r="K18" t="s">
        <v>264</v>
      </c>
      <c r="L18">
        <v>1367</v>
      </c>
      <c r="N18">
        <v>1011</v>
      </c>
      <c r="O18" t="s">
        <v>255</v>
      </c>
      <c r="P18" t="s">
        <v>255</v>
      </c>
      <c r="Q18">
        <v>1</v>
      </c>
      <c r="X18">
        <v>0.11</v>
      </c>
      <c r="Y18">
        <v>0</v>
      </c>
      <c r="Z18">
        <v>2.36</v>
      </c>
      <c r="AA18">
        <v>0.1</v>
      </c>
      <c r="AB18">
        <v>0</v>
      </c>
      <c r="AC18">
        <v>0</v>
      </c>
      <c r="AD18">
        <v>1</v>
      </c>
      <c r="AE18">
        <v>0</v>
      </c>
      <c r="AF18" t="s">
        <v>37</v>
      </c>
      <c r="AG18">
        <v>0.13750000000000001</v>
      </c>
      <c r="AH18">
        <v>2</v>
      </c>
      <c r="AI18">
        <v>55106186</v>
      </c>
      <c r="AJ18">
        <v>17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ROW(Source!A31)</f>
        <v>31</v>
      </c>
      <c r="B19">
        <v>55106193</v>
      </c>
      <c r="C19">
        <v>55106181</v>
      </c>
      <c r="D19">
        <v>22703215</v>
      </c>
      <c r="E19">
        <v>1</v>
      </c>
      <c r="F19">
        <v>1</v>
      </c>
      <c r="G19">
        <v>22652947</v>
      </c>
      <c r="H19">
        <v>3</v>
      </c>
      <c r="I19" t="s">
        <v>265</v>
      </c>
      <c r="J19" t="s">
        <v>266</v>
      </c>
      <c r="K19" t="s">
        <v>267</v>
      </c>
      <c r="L19">
        <v>1346</v>
      </c>
      <c r="N19">
        <v>1009</v>
      </c>
      <c r="O19" t="s">
        <v>268</v>
      </c>
      <c r="P19" t="s">
        <v>268</v>
      </c>
      <c r="Q19">
        <v>1</v>
      </c>
      <c r="X19">
        <v>0.02</v>
      </c>
      <c r="Y19">
        <v>20.63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0.02</v>
      </c>
      <c r="AH19">
        <v>2</v>
      </c>
      <c r="AI19">
        <v>55106187</v>
      </c>
      <c r="AJ19">
        <v>18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ROW(Source!A31)</f>
        <v>31</v>
      </c>
      <c r="B20">
        <v>55106194</v>
      </c>
      <c r="C20">
        <v>55106181</v>
      </c>
      <c r="D20">
        <v>37095323</v>
      </c>
      <c r="E20">
        <v>22652947</v>
      </c>
      <c r="F20">
        <v>1</v>
      </c>
      <c r="G20">
        <v>22652947</v>
      </c>
      <c r="H20">
        <v>3</v>
      </c>
      <c r="I20" t="s">
        <v>272</v>
      </c>
      <c r="J20" t="s">
        <v>3</v>
      </c>
      <c r="K20" t="s">
        <v>273</v>
      </c>
      <c r="L20">
        <v>1354</v>
      </c>
      <c r="N20">
        <v>1010</v>
      </c>
      <c r="O20" t="s">
        <v>51</v>
      </c>
      <c r="P20" t="s">
        <v>51</v>
      </c>
      <c r="Q20">
        <v>1</v>
      </c>
      <c r="X20">
        <v>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3</v>
      </c>
      <c r="AG20">
        <v>1</v>
      </c>
      <c r="AH20">
        <v>3</v>
      </c>
      <c r="AI20">
        <v>-1</v>
      </c>
      <c r="AJ20" t="s">
        <v>3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55106198</v>
      </c>
      <c r="C21">
        <v>55106195</v>
      </c>
      <c r="D21">
        <v>22652952</v>
      </c>
      <c r="E21">
        <v>22652947</v>
      </c>
      <c r="F21">
        <v>1</v>
      </c>
      <c r="G21">
        <v>22652947</v>
      </c>
      <c r="H21">
        <v>1</v>
      </c>
      <c r="I21" t="s">
        <v>249</v>
      </c>
      <c r="J21" t="s">
        <v>3</v>
      </c>
      <c r="K21" t="s">
        <v>250</v>
      </c>
      <c r="L21">
        <v>1191</v>
      </c>
      <c r="N21">
        <v>1013</v>
      </c>
      <c r="O21" t="s">
        <v>251</v>
      </c>
      <c r="P21" t="s">
        <v>251</v>
      </c>
      <c r="Q21">
        <v>1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1</v>
      </c>
      <c r="AF21" t="s">
        <v>3</v>
      </c>
      <c r="AG21">
        <v>1</v>
      </c>
      <c r="AH21">
        <v>2</v>
      </c>
      <c r="AI21">
        <v>55106196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ROW(Source!A33)</f>
        <v>33</v>
      </c>
      <c r="B22">
        <v>55106198</v>
      </c>
      <c r="C22">
        <v>55106195</v>
      </c>
      <c r="D22">
        <v>22652952</v>
      </c>
      <c r="E22">
        <v>22652947</v>
      </c>
      <c r="F22">
        <v>1</v>
      </c>
      <c r="G22">
        <v>22652947</v>
      </c>
      <c r="H22">
        <v>1</v>
      </c>
      <c r="I22" t="s">
        <v>249</v>
      </c>
      <c r="J22" t="s">
        <v>3</v>
      </c>
      <c r="K22" t="s">
        <v>250</v>
      </c>
      <c r="L22">
        <v>1191</v>
      </c>
      <c r="N22">
        <v>1013</v>
      </c>
      <c r="O22" t="s">
        <v>251</v>
      </c>
      <c r="P22" t="s">
        <v>251</v>
      </c>
      <c r="Q22">
        <v>1</v>
      </c>
      <c r="X22">
        <v>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1</v>
      </c>
      <c r="AF22" t="s">
        <v>3</v>
      </c>
      <c r="AG22">
        <v>1</v>
      </c>
      <c r="AH22">
        <v>2</v>
      </c>
      <c r="AI22">
        <v>55106196</v>
      </c>
      <c r="AJ22">
        <v>21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ROW(Source!A36)</f>
        <v>36</v>
      </c>
      <c r="B23">
        <v>55106202</v>
      </c>
      <c r="C23">
        <v>55106200</v>
      </c>
      <c r="D23">
        <v>22652952</v>
      </c>
      <c r="E23">
        <v>22652947</v>
      </c>
      <c r="F23">
        <v>1</v>
      </c>
      <c r="G23">
        <v>22652947</v>
      </c>
      <c r="H23">
        <v>1</v>
      </c>
      <c r="I23" t="s">
        <v>249</v>
      </c>
      <c r="J23" t="s">
        <v>3</v>
      </c>
      <c r="K23" t="s">
        <v>250</v>
      </c>
      <c r="L23">
        <v>1191</v>
      </c>
      <c r="N23">
        <v>1013</v>
      </c>
      <c r="O23" t="s">
        <v>251</v>
      </c>
      <c r="P23" t="s">
        <v>251</v>
      </c>
      <c r="Q23">
        <v>1</v>
      </c>
      <c r="X23">
        <v>0.52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1</v>
      </c>
      <c r="AF23" t="s">
        <v>3</v>
      </c>
      <c r="AG23">
        <v>0.52</v>
      </c>
      <c r="AH23">
        <v>2</v>
      </c>
      <c r="AI23">
        <v>55106201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ROW(Source!A37)</f>
        <v>37</v>
      </c>
      <c r="B24">
        <v>55106202</v>
      </c>
      <c r="C24">
        <v>55106200</v>
      </c>
      <c r="D24">
        <v>22652952</v>
      </c>
      <c r="E24">
        <v>22652947</v>
      </c>
      <c r="F24">
        <v>1</v>
      </c>
      <c r="G24">
        <v>22652947</v>
      </c>
      <c r="H24">
        <v>1</v>
      </c>
      <c r="I24" t="s">
        <v>249</v>
      </c>
      <c r="J24" t="s">
        <v>3</v>
      </c>
      <c r="K24" t="s">
        <v>250</v>
      </c>
      <c r="L24">
        <v>1191</v>
      </c>
      <c r="N24">
        <v>1013</v>
      </c>
      <c r="O24" t="s">
        <v>251</v>
      </c>
      <c r="P24" t="s">
        <v>251</v>
      </c>
      <c r="Q24">
        <v>1</v>
      </c>
      <c r="X24">
        <v>0.52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1</v>
      </c>
      <c r="AF24" t="s">
        <v>3</v>
      </c>
      <c r="AG24">
        <v>0.52</v>
      </c>
      <c r="AH24">
        <v>2</v>
      </c>
      <c r="AI24">
        <v>55106201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ROW(Source!A38)</f>
        <v>38</v>
      </c>
      <c r="B25">
        <v>55106208</v>
      </c>
      <c r="C25">
        <v>55106203</v>
      </c>
      <c r="D25">
        <v>22652952</v>
      </c>
      <c r="E25">
        <v>22652947</v>
      </c>
      <c r="F25">
        <v>1</v>
      </c>
      <c r="G25">
        <v>22652947</v>
      </c>
      <c r="H25">
        <v>1</v>
      </c>
      <c r="I25" t="s">
        <v>249</v>
      </c>
      <c r="J25" t="s">
        <v>3</v>
      </c>
      <c r="K25" t="s">
        <v>250</v>
      </c>
      <c r="L25">
        <v>1191</v>
      </c>
      <c r="N25">
        <v>1013</v>
      </c>
      <c r="O25" t="s">
        <v>251</v>
      </c>
      <c r="P25" t="s">
        <v>251</v>
      </c>
      <c r="Q25">
        <v>1</v>
      </c>
      <c r="X25">
        <v>15.93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1</v>
      </c>
      <c r="AF25" t="s">
        <v>3</v>
      </c>
      <c r="AG25">
        <v>15.93</v>
      </c>
      <c r="AH25">
        <v>2</v>
      </c>
      <c r="AI25">
        <v>55106204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ROW(Source!A38)</f>
        <v>38</v>
      </c>
      <c r="B26">
        <v>55106209</v>
      </c>
      <c r="C26">
        <v>55106203</v>
      </c>
      <c r="D26">
        <v>22666678</v>
      </c>
      <c r="E26">
        <v>22652947</v>
      </c>
      <c r="F26">
        <v>1</v>
      </c>
      <c r="G26">
        <v>22652947</v>
      </c>
      <c r="H26">
        <v>3</v>
      </c>
      <c r="I26" t="s">
        <v>274</v>
      </c>
      <c r="J26" t="s">
        <v>3</v>
      </c>
      <c r="K26" t="s">
        <v>275</v>
      </c>
      <c r="L26">
        <v>1301</v>
      </c>
      <c r="N26">
        <v>1003</v>
      </c>
      <c r="O26" t="s">
        <v>71</v>
      </c>
      <c r="P26" t="s">
        <v>71</v>
      </c>
      <c r="Q26">
        <v>1</v>
      </c>
      <c r="X26">
        <v>102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102</v>
      </c>
      <c r="AH26">
        <v>3</v>
      </c>
      <c r="AI26">
        <v>-1</v>
      </c>
      <c r="AJ26" t="s">
        <v>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ROW(Source!A38)</f>
        <v>38</v>
      </c>
      <c r="B27">
        <v>55106210</v>
      </c>
      <c r="C27">
        <v>55106203</v>
      </c>
      <c r="D27">
        <v>22667010</v>
      </c>
      <c r="E27">
        <v>22652947</v>
      </c>
      <c r="F27">
        <v>1</v>
      </c>
      <c r="G27">
        <v>22652947</v>
      </c>
      <c r="H27">
        <v>3</v>
      </c>
      <c r="I27" t="s">
        <v>276</v>
      </c>
      <c r="J27" t="s">
        <v>3</v>
      </c>
      <c r="K27" t="s">
        <v>277</v>
      </c>
      <c r="L27">
        <v>1354</v>
      </c>
      <c r="N27">
        <v>1010</v>
      </c>
      <c r="O27" t="s">
        <v>51</v>
      </c>
      <c r="P27" t="s">
        <v>51</v>
      </c>
      <c r="Q27">
        <v>1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3</v>
      </c>
      <c r="AG27">
        <v>0</v>
      </c>
      <c r="AH27">
        <v>3</v>
      </c>
      <c r="AI27">
        <v>-1</v>
      </c>
      <c r="AJ27" t="s">
        <v>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ROW(Source!A38)</f>
        <v>38</v>
      </c>
      <c r="B28">
        <v>55106211</v>
      </c>
      <c r="C28">
        <v>55106203</v>
      </c>
      <c r="D28">
        <v>22666568</v>
      </c>
      <c r="E28">
        <v>22652947</v>
      </c>
      <c r="F28">
        <v>1</v>
      </c>
      <c r="G28">
        <v>22652947</v>
      </c>
      <c r="H28">
        <v>3</v>
      </c>
      <c r="I28" t="s">
        <v>278</v>
      </c>
      <c r="J28" t="s">
        <v>3</v>
      </c>
      <c r="K28" t="s">
        <v>279</v>
      </c>
      <c r="L28">
        <v>1354</v>
      </c>
      <c r="N28">
        <v>1010</v>
      </c>
      <c r="O28" t="s">
        <v>51</v>
      </c>
      <c r="P28" t="s">
        <v>51</v>
      </c>
      <c r="Q28">
        <v>1</v>
      </c>
      <c r="X28">
        <v>91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 t="s">
        <v>3</v>
      </c>
      <c r="AG28">
        <v>91</v>
      </c>
      <c r="AH28">
        <v>3</v>
      </c>
      <c r="AI28">
        <v>-1</v>
      </c>
      <c r="AJ28" t="s">
        <v>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ROW(Source!A39)</f>
        <v>39</v>
      </c>
      <c r="B29">
        <v>55106208</v>
      </c>
      <c r="C29">
        <v>55106203</v>
      </c>
      <c r="D29">
        <v>22652952</v>
      </c>
      <c r="E29">
        <v>22652947</v>
      </c>
      <c r="F29">
        <v>1</v>
      </c>
      <c r="G29">
        <v>22652947</v>
      </c>
      <c r="H29">
        <v>1</v>
      </c>
      <c r="I29" t="s">
        <v>249</v>
      </c>
      <c r="J29" t="s">
        <v>3</v>
      </c>
      <c r="K29" t="s">
        <v>250</v>
      </c>
      <c r="L29">
        <v>1191</v>
      </c>
      <c r="N29">
        <v>1013</v>
      </c>
      <c r="O29" t="s">
        <v>251</v>
      </c>
      <c r="P29" t="s">
        <v>251</v>
      </c>
      <c r="Q29">
        <v>1</v>
      </c>
      <c r="X29">
        <v>15.93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1</v>
      </c>
      <c r="AF29" t="s">
        <v>3</v>
      </c>
      <c r="AG29">
        <v>15.93</v>
      </c>
      <c r="AH29">
        <v>2</v>
      </c>
      <c r="AI29">
        <v>55106204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ROW(Source!A39)</f>
        <v>39</v>
      </c>
      <c r="B30">
        <v>55106209</v>
      </c>
      <c r="C30">
        <v>55106203</v>
      </c>
      <c r="D30">
        <v>22666678</v>
      </c>
      <c r="E30">
        <v>22652947</v>
      </c>
      <c r="F30">
        <v>1</v>
      </c>
      <c r="G30">
        <v>22652947</v>
      </c>
      <c r="H30">
        <v>3</v>
      </c>
      <c r="I30" t="s">
        <v>274</v>
      </c>
      <c r="J30" t="s">
        <v>3</v>
      </c>
      <c r="K30" t="s">
        <v>275</v>
      </c>
      <c r="L30">
        <v>1301</v>
      </c>
      <c r="N30">
        <v>1003</v>
      </c>
      <c r="O30" t="s">
        <v>71</v>
      </c>
      <c r="P30" t="s">
        <v>71</v>
      </c>
      <c r="Q30">
        <v>1</v>
      </c>
      <c r="X30">
        <v>102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 t="s">
        <v>3</v>
      </c>
      <c r="AG30">
        <v>102</v>
      </c>
      <c r="AH30">
        <v>3</v>
      </c>
      <c r="AI30">
        <v>-1</v>
      </c>
      <c r="AJ30" t="s">
        <v>3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ROW(Source!A39)</f>
        <v>39</v>
      </c>
      <c r="B31">
        <v>55106210</v>
      </c>
      <c r="C31">
        <v>55106203</v>
      </c>
      <c r="D31">
        <v>22667010</v>
      </c>
      <c r="E31">
        <v>22652947</v>
      </c>
      <c r="F31">
        <v>1</v>
      </c>
      <c r="G31">
        <v>22652947</v>
      </c>
      <c r="H31">
        <v>3</v>
      </c>
      <c r="I31" t="s">
        <v>276</v>
      </c>
      <c r="J31" t="s">
        <v>3</v>
      </c>
      <c r="K31" t="s">
        <v>277</v>
      </c>
      <c r="L31">
        <v>1354</v>
      </c>
      <c r="N31">
        <v>1010</v>
      </c>
      <c r="O31" t="s">
        <v>51</v>
      </c>
      <c r="P31" t="s">
        <v>51</v>
      </c>
      <c r="Q31">
        <v>1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3</v>
      </c>
      <c r="AG31">
        <v>0</v>
      </c>
      <c r="AH31">
        <v>3</v>
      </c>
      <c r="AI31">
        <v>-1</v>
      </c>
      <c r="AJ31" t="s">
        <v>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ROW(Source!A39)</f>
        <v>39</v>
      </c>
      <c r="B32">
        <v>55106211</v>
      </c>
      <c r="C32">
        <v>55106203</v>
      </c>
      <c r="D32">
        <v>22666568</v>
      </c>
      <c r="E32">
        <v>22652947</v>
      </c>
      <c r="F32">
        <v>1</v>
      </c>
      <c r="G32">
        <v>22652947</v>
      </c>
      <c r="H32">
        <v>3</v>
      </c>
      <c r="I32" t="s">
        <v>278</v>
      </c>
      <c r="J32" t="s">
        <v>3</v>
      </c>
      <c r="K32" t="s">
        <v>279</v>
      </c>
      <c r="L32">
        <v>1354</v>
      </c>
      <c r="N32">
        <v>1010</v>
      </c>
      <c r="O32" t="s">
        <v>51</v>
      </c>
      <c r="P32" t="s">
        <v>51</v>
      </c>
      <c r="Q32">
        <v>1</v>
      </c>
      <c r="X32">
        <v>91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3</v>
      </c>
      <c r="AG32">
        <v>91</v>
      </c>
      <c r="AH32">
        <v>3</v>
      </c>
      <c r="AI32">
        <v>-1</v>
      </c>
      <c r="AJ32" t="s">
        <v>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ROW(Source!A46)</f>
        <v>46</v>
      </c>
      <c r="B33">
        <v>55106221</v>
      </c>
      <c r="C33">
        <v>55106215</v>
      </c>
      <c r="D33">
        <v>22652952</v>
      </c>
      <c r="E33">
        <v>22652947</v>
      </c>
      <c r="F33">
        <v>1</v>
      </c>
      <c r="G33">
        <v>22652947</v>
      </c>
      <c r="H33">
        <v>1</v>
      </c>
      <c r="I33" t="s">
        <v>249</v>
      </c>
      <c r="J33" t="s">
        <v>3</v>
      </c>
      <c r="K33" t="s">
        <v>250</v>
      </c>
      <c r="L33">
        <v>1191</v>
      </c>
      <c r="N33">
        <v>1013</v>
      </c>
      <c r="O33" t="s">
        <v>251</v>
      </c>
      <c r="P33" t="s">
        <v>251</v>
      </c>
      <c r="Q33">
        <v>1</v>
      </c>
      <c r="X33">
        <v>40.67</v>
      </c>
      <c r="Y33">
        <v>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1</v>
      </c>
      <c r="AF33" t="s">
        <v>3</v>
      </c>
      <c r="AG33">
        <v>40.67</v>
      </c>
      <c r="AH33">
        <v>2</v>
      </c>
      <c r="AI33">
        <v>55106216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ROW(Source!A46)</f>
        <v>46</v>
      </c>
      <c r="B34">
        <v>55106222</v>
      </c>
      <c r="C34">
        <v>55106215</v>
      </c>
      <c r="D34">
        <v>22665972</v>
      </c>
      <c r="E34">
        <v>22652947</v>
      </c>
      <c r="F34">
        <v>1</v>
      </c>
      <c r="G34">
        <v>22652947</v>
      </c>
      <c r="H34">
        <v>3</v>
      </c>
      <c r="I34" t="s">
        <v>280</v>
      </c>
      <c r="J34" t="s">
        <v>3</v>
      </c>
      <c r="K34" t="s">
        <v>281</v>
      </c>
      <c r="L34">
        <v>1301</v>
      </c>
      <c r="N34">
        <v>1003</v>
      </c>
      <c r="O34" t="s">
        <v>71</v>
      </c>
      <c r="P34" t="s">
        <v>71</v>
      </c>
      <c r="Q34">
        <v>1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3</v>
      </c>
      <c r="AG34">
        <v>0</v>
      </c>
      <c r="AH34">
        <v>3</v>
      </c>
      <c r="AI34">
        <v>-1</v>
      </c>
      <c r="AJ34" t="s">
        <v>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ROW(Source!A46)</f>
        <v>46</v>
      </c>
      <c r="B35">
        <v>55106223</v>
      </c>
      <c r="C35">
        <v>55106215</v>
      </c>
      <c r="D35">
        <v>22665972</v>
      </c>
      <c r="E35">
        <v>22652947</v>
      </c>
      <c r="F35">
        <v>1</v>
      </c>
      <c r="G35">
        <v>22652947</v>
      </c>
      <c r="H35">
        <v>3</v>
      </c>
      <c r="I35" t="s">
        <v>280</v>
      </c>
      <c r="J35" t="s">
        <v>3</v>
      </c>
      <c r="K35" t="s">
        <v>282</v>
      </c>
      <c r="L35">
        <v>1301</v>
      </c>
      <c r="N35">
        <v>1003</v>
      </c>
      <c r="O35" t="s">
        <v>71</v>
      </c>
      <c r="P35" t="s">
        <v>71</v>
      </c>
      <c r="Q35">
        <v>1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 t="s">
        <v>3</v>
      </c>
      <c r="AG35">
        <v>0</v>
      </c>
      <c r="AH35">
        <v>3</v>
      </c>
      <c r="AI35">
        <v>-1</v>
      </c>
      <c r="AJ35" t="s">
        <v>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ROW(Source!A46)</f>
        <v>46</v>
      </c>
      <c r="B36">
        <v>55106224</v>
      </c>
      <c r="C36">
        <v>55106215</v>
      </c>
      <c r="D36">
        <v>22665972</v>
      </c>
      <c r="E36">
        <v>22652947</v>
      </c>
      <c r="F36">
        <v>1</v>
      </c>
      <c r="G36">
        <v>22652947</v>
      </c>
      <c r="H36">
        <v>3</v>
      </c>
      <c r="I36" t="s">
        <v>280</v>
      </c>
      <c r="J36" t="s">
        <v>3</v>
      </c>
      <c r="K36" t="s">
        <v>283</v>
      </c>
      <c r="L36">
        <v>1354</v>
      </c>
      <c r="N36">
        <v>1010</v>
      </c>
      <c r="O36" t="s">
        <v>51</v>
      </c>
      <c r="P36" t="s">
        <v>51</v>
      </c>
      <c r="Q36">
        <v>1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3</v>
      </c>
      <c r="AG36">
        <v>0</v>
      </c>
      <c r="AH36">
        <v>3</v>
      </c>
      <c r="AI36">
        <v>-1</v>
      </c>
      <c r="AJ36" t="s">
        <v>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ROW(Source!A46)</f>
        <v>46</v>
      </c>
      <c r="B37">
        <v>55106225</v>
      </c>
      <c r="C37">
        <v>55106215</v>
      </c>
      <c r="D37">
        <v>22665972</v>
      </c>
      <c r="E37">
        <v>22652947</v>
      </c>
      <c r="F37">
        <v>1</v>
      </c>
      <c r="G37">
        <v>22652947</v>
      </c>
      <c r="H37">
        <v>3</v>
      </c>
      <c r="I37" t="s">
        <v>280</v>
      </c>
      <c r="J37" t="s">
        <v>3</v>
      </c>
      <c r="K37" t="s">
        <v>284</v>
      </c>
      <c r="L37">
        <v>1354</v>
      </c>
      <c r="N37">
        <v>1010</v>
      </c>
      <c r="O37" t="s">
        <v>51</v>
      </c>
      <c r="P37" t="s">
        <v>51</v>
      </c>
      <c r="Q37">
        <v>1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 t="s">
        <v>3</v>
      </c>
      <c r="AG37">
        <v>0</v>
      </c>
      <c r="AH37">
        <v>3</v>
      </c>
      <c r="AI37">
        <v>-1</v>
      </c>
      <c r="AJ37" t="s">
        <v>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ROW(Source!A46)</f>
        <v>46</v>
      </c>
      <c r="B38">
        <v>55106226</v>
      </c>
      <c r="C38">
        <v>55106215</v>
      </c>
      <c r="D38">
        <v>22665972</v>
      </c>
      <c r="E38">
        <v>22652947</v>
      </c>
      <c r="F38">
        <v>1</v>
      </c>
      <c r="G38">
        <v>22652947</v>
      </c>
      <c r="H38">
        <v>3</v>
      </c>
      <c r="I38" t="s">
        <v>280</v>
      </c>
      <c r="J38" t="s">
        <v>3</v>
      </c>
      <c r="K38" t="s">
        <v>285</v>
      </c>
      <c r="L38">
        <v>1354</v>
      </c>
      <c r="N38">
        <v>1010</v>
      </c>
      <c r="O38" t="s">
        <v>51</v>
      </c>
      <c r="P38" t="s">
        <v>51</v>
      </c>
      <c r="Q38">
        <v>1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 t="s">
        <v>3</v>
      </c>
      <c r="AG38">
        <v>0</v>
      </c>
      <c r="AH38">
        <v>3</v>
      </c>
      <c r="AI38">
        <v>-1</v>
      </c>
      <c r="AJ38" t="s">
        <v>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ROW(Source!A46)</f>
        <v>46</v>
      </c>
      <c r="B39">
        <v>55106227</v>
      </c>
      <c r="C39">
        <v>55106215</v>
      </c>
      <c r="D39">
        <v>22665972</v>
      </c>
      <c r="E39">
        <v>22652947</v>
      </c>
      <c r="F39">
        <v>1</v>
      </c>
      <c r="G39">
        <v>22652947</v>
      </c>
      <c r="H39">
        <v>3</v>
      </c>
      <c r="I39" t="s">
        <v>280</v>
      </c>
      <c r="J39" t="s">
        <v>3</v>
      </c>
      <c r="K39" t="s">
        <v>286</v>
      </c>
      <c r="L39">
        <v>1354</v>
      </c>
      <c r="N39">
        <v>1010</v>
      </c>
      <c r="O39" t="s">
        <v>51</v>
      </c>
      <c r="P39" t="s">
        <v>51</v>
      </c>
      <c r="Q39">
        <v>1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 t="s">
        <v>3</v>
      </c>
      <c r="AG39">
        <v>0</v>
      </c>
      <c r="AH39">
        <v>3</v>
      </c>
      <c r="AI39">
        <v>-1</v>
      </c>
      <c r="AJ39" t="s">
        <v>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ROW(Source!A46)</f>
        <v>46</v>
      </c>
      <c r="B40">
        <v>55106228</v>
      </c>
      <c r="C40">
        <v>55106215</v>
      </c>
      <c r="D40">
        <v>22665972</v>
      </c>
      <c r="E40">
        <v>22652947</v>
      </c>
      <c r="F40">
        <v>1</v>
      </c>
      <c r="G40">
        <v>22652947</v>
      </c>
      <c r="H40">
        <v>3</v>
      </c>
      <c r="I40" t="s">
        <v>280</v>
      </c>
      <c r="J40" t="s">
        <v>3</v>
      </c>
      <c r="K40" t="s">
        <v>287</v>
      </c>
      <c r="L40">
        <v>1354</v>
      </c>
      <c r="N40">
        <v>1010</v>
      </c>
      <c r="O40" t="s">
        <v>51</v>
      </c>
      <c r="P40" t="s">
        <v>51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0</v>
      </c>
      <c r="AH40">
        <v>3</v>
      </c>
      <c r="AI40">
        <v>-1</v>
      </c>
      <c r="AJ40" t="s">
        <v>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ROW(Source!A47)</f>
        <v>47</v>
      </c>
      <c r="B41">
        <v>55106221</v>
      </c>
      <c r="C41">
        <v>55106215</v>
      </c>
      <c r="D41">
        <v>22652952</v>
      </c>
      <c r="E41">
        <v>22652947</v>
      </c>
      <c r="F41">
        <v>1</v>
      </c>
      <c r="G41">
        <v>22652947</v>
      </c>
      <c r="H41">
        <v>1</v>
      </c>
      <c r="I41" t="s">
        <v>249</v>
      </c>
      <c r="J41" t="s">
        <v>3</v>
      </c>
      <c r="K41" t="s">
        <v>250</v>
      </c>
      <c r="L41">
        <v>1191</v>
      </c>
      <c r="N41">
        <v>1013</v>
      </c>
      <c r="O41" t="s">
        <v>251</v>
      </c>
      <c r="P41" t="s">
        <v>251</v>
      </c>
      <c r="Q41">
        <v>1</v>
      </c>
      <c r="X41">
        <v>40.67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1</v>
      </c>
      <c r="AF41" t="s">
        <v>3</v>
      </c>
      <c r="AG41">
        <v>40.67</v>
      </c>
      <c r="AH41">
        <v>2</v>
      </c>
      <c r="AI41">
        <v>55106216</v>
      </c>
      <c r="AJ41">
        <v>38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ROW(Source!A47)</f>
        <v>47</v>
      </c>
      <c r="B42">
        <v>55106222</v>
      </c>
      <c r="C42">
        <v>55106215</v>
      </c>
      <c r="D42">
        <v>22665972</v>
      </c>
      <c r="E42">
        <v>22652947</v>
      </c>
      <c r="F42">
        <v>1</v>
      </c>
      <c r="G42">
        <v>22652947</v>
      </c>
      <c r="H42">
        <v>3</v>
      </c>
      <c r="I42" t="s">
        <v>280</v>
      </c>
      <c r="J42" t="s">
        <v>3</v>
      </c>
      <c r="K42" t="s">
        <v>281</v>
      </c>
      <c r="L42">
        <v>1301</v>
      </c>
      <c r="N42">
        <v>1003</v>
      </c>
      <c r="O42" t="s">
        <v>71</v>
      </c>
      <c r="P42" t="s">
        <v>71</v>
      </c>
      <c r="Q42">
        <v>1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3</v>
      </c>
      <c r="AG42">
        <v>0</v>
      </c>
      <c r="AH42">
        <v>3</v>
      </c>
      <c r="AI42">
        <v>-1</v>
      </c>
      <c r="AJ42" t="s">
        <v>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ROW(Source!A47)</f>
        <v>47</v>
      </c>
      <c r="B43">
        <v>55106223</v>
      </c>
      <c r="C43">
        <v>55106215</v>
      </c>
      <c r="D43">
        <v>22665972</v>
      </c>
      <c r="E43">
        <v>22652947</v>
      </c>
      <c r="F43">
        <v>1</v>
      </c>
      <c r="G43">
        <v>22652947</v>
      </c>
      <c r="H43">
        <v>3</v>
      </c>
      <c r="I43" t="s">
        <v>280</v>
      </c>
      <c r="J43" t="s">
        <v>3</v>
      </c>
      <c r="K43" t="s">
        <v>282</v>
      </c>
      <c r="L43">
        <v>1301</v>
      </c>
      <c r="N43">
        <v>1003</v>
      </c>
      <c r="O43" t="s">
        <v>71</v>
      </c>
      <c r="P43" t="s">
        <v>71</v>
      </c>
      <c r="Q43">
        <v>1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3</v>
      </c>
      <c r="AG43">
        <v>0</v>
      </c>
      <c r="AH43">
        <v>3</v>
      </c>
      <c r="AI43">
        <v>-1</v>
      </c>
      <c r="AJ43" t="s">
        <v>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ROW(Source!A47)</f>
        <v>47</v>
      </c>
      <c r="B44">
        <v>55106224</v>
      </c>
      <c r="C44">
        <v>55106215</v>
      </c>
      <c r="D44">
        <v>22665972</v>
      </c>
      <c r="E44">
        <v>22652947</v>
      </c>
      <c r="F44">
        <v>1</v>
      </c>
      <c r="G44">
        <v>22652947</v>
      </c>
      <c r="H44">
        <v>3</v>
      </c>
      <c r="I44" t="s">
        <v>280</v>
      </c>
      <c r="J44" t="s">
        <v>3</v>
      </c>
      <c r="K44" t="s">
        <v>283</v>
      </c>
      <c r="L44">
        <v>1354</v>
      </c>
      <c r="N44">
        <v>1010</v>
      </c>
      <c r="O44" t="s">
        <v>51</v>
      </c>
      <c r="P44" t="s">
        <v>51</v>
      </c>
      <c r="Q44">
        <v>1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3</v>
      </c>
      <c r="AG44">
        <v>0</v>
      </c>
      <c r="AH44">
        <v>3</v>
      </c>
      <c r="AI44">
        <v>-1</v>
      </c>
      <c r="AJ44" t="s">
        <v>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ROW(Source!A47)</f>
        <v>47</v>
      </c>
      <c r="B45">
        <v>55106225</v>
      </c>
      <c r="C45">
        <v>55106215</v>
      </c>
      <c r="D45">
        <v>22665972</v>
      </c>
      <c r="E45">
        <v>22652947</v>
      </c>
      <c r="F45">
        <v>1</v>
      </c>
      <c r="G45">
        <v>22652947</v>
      </c>
      <c r="H45">
        <v>3</v>
      </c>
      <c r="I45" t="s">
        <v>280</v>
      </c>
      <c r="J45" t="s">
        <v>3</v>
      </c>
      <c r="K45" t="s">
        <v>284</v>
      </c>
      <c r="L45">
        <v>1354</v>
      </c>
      <c r="N45">
        <v>1010</v>
      </c>
      <c r="O45" t="s">
        <v>51</v>
      </c>
      <c r="P45" t="s">
        <v>51</v>
      </c>
      <c r="Q45">
        <v>1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3</v>
      </c>
      <c r="AG45">
        <v>0</v>
      </c>
      <c r="AH45">
        <v>3</v>
      </c>
      <c r="AI45">
        <v>-1</v>
      </c>
      <c r="AJ45" t="s">
        <v>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ROW(Source!A47)</f>
        <v>47</v>
      </c>
      <c r="B46">
        <v>55106226</v>
      </c>
      <c r="C46">
        <v>55106215</v>
      </c>
      <c r="D46">
        <v>22665972</v>
      </c>
      <c r="E46">
        <v>22652947</v>
      </c>
      <c r="F46">
        <v>1</v>
      </c>
      <c r="G46">
        <v>22652947</v>
      </c>
      <c r="H46">
        <v>3</v>
      </c>
      <c r="I46" t="s">
        <v>280</v>
      </c>
      <c r="J46" t="s">
        <v>3</v>
      </c>
      <c r="K46" t="s">
        <v>285</v>
      </c>
      <c r="L46">
        <v>1354</v>
      </c>
      <c r="N46">
        <v>1010</v>
      </c>
      <c r="O46" t="s">
        <v>51</v>
      </c>
      <c r="P46" t="s">
        <v>51</v>
      </c>
      <c r="Q46">
        <v>1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3</v>
      </c>
      <c r="AG46">
        <v>0</v>
      </c>
      <c r="AH46">
        <v>3</v>
      </c>
      <c r="AI46">
        <v>-1</v>
      </c>
      <c r="AJ46" t="s">
        <v>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ROW(Source!A47)</f>
        <v>47</v>
      </c>
      <c r="B47">
        <v>55106227</v>
      </c>
      <c r="C47">
        <v>55106215</v>
      </c>
      <c r="D47">
        <v>22665972</v>
      </c>
      <c r="E47">
        <v>22652947</v>
      </c>
      <c r="F47">
        <v>1</v>
      </c>
      <c r="G47">
        <v>22652947</v>
      </c>
      <c r="H47">
        <v>3</v>
      </c>
      <c r="I47" t="s">
        <v>280</v>
      </c>
      <c r="J47" t="s">
        <v>3</v>
      </c>
      <c r="K47" t="s">
        <v>286</v>
      </c>
      <c r="L47">
        <v>1354</v>
      </c>
      <c r="N47">
        <v>1010</v>
      </c>
      <c r="O47" t="s">
        <v>51</v>
      </c>
      <c r="P47" t="s">
        <v>51</v>
      </c>
      <c r="Q47">
        <v>1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0</v>
      </c>
      <c r="AH47">
        <v>3</v>
      </c>
      <c r="AI47">
        <v>-1</v>
      </c>
      <c r="AJ47" t="s">
        <v>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ROW(Source!A47)</f>
        <v>47</v>
      </c>
      <c r="B48">
        <v>55106228</v>
      </c>
      <c r="C48">
        <v>55106215</v>
      </c>
      <c r="D48">
        <v>22665972</v>
      </c>
      <c r="E48">
        <v>22652947</v>
      </c>
      <c r="F48">
        <v>1</v>
      </c>
      <c r="G48">
        <v>22652947</v>
      </c>
      <c r="H48">
        <v>3</v>
      </c>
      <c r="I48" t="s">
        <v>280</v>
      </c>
      <c r="J48" t="s">
        <v>3</v>
      </c>
      <c r="K48" t="s">
        <v>287</v>
      </c>
      <c r="L48">
        <v>1354</v>
      </c>
      <c r="N48">
        <v>1010</v>
      </c>
      <c r="O48" t="s">
        <v>51</v>
      </c>
      <c r="P48" t="s">
        <v>51</v>
      </c>
      <c r="Q48">
        <v>1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3</v>
      </c>
      <c r="AG48">
        <v>0</v>
      </c>
      <c r="AH48">
        <v>3</v>
      </c>
      <c r="AI48">
        <v>-1</v>
      </c>
      <c r="AJ48" t="s">
        <v>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ROW(Source!A60)</f>
        <v>60</v>
      </c>
      <c r="B49">
        <v>55106237</v>
      </c>
      <c r="C49">
        <v>55106235</v>
      </c>
      <c r="D49">
        <v>22652952</v>
      </c>
      <c r="E49">
        <v>22652947</v>
      </c>
      <c r="F49">
        <v>1</v>
      </c>
      <c r="G49">
        <v>22652947</v>
      </c>
      <c r="H49">
        <v>1</v>
      </c>
      <c r="I49" t="s">
        <v>249</v>
      </c>
      <c r="J49" t="s">
        <v>3</v>
      </c>
      <c r="K49" t="s">
        <v>250</v>
      </c>
      <c r="L49">
        <v>1191</v>
      </c>
      <c r="N49">
        <v>1013</v>
      </c>
      <c r="O49" t="s">
        <v>251</v>
      </c>
      <c r="P49" t="s">
        <v>251</v>
      </c>
      <c r="Q49">
        <v>1</v>
      </c>
      <c r="X49">
        <v>6.18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1</v>
      </c>
      <c r="AF49" t="s">
        <v>3</v>
      </c>
      <c r="AG49">
        <v>6.18</v>
      </c>
      <c r="AH49">
        <v>2</v>
      </c>
      <c r="AI49">
        <v>55106236</v>
      </c>
      <c r="AJ49">
        <v>43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ROW(Source!A61)</f>
        <v>61</v>
      </c>
      <c r="B50">
        <v>55106237</v>
      </c>
      <c r="C50">
        <v>55106235</v>
      </c>
      <c r="D50">
        <v>22652952</v>
      </c>
      <c r="E50">
        <v>22652947</v>
      </c>
      <c r="F50">
        <v>1</v>
      </c>
      <c r="G50">
        <v>22652947</v>
      </c>
      <c r="H50">
        <v>1</v>
      </c>
      <c r="I50" t="s">
        <v>249</v>
      </c>
      <c r="J50" t="s">
        <v>3</v>
      </c>
      <c r="K50" t="s">
        <v>250</v>
      </c>
      <c r="L50">
        <v>1191</v>
      </c>
      <c r="N50">
        <v>1013</v>
      </c>
      <c r="O50" t="s">
        <v>251</v>
      </c>
      <c r="P50" t="s">
        <v>251</v>
      </c>
      <c r="Q50">
        <v>1</v>
      </c>
      <c r="X50">
        <v>6.18</v>
      </c>
      <c r="Y50">
        <v>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1</v>
      </c>
      <c r="AF50" t="s">
        <v>3</v>
      </c>
      <c r="AG50">
        <v>6.18</v>
      </c>
      <c r="AH50">
        <v>2</v>
      </c>
      <c r="AI50">
        <v>55106236</v>
      </c>
      <c r="AJ50">
        <v>44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ROW(Source!A62)</f>
        <v>62</v>
      </c>
      <c r="B51">
        <v>55106240</v>
      </c>
      <c r="C51">
        <v>55106238</v>
      </c>
      <c r="D51">
        <v>22652952</v>
      </c>
      <c r="E51">
        <v>22652947</v>
      </c>
      <c r="F51">
        <v>1</v>
      </c>
      <c r="G51">
        <v>22652947</v>
      </c>
      <c r="H51">
        <v>1</v>
      </c>
      <c r="I51" t="s">
        <v>249</v>
      </c>
      <c r="J51" t="s">
        <v>3</v>
      </c>
      <c r="K51" t="s">
        <v>250</v>
      </c>
      <c r="L51">
        <v>1191</v>
      </c>
      <c r="N51">
        <v>1013</v>
      </c>
      <c r="O51" t="s">
        <v>251</v>
      </c>
      <c r="P51" t="s">
        <v>251</v>
      </c>
      <c r="Q51">
        <v>1</v>
      </c>
      <c r="X51">
        <v>3.09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1</v>
      </c>
      <c r="AF51" t="s">
        <v>3</v>
      </c>
      <c r="AG51">
        <v>3.09</v>
      </c>
      <c r="AH51">
        <v>2</v>
      </c>
      <c r="AI51">
        <v>55106239</v>
      </c>
      <c r="AJ51">
        <v>45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ROW(Source!A63)</f>
        <v>63</v>
      </c>
      <c r="B52">
        <v>55106240</v>
      </c>
      <c r="C52">
        <v>55106238</v>
      </c>
      <c r="D52">
        <v>22652952</v>
      </c>
      <c r="E52">
        <v>22652947</v>
      </c>
      <c r="F52">
        <v>1</v>
      </c>
      <c r="G52">
        <v>22652947</v>
      </c>
      <c r="H52">
        <v>1</v>
      </c>
      <c r="I52" t="s">
        <v>249</v>
      </c>
      <c r="J52" t="s">
        <v>3</v>
      </c>
      <c r="K52" t="s">
        <v>250</v>
      </c>
      <c r="L52">
        <v>1191</v>
      </c>
      <c r="N52">
        <v>1013</v>
      </c>
      <c r="O52" t="s">
        <v>251</v>
      </c>
      <c r="P52" t="s">
        <v>251</v>
      </c>
      <c r="Q52">
        <v>1</v>
      </c>
      <c r="X52">
        <v>3.09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1</v>
      </c>
      <c r="AF52" t="s">
        <v>3</v>
      </c>
      <c r="AG52">
        <v>3.09</v>
      </c>
      <c r="AH52">
        <v>2</v>
      </c>
      <c r="AI52">
        <v>55106239</v>
      </c>
      <c r="AJ52">
        <v>46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ROW(Source!A64)</f>
        <v>64</v>
      </c>
      <c r="B53">
        <v>55106243</v>
      </c>
      <c r="C53">
        <v>55106241</v>
      </c>
      <c r="D53">
        <v>22652952</v>
      </c>
      <c r="E53">
        <v>22652947</v>
      </c>
      <c r="F53">
        <v>1</v>
      </c>
      <c r="G53">
        <v>22652947</v>
      </c>
      <c r="H53">
        <v>1</v>
      </c>
      <c r="I53" t="s">
        <v>249</v>
      </c>
      <c r="J53" t="s">
        <v>3</v>
      </c>
      <c r="K53" t="s">
        <v>250</v>
      </c>
      <c r="L53">
        <v>1191</v>
      </c>
      <c r="N53">
        <v>1013</v>
      </c>
      <c r="O53" t="s">
        <v>251</v>
      </c>
      <c r="P53" t="s">
        <v>251</v>
      </c>
      <c r="Q53">
        <v>1</v>
      </c>
      <c r="X53">
        <v>4.12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1</v>
      </c>
      <c r="AF53" t="s">
        <v>3</v>
      </c>
      <c r="AG53">
        <v>4.12</v>
      </c>
      <c r="AH53">
        <v>2</v>
      </c>
      <c r="AI53">
        <v>55106242</v>
      </c>
      <c r="AJ53">
        <v>47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ROW(Source!A65)</f>
        <v>65</v>
      </c>
      <c r="B54">
        <v>55106243</v>
      </c>
      <c r="C54">
        <v>55106241</v>
      </c>
      <c r="D54">
        <v>22652952</v>
      </c>
      <c r="E54">
        <v>22652947</v>
      </c>
      <c r="F54">
        <v>1</v>
      </c>
      <c r="G54">
        <v>22652947</v>
      </c>
      <c r="H54">
        <v>1</v>
      </c>
      <c r="I54" t="s">
        <v>249</v>
      </c>
      <c r="J54" t="s">
        <v>3</v>
      </c>
      <c r="K54" t="s">
        <v>250</v>
      </c>
      <c r="L54">
        <v>1191</v>
      </c>
      <c r="N54">
        <v>1013</v>
      </c>
      <c r="O54" t="s">
        <v>251</v>
      </c>
      <c r="P54" t="s">
        <v>251</v>
      </c>
      <c r="Q54">
        <v>1</v>
      </c>
      <c r="X54">
        <v>4.12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1</v>
      </c>
      <c r="AF54" t="s">
        <v>3</v>
      </c>
      <c r="AG54">
        <v>4.12</v>
      </c>
      <c r="AH54">
        <v>2</v>
      </c>
      <c r="AI54">
        <v>55106242</v>
      </c>
      <c r="AJ54">
        <v>48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ROW(Source!A72)</f>
        <v>72</v>
      </c>
      <c r="B55">
        <v>55106249</v>
      </c>
      <c r="C55">
        <v>55106247</v>
      </c>
      <c r="D55">
        <v>22652952</v>
      </c>
      <c r="E55">
        <v>22652947</v>
      </c>
      <c r="F55">
        <v>1</v>
      </c>
      <c r="G55">
        <v>22652947</v>
      </c>
      <c r="H55">
        <v>1</v>
      </c>
      <c r="I55" t="s">
        <v>249</v>
      </c>
      <c r="J55" t="s">
        <v>3</v>
      </c>
      <c r="K55" t="s">
        <v>250</v>
      </c>
      <c r="L55">
        <v>1191</v>
      </c>
      <c r="N55">
        <v>1013</v>
      </c>
      <c r="O55" t="s">
        <v>251</v>
      </c>
      <c r="P55" t="s">
        <v>251</v>
      </c>
      <c r="Q55">
        <v>1</v>
      </c>
      <c r="X55">
        <v>2.06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1</v>
      </c>
      <c r="AF55" t="s">
        <v>3</v>
      </c>
      <c r="AG55">
        <v>2.06</v>
      </c>
      <c r="AH55">
        <v>2</v>
      </c>
      <c r="AI55">
        <v>55106248</v>
      </c>
      <c r="AJ55">
        <v>49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ROW(Source!A73)</f>
        <v>73</v>
      </c>
      <c r="B56">
        <v>55106249</v>
      </c>
      <c r="C56">
        <v>55106247</v>
      </c>
      <c r="D56">
        <v>22652952</v>
      </c>
      <c r="E56">
        <v>22652947</v>
      </c>
      <c r="F56">
        <v>1</v>
      </c>
      <c r="G56">
        <v>22652947</v>
      </c>
      <c r="H56">
        <v>1</v>
      </c>
      <c r="I56" t="s">
        <v>249</v>
      </c>
      <c r="J56" t="s">
        <v>3</v>
      </c>
      <c r="K56" t="s">
        <v>250</v>
      </c>
      <c r="L56">
        <v>1191</v>
      </c>
      <c r="N56">
        <v>1013</v>
      </c>
      <c r="O56" t="s">
        <v>251</v>
      </c>
      <c r="P56" t="s">
        <v>251</v>
      </c>
      <c r="Q56">
        <v>1</v>
      </c>
      <c r="X56">
        <v>2.06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1</v>
      </c>
      <c r="AF56" t="s">
        <v>3</v>
      </c>
      <c r="AG56">
        <v>2.06</v>
      </c>
      <c r="AH56">
        <v>2</v>
      </c>
      <c r="AI56">
        <v>55106248</v>
      </c>
      <c r="AJ56">
        <v>50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ROW(Source!A74)</f>
        <v>74</v>
      </c>
      <c r="B57">
        <v>55106252</v>
      </c>
      <c r="C57">
        <v>55106250</v>
      </c>
      <c r="D57">
        <v>22652952</v>
      </c>
      <c r="E57">
        <v>22652947</v>
      </c>
      <c r="F57">
        <v>1</v>
      </c>
      <c r="G57">
        <v>22652947</v>
      </c>
      <c r="H57">
        <v>1</v>
      </c>
      <c r="I57" t="s">
        <v>249</v>
      </c>
      <c r="J57" t="s">
        <v>3</v>
      </c>
      <c r="K57" t="s">
        <v>250</v>
      </c>
      <c r="L57">
        <v>1191</v>
      </c>
      <c r="N57">
        <v>1013</v>
      </c>
      <c r="O57" t="s">
        <v>251</v>
      </c>
      <c r="P57" t="s">
        <v>251</v>
      </c>
      <c r="Q57">
        <v>1</v>
      </c>
      <c r="X57">
        <v>14.64</v>
      </c>
      <c r="Y57">
        <v>0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1</v>
      </c>
      <c r="AF57" t="s">
        <v>3</v>
      </c>
      <c r="AG57">
        <v>14.64</v>
      </c>
      <c r="AH57">
        <v>2</v>
      </c>
      <c r="AI57">
        <v>55106251</v>
      </c>
      <c r="AJ57">
        <v>51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ROW(Source!A75)</f>
        <v>75</v>
      </c>
      <c r="B58">
        <v>55106252</v>
      </c>
      <c r="C58">
        <v>55106250</v>
      </c>
      <c r="D58">
        <v>22652952</v>
      </c>
      <c r="E58">
        <v>22652947</v>
      </c>
      <c r="F58">
        <v>1</v>
      </c>
      <c r="G58">
        <v>22652947</v>
      </c>
      <c r="H58">
        <v>1</v>
      </c>
      <c r="I58" t="s">
        <v>249</v>
      </c>
      <c r="J58" t="s">
        <v>3</v>
      </c>
      <c r="K58" t="s">
        <v>250</v>
      </c>
      <c r="L58">
        <v>1191</v>
      </c>
      <c r="N58">
        <v>1013</v>
      </c>
      <c r="O58" t="s">
        <v>251</v>
      </c>
      <c r="P58" t="s">
        <v>251</v>
      </c>
      <c r="Q58">
        <v>1</v>
      </c>
      <c r="X58">
        <v>14.64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1</v>
      </c>
      <c r="AF58" t="s">
        <v>3</v>
      </c>
      <c r="AG58">
        <v>14.64</v>
      </c>
      <c r="AH58">
        <v>2</v>
      </c>
      <c r="AI58">
        <v>55106251</v>
      </c>
      <c r="AJ58">
        <v>52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ROW(Source!A76)</f>
        <v>76</v>
      </c>
      <c r="B59">
        <v>55106256</v>
      </c>
      <c r="C59">
        <v>55106253</v>
      </c>
      <c r="D59">
        <v>22652952</v>
      </c>
      <c r="E59">
        <v>22652947</v>
      </c>
      <c r="F59">
        <v>1</v>
      </c>
      <c r="G59">
        <v>22652947</v>
      </c>
      <c r="H59">
        <v>1</v>
      </c>
      <c r="I59" t="s">
        <v>249</v>
      </c>
      <c r="J59" t="s">
        <v>3</v>
      </c>
      <c r="K59" t="s">
        <v>250</v>
      </c>
      <c r="L59">
        <v>1191</v>
      </c>
      <c r="N59">
        <v>1013</v>
      </c>
      <c r="O59" t="s">
        <v>251</v>
      </c>
      <c r="P59" t="s">
        <v>251</v>
      </c>
      <c r="Q59">
        <v>1</v>
      </c>
      <c r="X59">
        <v>2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1</v>
      </c>
      <c r="AF59" t="s">
        <v>3</v>
      </c>
      <c r="AG59">
        <v>2</v>
      </c>
      <c r="AH59">
        <v>2</v>
      </c>
      <c r="AI59">
        <v>55106254</v>
      </c>
      <c r="AJ59">
        <v>53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ROW(Source!A76)</f>
        <v>76</v>
      </c>
      <c r="B60">
        <v>55106257</v>
      </c>
      <c r="C60">
        <v>55106253</v>
      </c>
      <c r="D60">
        <v>22674638</v>
      </c>
      <c r="E60">
        <v>22652947</v>
      </c>
      <c r="F60">
        <v>1</v>
      </c>
      <c r="G60">
        <v>22652947</v>
      </c>
      <c r="H60">
        <v>3</v>
      </c>
      <c r="I60" t="s">
        <v>269</v>
      </c>
      <c r="J60" t="s">
        <v>3</v>
      </c>
      <c r="K60" t="s">
        <v>270</v>
      </c>
      <c r="L60">
        <v>1348</v>
      </c>
      <c r="N60">
        <v>1009</v>
      </c>
      <c r="O60" t="s">
        <v>271</v>
      </c>
      <c r="P60" t="s">
        <v>271</v>
      </c>
      <c r="Q60">
        <v>1000</v>
      </c>
      <c r="X60">
        <v>4.4999999999999998E-2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4.4999999999999998E-2</v>
      </c>
      <c r="AH60">
        <v>2</v>
      </c>
      <c r="AI60">
        <v>55106255</v>
      </c>
      <c r="AJ60">
        <v>54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ROW(Source!A77)</f>
        <v>77</v>
      </c>
      <c r="B61">
        <v>55106256</v>
      </c>
      <c r="C61">
        <v>55106253</v>
      </c>
      <c r="D61">
        <v>22652952</v>
      </c>
      <c r="E61">
        <v>22652947</v>
      </c>
      <c r="F61">
        <v>1</v>
      </c>
      <c r="G61">
        <v>22652947</v>
      </c>
      <c r="H61">
        <v>1</v>
      </c>
      <c r="I61" t="s">
        <v>249</v>
      </c>
      <c r="J61" t="s">
        <v>3</v>
      </c>
      <c r="K61" t="s">
        <v>250</v>
      </c>
      <c r="L61">
        <v>1191</v>
      </c>
      <c r="N61">
        <v>1013</v>
      </c>
      <c r="O61" t="s">
        <v>251</v>
      </c>
      <c r="P61" t="s">
        <v>251</v>
      </c>
      <c r="Q61">
        <v>1</v>
      </c>
      <c r="X61">
        <v>2</v>
      </c>
      <c r="Y61">
        <v>0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1</v>
      </c>
      <c r="AF61" t="s">
        <v>3</v>
      </c>
      <c r="AG61">
        <v>2</v>
      </c>
      <c r="AH61">
        <v>2</v>
      </c>
      <c r="AI61">
        <v>55106254</v>
      </c>
      <c r="AJ61">
        <v>55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ROW(Source!A77)</f>
        <v>77</v>
      </c>
      <c r="B62">
        <v>55106257</v>
      </c>
      <c r="C62">
        <v>55106253</v>
      </c>
      <c r="D62">
        <v>22674638</v>
      </c>
      <c r="E62">
        <v>22652947</v>
      </c>
      <c r="F62">
        <v>1</v>
      </c>
      <c r="G62">
        <v>22652947</v>
      </c>
      <c r="H62">
        <v>3</v>
      </c>
      <c r="I62" t="s">
        <v>269</v>
      </c>
      <c r="J62" t="s">
        <v>3</v>
      </c>
      <c r="K62" t="s">
        <v>270</v>
      </c>
      <c r="L62">
        <v>1348</v>
      </c>
      <c r="N62">
        <v>1009</v>
      </c>
      <c r="O62" t="s">
        <v>271</v>
      </c>
      <c r="P62" t="s">
        <v>271</v>
      </c>
      <c r="Q62">
        <v>1000</v>
      </c>
      <c r="X62">
        <v>4.4999999999999998E-2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4.4999999999999998E-2</v>
      </c>
      <c r="AH62">
        <v>2</v>
      </c>
      <c r="AI62">
        <v>55106255</v>
      </c>
      <c r="AJ62">
        <v>56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ROW(Source!A78)</f>
        <v>78</v>
      </c>
      <c r="B63">
        <v>55106260</v>
      </c>
      <c r="C63">
        <v>55106258</v>
      </c>
      <c r="D63">
        <v>22652952</v>
      </c>
      <c r="E63">
        <v>22652947</v>
      </c>
      <c r="F63">
        <v>1</v>
      </c>
      <c r="G63">
        <v>22652947</v>
      </c>
      <c r="H63">
        <v>1</v>
      </c>
      <c r="I63" t="s">
        <v>249</v>
      </c>
      <c r="J63" t="s">
        <v>3</v>
      </c>
      <c r="K63" t="s">
        <v>250</v>
      </c>
      <c r="L63">
        <v>1191</v>
      </c>
      <c r="N63">
        <v>1013</v>
      </c>
      <c r="O63" t="s">
        <v>251</v>
      </c>
      <c r="P63" t="s">
        <v>251</v>
      </c>
      <c r="Q63">
        <v>1</v>
      </c>
      <c r="X63">
        <v>6.06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1</v>
      </c>
      <c r="AF63" t="s">
        <v>161</v>
      </c>
      <c r="AG63">
        <v>4.8479999999999999</v>
      </c>
      <c r="AH63">
        <v>2</v>
      </c>
      <c r="AI63">
        <v>55106259</v>
      </c>
      <c r="AJ63">
        <v>57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ROW(Source!A79)</f>
        <v>79</v>
      </c>
      <c r="B64">
        <v>55106260</v>
      </c>
      <c r="C64">
        <v>55106258</v>
      </c>
      <c r="D64">
        <v>22652952</v>
      </c>
      <c r="E64">
        <v>22652947</v>
      </c>
      <c r="F64">
        <v>1</v>
      </c>
      <c r="G64">
        <v>22652947</v>
      </c>
      <c r="H64">
        <v>1</v>
      </c>
      <c r="I64" t="s">
        <v>249</v>
      </c>
      <c r="J64" t="s">
        <v>3</v>
      </c>
      <c r="K64" t="s">
        <v>250</v>
      </c>
      <c r="L64">
        <v>1191</v>
      </c>
      <c r="N64">
        <v>1013</v>
      </c>
      <c r="O64" t="s">
        <v>251</v>
      </c>
      <c r="P64" t="s">
        <v>251</v>
      </c>
      <c r="Q64">
        <v>1</v>
      </c>
      <c r="X64">
        <v>6.06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1</v>
      </c>
      <c r="AF64" t="s">
        <v>161</v>
      </c>
      <c r="AG64">
        <v>4.8479999999999999</v>
      </c>
      <c r="AH64">
        <v>2</v>
      </c>
      <c r="AI64">
        <v>55106259</v>
      </c>
      <c r="AJ64">
        <v>58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Смета по ТСН-2001</vt:lpstr>
      <vt:lpstr>Дефектная ведомость</vt:lpstr>
      <vt:lpstr>RV_DATA</vt:lpstr>
      <vt:lpstr>Расчет стоимости ресурсов</vt:lpstr>
      <vt:lpstr>Source</vt:lpstr>
      <vt:lpstr>SourceObSm</vt:lpstr>
      <vt:lpstr>SmtRes</vt:lpstr>
      <vt:lpstr>EtalonRes</vt:lpstr>
      <vt:lpstr>'Дефектная ведомость'!Заголовки_для_печати</vt:lpstr>
      <vt:lpstr>'Расчет стоимости ресурсов'!Заголовки_для_печати</vt:lpstr>
      <vt:lpstr>'Смета по ТСН-2001'!Заголовки_для_печати</vt:lpstr>
      <vt:lpstr>'Дефектная ведомость'!Область_печати</vt:lpstr>
      <vt:lpstr>'Расчет стоимости ресурсов'!Область_печати</vt:lpstr>
      <vt:lpstr>'Смета по ТСН-2001'!Область_печати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Кольцов, Павел Андреевич (KRIS120 - KolcovPA)</cp:lastModifiedBy>
  <dcterms:created xsi:type="dcterms:W3CDTF">2019-07-10T04:31:38Z</dcterms:created>
  <dcterms:modified xsi:type="dcterms:W3CDTF">2019-07-10T04:32:51Z</dcterms:modified>
</cp:coreProperties>
</file>